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<sst xmlns="http://schemas.openxmlformats.org/spreadsheetml/2006/main" count="10954" uniqueCount="3394">
  <si>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</si>
  <si>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</si>
  <si>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</si>
  <si>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</si>
  <si>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</si>
  <si>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</si>
  <si>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</si>
  <si>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</si>
  <si>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</si>
  <si>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</si>
  <si>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</si>
  <si>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</si>
  <si>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</si>
  <si>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</si>
  <si>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</si>
  <si>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</si>
  <si>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</si>
  <si>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</si>
  <si>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</si>
  <si>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</si>
  <si>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</si>
  <si>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</si>
  <si>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</si>
  <si>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</si>
  <si>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</si>
  <si>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</si>
  <si>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</si>
  <si>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</si>
  <si>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</si>
  <si>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</si>
  <si>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</si>
  <si>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</si>
  <si>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</si>
  <si>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</si>
  <si>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</si>
  <si>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</si>
  <si>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</si>
  <si>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</si>
  <si>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</si>
  <si>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</si>
  <si>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</si>
  <si>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</si>
  <si>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</si>
  <si>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</si>
  <si>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</si>
  <si>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</si>
  <si>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</si>
  <si>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</si>
  <si>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</si>
  <si>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</si>
  <si>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</si>
  <si>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</si>
  <si>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</si>
  <si>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</si>
  <si>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</si>
  <si>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</si>
  <si>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</si>
  <si>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</si>
  <si>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</si>
  <si>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</si>
  <si>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</si>
  <si>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</si>
  <si>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</si>
  <si>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</si>
  <si>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</si>
  <si>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</si>
  <si>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</si>
  <si>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</si>
  <si>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</si>
  <si>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</si>
  <si>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</si>
  <si>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</si>
  <si>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</si>
  <si>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</si>
  <si>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</si>
  <si>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</si>
  <si>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</si>
  <si>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</si>
  <si>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</si>
  <si>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</si>
  <si>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</si>
  <si>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</si>
  <si>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</si>
  <si>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</si>
  <si>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</si>
  <si>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</si>
  <si>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</si>
  <si>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</si>
  <si>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</si>
  <si>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</si>
  <si>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</si>
  <si>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</si>
  <si>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</si>
  <si>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</si>
  <si>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</si>
  <si>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</si>
  <si>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</si>
  <si>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</si>
  <si>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</si>
  <si>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</si>
  <si>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</si>
  <si>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</si>
  <si>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</si>
  <si>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</si>
  <si>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</si>
  <si>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</si>
  <si>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</si>
  <si>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</si>
  <si>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</si>
  <si>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</si>
  <si>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</si>
  <si>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</si>
  <si>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</si>
  <si>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</si>
  <si>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</si>
  <si>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</si>
  <si>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</si>
  <si>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</si>
  <si>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</si>
  <si>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</si>
  <si>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</si>
  <si>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</si>
  <si>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</si>
  <si>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</si>
  <si>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</si>
  <si>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</si>
  <si>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</si>
  <si>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</si>
  <si>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</si>
  <si>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</si>
  <si>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</si>
  <si>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</si>
  <si>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</si>
  <si>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</si>
  <si>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</si>
  <si>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</si>
  <si>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</si>
  <si>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</si>
  <si>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</si>
  <si>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</si>
  <si>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</si>
  <si>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</si>
  <si>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</si>
  <si>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</si>
  <si>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</si>
  <si>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</si>
  <si>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</si>
  <si>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</si>
  <si>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</si>
  <si>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</si>
  <si>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</si>
  <si>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</si>
  <si>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</si>
  <si>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</si>
  <si>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</si>
  <si>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</si>
  <si>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</si>
  <si>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</si>
  <si>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</si>
  <si>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</si>
  <si>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</si>
  <si>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</si>
  <si>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</si>
  <si>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</si>
  <si>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</si>
  <si>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</si>
  <si>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</si>
  <si>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</si>
  <si>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</si>
  <si>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</si>
  <si>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</si>
  <si>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</si>
  <si>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</si>
  <si>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</si>
  <si>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</si>
  <si>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</si>
  <si>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</si>
  <si>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</si>
  <si>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</si>
  <si>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</si>
  <si>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</si>
  <si>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</si>
  <si>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</si>
  <si>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</si>
  <si>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</si>
  <si>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</si>
  <si>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</si>
  <si>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</si>
  <si>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</si>
  <si>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</si>
  <si>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</si>
  <si>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</si>
  <si>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</si>
  <si>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</si>
  <si>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</si>
  <si>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</si>
  <si>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</si>
  <si>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</si>
  <si>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</si>
  <si>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</si>
  <si>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</si>
  <si>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</si>
  <si>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</si>
  <si>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</si>
  <si>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</si>
  <si>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</si>
  <si>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</si>
  <si>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</si>
  <si>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</si>
  <si>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</si>
  <si>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</si>
  <si>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</si>
  <si>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</si>
  <si>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</si>
  <si>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</si>
  <si>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</si>
  <si>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</si>
  <si>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</si>
  <si>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</si>
  <si>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</si>
  <si>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</si>
  <si>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</si>
  <si>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</si>
  <si>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</si>
  <si>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</si>
  <si>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</si>
  <si>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</si>
  <si>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</si>
  <si>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</si>
  <si>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</si>
  <si>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</si>
  <si>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</si>
  <si>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</si>
  <si>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</si>
  <si>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</si>
  <si>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</si>
  <si>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</si>
  <si>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</si>
  <si>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</si>
  <si>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</si>
  <si>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</si>
  <si>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</si>
  <si>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</si>
  <si>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</si>
  <si>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</si>
  <si>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</si>
  <si>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</si>
  <si>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</si>
  <si>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</si>
  <si>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</si>
  <si>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</si>
  <si>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</si>
  <si>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</si>
  <si>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</si>
  <si>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</si>
  <si>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</si>
  <si>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</si>
  <si>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</si>
  <si>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</si>
  <si>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</si>
  <si>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</si>
  <si>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</si>
  <si>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</si>
  <si>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</si>
  <si>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</si>
  <si>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</si>
  <si>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</si>
  <si>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</si>
  <si>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</si>
  <si>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</si>
  <si>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</si>
  <si>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</si>
  <si>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</si>
  <si>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</si>
  <si>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</si>
  <si>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</si>
  <si>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</si>
  <si>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</si>
  <si>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</si>
  <si>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</si>
  <si>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</si>
  <si>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</si>
  <si>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</si>
  <si>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</si>
  <si>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</si>
  <si>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</si>
  <si>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</si>
  <si>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</si>
  <si>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</si>
  <si>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</si>
  <si>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</si>
  <si>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</si>
  <si>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</si>
  <si>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</si>
  <si>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</si>
  <si>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</si>
  <si>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</si>
  <si>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</si>
  <si>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</si>
  <si>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</si>
  <si>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</si>
  <si>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</si>
  <si>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</si>
  <si>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</si>
  <si>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</si>
  <si>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</si>
  <si>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</si>
  <si>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</si>
  <si>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</si>
  <si>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</si>
  <si>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</si>
  <si>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</si>
  <si>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</si>
  <si>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</si>
  <si>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</si>
  <si>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</si>
  <si>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</si>
  <si>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</si>
  <si>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</si>
  <si>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</si>
  <si>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</si>
  <si>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</si>
  <si>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</si>
  <si>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</si>
  <si>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</si>
  <si>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</si>
  <si>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</si>
  <si>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</si>
  <si>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</si>
  <si>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</si>
  <si>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</si>
  <si>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</si>
  <si>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</si>
  <si>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</si>
  <si>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</si>
  <si>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</si>
  <si>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</si>
  <si>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</si>
  <si>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</si>
  <si>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</si>
  <si>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</si>
  <si>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</si>
  <si>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</si>
  <si>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</si>
  <si>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</si>
  <si>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</si>
  <si>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</si>
  <si>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</si>
  <si>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</si>
  <si>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</si>
  <si>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</si>
  <si>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</si>
  <si>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</si>
  <si>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</si>
  <si>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</si>
  <si>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</si>
  <si>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</si>
  <si>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</si>
  <si>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</si>
  <si>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</si>
  <si>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</si>
  <si>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</si>
  <si>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</si>
  <si>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</si>
  <si>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</si>
  <si>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</si>
  <si>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</si>
  <si>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</si>
  <si>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</si>
  <si>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</si>
  <si>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</si>
  <si>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</si>
  <si>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</si>
  <si>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</si>
  <si>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</si>
  <si>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</si>
  <si>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</si>
  <si>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</si>
  <si>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</si>
  <si>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</si>
  <si>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</si>
  <si>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</si>
  <si>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</si>
  <si>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</si>
  <si>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</si>
  <si>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</si>
  <si>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</si>
  <si>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</si>
  <si>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</si>
  <si>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</si>
  <si>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</si>
  <si>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</si>
  <si>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</si>
  <si>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</si>
  <si>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</si>
  <si>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</si>
  <si>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</si>
  <si>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</si>
  <si>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</si>
  <si>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</si>
  <si>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</si>
  <si>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</si>
  <si>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</si>
  <si>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</si>
  <si>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</si>
  <si>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</si>
  <si>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</si>
  <si>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</si>
  <si>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</si>
  <si>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</si>
  <si>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</si>
  <si>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</si>
  <si>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</si>
  <si>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</si>
  <si>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</si>
  <si>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</si>
  <si>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</si>
  <si>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</si>
  <si>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</si>
  <si>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</si>
  <si>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</si>
  <si>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</si>
  <si>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</si>
  <si>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</si>
  <si>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</si>
  <si>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</si>
  <si>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</si>
  <si>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</si>
  <si>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</si>
  <si>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</si>
  <si>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</si>
  <si>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</si>
  <si>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</si>
  <si>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</si>
  <si>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</si>
  <si>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</si>
  <si>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</si>
  <si>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</si>
  <si>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</si>
  <si>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</si>
  <si>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</si>
  <si>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</si>
  <si>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</si>
  <si>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</si>
  <si>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</si>
  <si>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</si>
  <si>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</si>
  <si>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</si>
  <si>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</si>
  <si>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</si>
  <si>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</si>
  <si>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</si>
  <si>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</si>
  <si>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</si>
  <si>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</si>
  <si>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</si>
  <si>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</si>
  <si>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</si>
  <si>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</si>
  <si>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</si>
  <si>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</si>
  <si>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</si>
  <si>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</si>
  <si>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</si>
  <si>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</si>
  <si>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</si>
  <si>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</si>
  <si>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</si>
  <si>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</si>
  <si>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</si>
  <si>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</si>
  <si>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</si>
  <si>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</si>
  <si>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</si>
  <si>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</si>
  <si>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</si>
  <si>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</si>
  <si>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</si>
  <si>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</si>
  <si>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</si>
  <si>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</si>
  <si>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</si>
  <si>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</si>
  <si>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</si>
  <si>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</si>
  <si>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</si>
  <si>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</si>
  <si>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</si>
  <si>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</si>
  <si>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</si>
  <si>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</si>
  <si>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</si>
  <si>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</si>
  <si>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</si>
  <si>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</si>
  <si>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</si>
  <si>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</si>
  <si>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</si>
  <si>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</si>
  <si>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</si>
  <si>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</si>
  <si>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</si>
  <si>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</si>
  <si>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</si>
  <si>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</si>
  <si>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</si>
  <si>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</si>
  <si>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</si>
  <si>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</si>
  <si>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</si>
  <si>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</si>
  <si>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</si>
  <si>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</si>
  <si>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</si>
  <si>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</si>
  <si>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</si>
  <si>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</si>
  <si>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</si>
  <si>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</si>
  <si>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</si>
  <si>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</si>
  <si>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</si>
  <si>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</si>
  <si>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</si>
  <si>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</si>
  <si>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</si>
  <si>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</si>
  <si>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</si>
  <si>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</si>
  <si>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</si>
  <si>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</si>
  <si>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</si>
  <si>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</si>
  <si>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</si>
  <si>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</si>
  <si>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</si>
  <si>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</si>
  <si>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</si>
  <si>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</si>
  <si>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</si>
  <si>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</si>
  <si>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</si>
  <si>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</si>
  <si>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</si>
  <si>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</si>
  <si>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</si>
  <si>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</si>
  <si>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</si>
  <si>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</si>
  <si>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</si>
  <si>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</si>
  <si>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</si>
  <si>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</si>
  <si>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</si>
  <si>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</si>
  <si>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</si>
  <si>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</si>
  <si>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</si>
  <si>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</si>
  <si>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</si>
  <si>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</si>
  <si>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</si>
  <si>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</si>
  <si>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</si>
  <si>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</si>
  <si>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</si>
  <si>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</si>
  <si>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</si>
  <si>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</si>
  <si>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</si>
  <si>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</si>
  <si>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</si>
  <si>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</si>
  <si>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</si>
  <si>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</si>
  <si>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</si>
  <si>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</si>
  <si>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</si>
  <si>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</si>
  <si>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</si>
  <si>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</si>
  <si>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</si>
  <si>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</si>
  <si>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</si>
  <si>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</si>
  <si>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</si>
  <si>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</si>
  <si>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</si>
  <si>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</si>
  <si>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</si>
  <si>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</si>
  <si>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</si>
  <si>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</si>
  <si>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</si>
  <si>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</si>
  <si>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</si>
  <si>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</si>
  <si>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</si>
  <si>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</si>
  <si>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</si>
  <si>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</si>
  <si>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</si>
  <si>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</si>
  <si>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</si>
  <si>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</si>
  <si>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</si>
  <si>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</si>
  <si>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</si>
  <si>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</si>
  <si>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</si>
  <si>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</si>
  <si>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</si>
  <si>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</si>
  <si>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</si>
  <si>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</si>
  <si>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</si>
  <si>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</si>
  <si>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</si>
  <si>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</si>
  <si>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</si>
  <si>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</si>
  <si>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</si>
  <si>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</si>
  <si>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</si>
  <si>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</si>
  <si>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</si>
  <si>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</si>
  <si>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</si>
  <si>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</si>
  <si>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</si>
  <si>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</si>
  <si>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</si>
  <si>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</si>
  <si>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</si>
  <si>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</si>
  <si>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</si>
  <si>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</si>
  <si>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</si>
  <si>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</si>
  <si>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</si>
  <si>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</si>
  <si>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</si>
  <si>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</si>
  <si>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</si>
  <si>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</si>
  <si>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</si>
  <si>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</si>
  <si>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</si>
  <si>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</si>
  <si>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</si>
  <si>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</si>
  <si>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</si>
  <si>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</si>
  <si>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</si>
  <si>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</si>
  <si>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</si>
  <si>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</si>
  <si>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</si>
  <si>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</si>
  <si>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</si>
  <si>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</si>
  <si>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</si>
  <si>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</si>
  <si>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</si>
  <si>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</si>
  <si>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</si>
  <si>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</si>
  <si>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</si>
  <si>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</si>
  <si>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</si>
  <si>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</si>
  <si>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</si>
  <si>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</si>
  <si>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</si>
  <si>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</si>
  <si>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</si>
  <si>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</si>
  <si>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</si>
  <si>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</si>
  <si>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</si>
  <si>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</si>
  <si>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</si>
  <si>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</si>
  <si>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</si>
  <si>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</si>
  <si>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</si>
  <si>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</si>
  <si>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</si>
  <si>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</si>
  <si>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</si>
  <si>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</si>
  <si>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</si>
  <si>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</si>
  <si>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</si>
  <si>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</si>
  <si>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</si>
  <si>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</si>
  <si>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</si>
  <si>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</si>
  <si>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</si>
  <si>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</si>
  <si>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</si>
  <si>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</si>
  <si>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</si>
  <si>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</si>
  <si>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</si>
  <si>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</si>
  <si>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</si>
  <si>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</si>
  <si>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</si>
  <si>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</si>
  <si>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</si>
  <si>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</si>
  <si>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</si>
  <si>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</si>
  <si>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</si>
  <si>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</si>
  <si>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</si>
  <si>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</si>
  <si>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</si>
  <si>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</si>
  <si>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</si>
  <si>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</si>
  <si>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</si>
  <si>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</si>
  <si>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</si>
  <si>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</si>
  <si>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</si>
  <si>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</si>
  <si>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</si>
  <si>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</si>
  <si>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</si>
  <si>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</si>
  <si>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</si>
  <si>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</si>
  <si>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</si>
  <si>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</si>
  <si>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</si>
  <si>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</si>
  <si>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</si>
  <si>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</si>
  <si>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</si>
  <si>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</si>
  <si>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</si>
  <si>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</si>
  <si>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</si>
  <si>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</si>
  <si>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</si>
  <si>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</si>
  <si>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</si>
  <si>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</si>
  <si>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</si>
  <si>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</si>
  <si>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</si>
  <si>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</si>
  <si>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</si>
  <si>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</si>
  <si>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</si>
  <si>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</si>
  <si>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</si>
  <si>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</si>
  <si>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</si>
  <si>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</si>
  <si>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</si>
  <si>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</si>
  <si>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</si>
  <si>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</si>
  <si>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</si>
  <si>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</si>
  <si>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</si>
  <si>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</si>
  <si>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</si>
  <si>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</si>
  <si>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</si>
  <si>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</si>
  <si>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</si>
  <si>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</si>
  <si>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</si>
  <si>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</si>
  <si>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</si>
  <si>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</si>
  <si>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</si>
  <si>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</si>
  <si>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</si>
  <si>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</si>
  <si>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</si>
  <si>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</si>
  <si>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</si>
  <si>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</si>
  <si>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</si>
  <si>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</si>
  <si>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</si>
  <si>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</si>
  <si>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</si>
  <si>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</si>
  <si>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</si>
  <si>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</si>
  <si>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</si>
  <si>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</si>
  <si>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</si>
  <si>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</si>
  <si>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</si>
  <si>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</si>
  <si>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</si>
  <si>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</si>
  <si>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</si>
  <si>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</si>
  <si>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</si>
  <si>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</si>
  <si>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</si>
  <si>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</si>
  <si>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</si>
  <si>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</si>
  <si>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</si>
  <si>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</si>
  <si>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</si>
  <si>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</si>
  <si>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</si>
  <si>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</si>
  <si>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</si>
  <si>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</si>
  <si>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</si>
  <si>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</si>
  <si>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</si>
  <si>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</si>
  <si>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</si>
  <si>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</si>
  <si>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</si>
  <si>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</si>
  <si>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</si>
  <si>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</si>
  <si>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</si>
  <si>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</si>
  <si>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</si>
  <si>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</si>
  <si>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</si>
  <si>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</si>
  <si>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</si>
  <si>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</si>
  <si>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</si>
  <si>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</si>
  <si>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</si>
  <si>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</si>
  <si>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</si>
  <si>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</si>
  <si>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</si>
  <si>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</si>
  <si>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</si>
  <si>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</si>
  <si>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</si>
  <si>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</si>
  <si>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</si>
  <si>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</si>
  <si>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</si>
  <si>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</si>
  <si>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</si>
  <si>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</si>
  <si>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</si>
  <si>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</si>
  <si>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</si>
  <si>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车库、仓储</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</si>
  <si>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</si>
  <si>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</si>
  <si>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</si>
  <si>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</si>
  <si>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</si>
  <si>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</si>
  <si>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</si>
  <si>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</si>
  <si>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</si>
  <si>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</si>
  <si>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</si>
  <si>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</si>
  <si>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</si>
  <si>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</si>
  <si>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</si>
  <si>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</si>
  <si>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</si>
  <si>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</si>
  <si>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</si>
  <si>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</si>
  <si>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</si>
  <si>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</si>
  <si>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</si>
  <si>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</si>
  <si>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</si>
  <si>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</si>
  <si>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</si>
  <si>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</si>
  <si>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</si>
  <si>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</si>
  <si>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</si>
  <si>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</si>
  <si>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</si>
  <si>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</si>
  <si>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</si>
  <si>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</si>
  <si>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</si>
  <si>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</si>
  <si>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</si>
  <si>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</si>
  <si>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</si>
  <si>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</si>
  <si>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</si>
  <si>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</si>
  <si>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</si>
  <si>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</si>
  <si>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</si>
  <si>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</si>
  <si>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</si>
  <si>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</si>
  <si>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</si>
  <si>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</si>
  <si>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</si>
  <si>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</si>
  <si>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</si>
  <si>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</si>
  <si>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</si>
  <si>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</si>
  <si>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</si>
  <si>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</si>
  <si>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</si>
  <si>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</si>
  <si>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</si>
  <si>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</si>
  <si>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</si>
  <si>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</si>
  <si>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</si>
  <si>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</si>
  <si>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</si>
  <si>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</si>
  <si>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</si>
  <si>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</si>
  <si>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</si>
  <si>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</si>
  <si>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</si>
  <si>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</si>
  <si>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</si>
  <si>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</si>
  <si>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</si>
  <si>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</si>
  <si>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</si>
  <si>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</si>
  <si>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</si>
  <si>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</si>
  <si>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</si>
  <si>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</si>
  <si>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</si>
  <si>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</si>
  <si>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</si>
  <si>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</si>
  <si>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</si>
  <si>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</si>
  <si>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</si>
  <si>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</si>
  <si>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</si>
  <si>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</si>
  <si>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</si>
  <si>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</si>
  <si>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</si>
  <si>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</si>
  <si>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</si>
  <si>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</si>
  <si>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</si>
  <si>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</si>
  <si>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</si>
  <si>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</si>
  <si>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</si>
  <si>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</si>
  <si>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</si>
  <si>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</si>
  <si>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</si>
  <si>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</si>
  <si>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</si>
  <si>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</si>
  <si>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</si>
  <si>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</si>
  <si>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</si>
  <si>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</si>
  <si>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</si>
  <si>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</si>
  <si>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</si>
  <si>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</si>
  <si>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</si>
  <si>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</si>
  <si>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</si>
  <si>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</si>
  <si>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</si>
  <si>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</si>
  <si>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</si>
  <si>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</si>
  <si>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</si>
  <si>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</si>
  <si>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</si>
  <si>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</si>
  <si>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</si>
  <si>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</si>
  <si>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</si>
  <si>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</si>
  <si>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</si>
  <si>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</si>
  <si>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</si>
  <si>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</si>
  <si>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</si>
  <si>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</si>
  <si>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</si>
  <si>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</si>
  <si>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</si>
  <si>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</si>
  <si>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</si>
  <si>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</si>
  <si>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</si>
  <si>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</si>
  <si>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</si>
  <si>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</si>
  <si>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</si>
  <si>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</si>
  <si>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</si>
  <si>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</si>
  <si>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</si>
  <si>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</si>
  <si>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</si>
  <si>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</si>
  <si>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</si>
  <si>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</si>
  <si>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</si>
  <si>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</si>
  <si>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</si>
  <si>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</si>
  <si>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</si>
  <si>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</si>
  <si>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</si>
  <si>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</si>
  <si>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</si>
  <si>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</si>
  <si>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</si>
  <si>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</si>
  <si>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</si>
  <si>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</si>
  <si>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</si>
  <si>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</si>
  <si>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</si>
  <si>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</si>
  <si>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</si>
  <si>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</si>
  <si>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</si>
  <si>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</si>
  <si>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</si>
  <si>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</si>
  <si>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</si>
  <si>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</si>
  <si>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</si>
  <si>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</si>
  <si>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</si>
  <si>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</si>
  <si>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</si>
  <si>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</si>
  <si>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</si>
  <si>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</si>
  <si>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</si>
  <si>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</si>
  <si>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</si>
  <si>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</si>
  <si>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</si>
  <si>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</si>
  <si>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</si>
  <si>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</si>
  <si>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</si>
  <si>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</si>
  <si>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</si>
  <si>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</si>
  <si>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</si>
  <si>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</si>
  <si>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</si>
  <si>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</si>
  <si>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</si>
  <si>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</si>
  <si>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</si>
  <si>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</si>
  <si>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</si>
  <si>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</si>
  <si>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</si>
  <si>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</si>
  <si>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</si>
  <si>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</si>
  <si>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</si>
  <si>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</si>
  <si>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</si>
  <si>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</si>
  <si>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</si>
  <si>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</si>
  <si>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</si>
  <si>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</si>
  <si>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</si>
  <si>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</si>
  <si>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</si>
  <si>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</si>
  <si>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</si>
  <si>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</si>
  <si>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</si>
  <si>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</si>
  <si>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</si>
  <si>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</si>
  <si>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</si>
  <si>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</si>
  <si>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</si>
  <si>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</si>
  <si>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</si>
  <si>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</si>
  <si>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</si>
  <si>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</si>
  <si>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</si>
  <si>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</si>
  <si>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</si>
  <si>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</si>
  <si>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</si>
  <si>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</si>
  <si>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</si>
  <si>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</si>
  <si>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</si>
  <si>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</si>
  <si>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</si>
  <si>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</si>
  <si>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</si>
  <si>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</si>
  <si>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</si>
  <si>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</si>
  <si>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</si>
  <si>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</si>
  <si>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</si>
  <si>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</si>
  <si>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</si>
  <si>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</si>
  <si>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</si>
  <si>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</si>
  <si>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</si>
  <si>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</si>
  <si>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</si>
  <si>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</si>
  <si>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</si>
  <si>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</si>
  <si>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</si>
  <si>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</si>
  <si>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</si>
  <si>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</si>
  <si>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</si>
  <si>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</si>
  <si>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</si>
  <si>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</si>
  <si>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</si>
  <si>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</si>
  <si>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</si>
  <si>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</si>
  <si>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</si>
  <si>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</si>
  <si>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</si>
  <si>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</si>
  <si>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</si>
  <si>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</si>
  <si>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</si>
  <si>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</si>
  <si>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</si>
  <si>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</si>
  <si>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</si>
  <si>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</si>
  <si>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</si>
  <si>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</si>
  <si>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</si>
  <si>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</si>
  <si>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</si>
  <si>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</si>
  <si>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</si>
  <si>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</si>
  <si>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</si>
  <si>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</si>
  <si>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</si>
  <si>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</si>
  <si>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</si>
  <si>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</si>
  <si>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</si>
  <si>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</si>
  <si>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</si>
  <si>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</si>
  <si>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</si>
  <si>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</si>
  <si>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</si>
  <si>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</si>
  <si>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</si>
  <si>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</si>
  <si>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</si>
  <si>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</si>
  <si>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</si>
  <si>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</si>
  <si>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</si>
  <si>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</si>
  <si>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</si>
  <si>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</si>
  <si>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</si>
  <si>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</si>
  <si>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</si>
  <si>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</si>
  <si>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</si>
  <si>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</si>
  <si>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</si>
  <si>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</si>
  <si>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</si>
  <si>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</si>
  <si>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</si>
  <si>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</si>
  <si>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</si>
  <si>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</si>
  <si>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</si>
  <si>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</si>
  <si>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</si>
  <si>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</si>
  <si>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</si>
  <si>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</si>
  <si>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</si>
  <si>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</si>
  <si>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</si>
  <si>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</si>
  <si>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</si>
  <si>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</si>
  <si>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</si>
  <si>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</si>
  <si>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</si>
  <si>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</si>
  <si>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</si>
  <si>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</si>
  <si>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</si>
  <si>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</si>
  <si>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</si>
  <si>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</si>
  <si>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</si>
  <si>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</si>
  <si>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</si>
  <si>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</si>
  <si>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</si>
  <si>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</si>
  <si>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</si>
  <si>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</si>
  <si>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</si>
  <si>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</si>
  <si>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</si>
  <si>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</si>
  <si>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</si>
  <si>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</si>
  <si>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</si>
  <si>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</si>
  <si>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</si>
  <si>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</si>
  <si>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</si>
  <si>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</si>
  <si>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</si>
  <si>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</si>
  <si>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</si>
  <si>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</si>
  <si>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</si>
  <si>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</si>
  <si>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</si>
  <si>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</si>
  <si>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</si>
  <si>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</si>
  <si>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</si>
  <si>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</si>
  <si>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</si>
  <si>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</si>
  <si>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</si>
  <si>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</si>
  <si>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</si>
  <si>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</si>
  <si>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</si>
  <si>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</si>
  <si>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</si>
  <si>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</si>
  <si>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</si>
  <si>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</si>
  <si>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</si>
  <si>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</si>
  <si>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</si>
  <si>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</si>
  <si>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</si>
  <si>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</si>
  <si>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</si>
  <si>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</si>
  <si>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</si>
  <si>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</si>
  <si>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</si>
  <si>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</si>
  <si>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</si>
  <si>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</si>
  <si>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</si>
  <si>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</si>
  <si>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</si>
  <si>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</si>
  <si>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</si>
  <si>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</si>
  <si>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</si>
  <si>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</si>
  <si>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</si>
  <si>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</si>
  <si>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</si>
  <si>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</si>
  <si>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</si>
  <si>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</si>
  <si>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</si>
  <si>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</si>
  <si>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</si>
  <si>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</si>
  <si>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</si>
  <si>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</si>
  <si>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</si>
  <si>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</si>
  <si>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</si>
  <si>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</si>
  <si>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</si>
  <si>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</si>
  <si>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</si>
  <si>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</si>
  <si>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</si>
  <si>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</si>
  <si>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</si>
  <si>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</si>
  <si>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</si>
  <si>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</si>
  <si>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</si>
  <si>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</si>
  <si>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</si>
  <si>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</si>
  <si>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</si>
  <si>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</si>
  <si>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</si>
  <si>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</si>
  <si>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</si>
  <si>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</si>
  <si>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</si>
  <si>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</si>
  <si>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</si>
  <si>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</si>
  <si>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</si>
  <si>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</si>
  <si>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</si>
  <si>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</si>
  <si>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</si>
  <si>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</si>
  <si>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</si>
  <si>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</si>
  <si>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</si>
  <si>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</si>
  <si>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</si>
  <si>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</si>
  <si>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</si>
  <si>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</si>
  <si>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</si>
  <si>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</si>
  <si>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</si>
  <si>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</si>
  <si>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</si>
  <si>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</si>
  <si>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</si>
  <si>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</si>
  <si>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</si>
  <si>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</si>
  <si>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</si>
  <si>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</si>
  <si>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</si>
  <si>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</si>
  <si>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</si>
  <si>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</si>
  <si>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</si>
  <si>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</si>
  <si>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20-30%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</si>
  <si>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</si>
  <si>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</si>
  <si>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</si>
  <si>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</si>
  <si>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</si>
  <si>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30-40%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</si>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</sst>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8"/>
      <color indexed="10"/>
      <name val="΢ȭхڬˎ̥"/>
      <charset val="134"/>
    </font>
    <font>
      <b/>
      <sz val="14"/>
      <color theme="1"/>
      <name val="宋体"/>
      <charset val="134"/>
    </font>
    <font>
      <i/>
      <sz val="14"/>
      <color theme="3" tint="0.399975585192419"/>
      <name val="宋体"/>
      <charset val="134"/>
    </font>
    <font>
      <b/>
      <vertAlign val="subscript"/>
      <sz val="10"/>
      <name val="楷体_GB2312"/>
      <charset val="134"/>
    </font>
    <font>
      <sz val="9"/>
      <color indexed="8"/>
      <name val="仿宋_GB2312"/>
      <charset val="134"/>
    </font>
    <font>
      <b/>
      <vertAlign val="subscript"/>
      <sz val="10"/>
      <name val="宋体"/>
      <charset val="134"/>
    </font>
    <font>
      <sz val="14"/>
      <color theme="1"/>
      <name val="宋体"/>
      <charset val="134"/>
    </font>
    <font>
      <sz val="10"/>
      <color rgb="FF000000"/>
      <name val="宋体"/>
      <charset val="134"/>
    </font>
    <font>
      <sz val="12"/>
      <color theme="1"/>
      <name val="宋体"/>
      <charset val="134"/>
    </font>
    <font>
      <b/>
      <i/>
      <sz val="14"/>
      <color theme="3" tint="0.399975585192419"/>
      <name val="宋体"/>
      <charset val="134"/>
    </font>
    <font>
      <b/>
      <vertAlign val="subscript"/>
      <sz val="11"/>
      <name val="宋体"/>
      <charset val="134"/>
    </font>
    <font>
      <b/>
      <vertAlign val="subscript"/>
      <sz val="11"/>
      <name val="Arial"/>
      <charset val="134"/>
    </font>
    <font>
      <sz val="12"/>
      <color indexed="8"/>
      <name val="宋体"/>
      <charset val="134"/>
    </font>
    <font>
      <sz val="10"/>
      <color indexed="10"/>
      <name val="宋体"/>
      <charset val="134"/>
    </font>
    <font>
      <vertAlign val="subscript"/>
      <sz val="10"/>
      <color theme="1"/>
      <name val="Arial"/>
      <charset val="134"/>
    </font>
    <font>
      <sz val="14"/>
      <color rgb="FF000000"/>
      <name val="宋体"/>
      <charset val="134"/>
    </font>
    <font>
      <vertAlign val="superscript"/>
      <sz val="10"/>
      <color indexed="8"/>
      <name val="Arial"/>
      <charset val="134"/>
    </font>
    <font>
      <b/>
      <vertAlign val="subscript"/>
      <sz val="10"/>
      <color indexed="8"/>
      <name val="宋体"/>
      <charset val="134"/>
    </font>
    <font>
      <sz val="12"/>
      <color theme="9" tint="-0.249977111117893"/>
      <name val="宋体"/>
      <charset val="134"/>
    </font>
    <font>
      <sz val="8"/>
      <color indexed="8"/>
      <name val="宋体"/>
      <charset val="134"/>
    </font>
    <font>
      <b/>
      <vertAlign val="superscript"/>
      <sz val="8"/>
      <color rgb="FF666666"/>
      <name val="微软雅黑"/>
      <charset val="134"/>
    </font>
    <font>
      <b/>
      <sz val="11"/>
      <color rgb="FF666666"/>
      <name val="微软雅黑"/>
      <charset val="134"/>
    </font>
    <font>
      <b/>
      <sz val="11"/>
      <color indexed="10"/>
      <name val="宋体"/>
      <charset val="134"/>
    </font>
    <font>
      <sz val="14"/>
      <color theme="9" tint="-0.249977111117893"/>
      <name val="宋体"/>
      <charset val="134"/>
    </font>
    <font>
      <b/>
      <sz val="10"/>
      <color indexed="10"/>
      <name val="楷体_GB2312"/>
      <charset val="134"/>
    </font>
    <font>
      <sz val="8"/>
      <color indexed="8"/>
      <name val="仿宋_GB2312"/>
      <charset val="134"/>
    </font>
    <font>
      <sz val="9"/>
      <color indexed="8"/>
      <name val="宋体"/>
      <charset val="134"/>
    </font>
    <font>
      <b/>
      <sz val="10"/>
      <color indexed="53"/>
      <name val="宋体"/>
      <charset val="134"/>
    </font>
    <font>
      <sz val="11"/>
      <color indexed="53"/>
      <name val="宋体"/>
      <charset val="134"/>
    </font>
    <font>
      <i/>
      <sz val="11"/>
      <color theme="3" tint="0.399975585192419"/>
      <name val="宋体"/>
      <charset val="134"/>
    </font>
    <font>
      <b/>
      <sz val="14"/>
      <color rgb="FF000000"/>
      <name val="宋体"/>
      <charset val="134"/>
    </font>
    <font>
      <i/>
      <sz val="11"/>
      <color theme="1"/>
      <name val="宋体"/>
      <charset val="134"/>
    </font>
    <font>
      <b/>
      <i/>
      <sz val="11"/>
      <color theme="3" tint="0.399975585192419"/>
      <name val="宋体"/>
      <charset val="134"/>
    </font>
    <font>
      <vertAlign val="superscript"/>
      <sz val="10"/>
      <color theme="1"/>
      <name val="宋体"/>
      <charset val="134"/>
    </font>
    <font>
      <sz val="10"/>
      <color indexed="53"/>
      <name val="宋体"/>
      <charset val="134"/>
    </font>
    <font>
      <sz val="11"/>
      <color indexed="8"/>
      <name val="仿宋_GB2312"/>
      <charset val="134"/>
    </font>
    <font>
      <b/>
      <sz val="12"/>
      <color rgb="FF000000"/>
      <name val="宋体"/>
      <charset val="134"/>
    </font>
    <font>
      <b/>
      <vertAlign val="superscript"/>
      <sz val="10"/>
      <color theme="1"/>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i/>
      <sz val="10"/>
      <name val="楷体_GB2312"/>
      <charset val="134"/>
    </font>
    <font>
      <b/>
      <sz val="18"/>
      <color theme="1"/>
      <name val="宋体"/>
      <charset val="134"/>
    </font>
    <font>
      <vertAlign val="superscript"/>
      <sz val="10"/>
      <color theme="1"/>
      <name val="Arial"/>
      <charset val="134"/>
    </font>
    <font>
      <sz val="10"/>
      <color rgb="FF707070"/>
      <name val="宋体"/>
      <charset val="134"/>
    </font>
    <font>
      <b/>
      <sz val="11"/>
      <color theme="9" tint="-0.249977111117893"/>
      <name val="Arial"/>
      <charset val="134"/>
    </font>
    <font>
      <b/>
      <sz val="11"/>
      <color theme="9" tint="-0.249977111117893"/>
      <name val="宋体"/>
      <charset val="134"/>
    </font>
    <font>
      <b/>
      <sz val="12"/>
      <color indexed="8"/>
      <name val="仿宋_GB2312"/>
      <charset val="134"/>
    </font>
    <font>
      <sz val="10"/>
      <color indexed="8"/>
      <name val="楷体_GB2312"/>
      <charset val="134"/>
    </font>
    <font>
      <b/>
      <vertAlign val="subscript"/>
      <sz val="10"/>
      <name val="Arial"/>
      <charset val="134"/>
    </font>
    <font>
      <b/>
      <vertAlign val="subscript"/>
      <sz val="10"/>
      <color theme="1"/>
      <name val="Arial"/>
      <charset val="134"/>
    </font>
    <font>
      <b/>
      <sz val="11"/>
      <name val="仿宋_GB2312"/>
      <charset val="134"/>
    </font>
    <font>
      <sz val="10"/>
      <color rgb="FF0070C0"/>
      <name val="楷体_GB2312"/>
      <charset val="134"/>
    </font>
    <font>
      <b/>
      <sz val="16"/>
      <color indexed="10"/>
      <name val="楷体_GB2312"/>
      <charset val="134"/>
    </font>
    <font>
      <sz val="10"/>
      <color theme="4"/>
      <name val="宋体"/>
      <charset val="134"/>
    </font>
    <font>
      <b/>
      <sz val="14"/>
      <color indexed="10"/>
      <name val="宋体"/>
      <charset val="134"/>
      <scheme val="minor"/>
    </font>
    <font>
      <sz val="10"/>
      <color rgb="FF0070C0"/>
      <name val="Arial"/>
      <charset val="134"/>
    </font>
    <font>
      <sz val="12"/>
      <name val="宋体"/>
      <charset val="134"/>
    </font>
    <font>
      <sz val="9"/>
      <name val="宋体"/>
      <charset val="134"/>
    </font>
    <font>
      <sz val="12"/>
      <name val="仿宋_GB2312"/>
      <charset val="134"/>
    </font>
    <font>
      <b/>
      <sz val="8"/>
      <name val="宋体"/>
      <charset val="134"/>
    </font>
    <font>
      <sz val="16"/>
      <name val="宋体"/>
      <charset val="134"/>
    </font>
    <font>
      <sz val="12"/>
      <name val="楷体_GB2312"/>
      <charset val="134"/>
    </font>
    <font>
      <sz val="12"/>
      <name val="宋体"/>
      <charset val="0"/>
      <scheme val="minor"/>
    </font>
    <font>
      <b/>
      <sz val="14"/>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sz val="11"/>
      <color rgb="FF000000"/>
      <name val="宋体"/>
      <charset val="0"/>
      <scheme val="minor"/>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76" fontId="121"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0" fillId="0" borderId="13" xfId="0" applyFont="1" applyFill="1" applyBorder="1" applyAlignment="1" applyProtection="1">
      <alignment horizontal="center" vertical="center" wrapText="1"/>
      <protection locked="0"/>
    </xf>
    <xf numFmtId="0" fontId="121"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1"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2" fillId="0" borderId="6"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lignment vertical="center"/>
    </xf>
    <xf numFmtId="0" fontId="138" fillId="0" borderId="0" xfId="0" applyFont="1">
      <alignment vertical="center"/>
    </xf>
    <xf numFmtId="178" fontId="138" fillId="0" borderId="0" xfId="0" applyNumberFormat="1" applyFont="1">
      <alignment vertical="center"/>
    </xf>
    <xf numFmtId="0" fontId="138" fillId="0" borderId="0" xfId="0" applyNumberFormat="1" applyFont="1">
      <alignment vertical="center"/>
    </xf>
    <xf numFmtId="178" fontId="137" fillId="0" borderId="0" xfId="0" applyNumberFormat="1" applyFont="1">
      <alignment vertical="center"/>
    </xf>
    <xf numFmtId="0" fontId="137" fillId="0" borderId="0" xfId="0" applyNumberFormat="1" applyFont="1">
      <alignment vertical="center"/>
    </xf>
    <xf numFmtId="0" fontId="139" fillId="0" borderId="0" xfId="0" applyNumberFormat="1" applyFont="1">
      <alignment vertical="center"/>
    </xf>
    <xf numFmtId="0" fontId="138" fillId="3" borderId="0" xfId="0" applyFont="1" applyFill="1">
      <alignment vertical="center"/>
    </xf>
    <xf numFmtId="178" fontId="138" fillId="3" borderId="0" xfId="0" applyNumberFormat="1" applyFont="1" applyFill="1">
      <alignment vertical="center"/>
    </xf>
    <xf numFmtId="0" fontId="138" fillId="3" borderId="0" xfId="0" applyNumberFormat="1" applyFont="1" applyFill="1">
      <alignment vertical="center"/>
    </xf>
    <xf numFmtId="0" fontId="140" fillId="0" borderId="0" xfId="0" applyNumberFormat="1" applyFont="1">
      <alignment vertical="center"/>
    </xf>
    <xf numFmtId="0" fontId="138" fillId="0" borderId="0" xfId="0" applyFont="1" applyAlignment="1">
      <alignment horizontal="left" vertical="center"/>
    </xf>
    <xf numFmtId="0" fontId="138" fillId="19" borderId="0" xfId="0" applyFont="1" applyFill="1" applyAlignment="1">
      <alignment horizontal="center" vertical="center"/>
    </xf>
    <xf numFmtId="0" fontId="138" fillId="20" borderId="0" xfId="0" applyFont="1" applyFill="1" applyAlignment="1">
      <alignment horizontal="left" vertical="center"/>
    </xf>
    <xf numFmtId="0" fontId="138" fillId="0" borderId="7" xfId="0" applyFont="1" applyBorder="1" applyAlignment="1">
      <alignment horizontal="left"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12" xfId="0" applyFont="1" applyBorder="1" applyAlignment="1">
      <alignment horizontal="left" vertical="center"/>
    </xf>
    <xf numFmtId="0" fontId="138" fillId="0" borderId="16" xfId="0" applyFont="1" applyBorder="1" applyAlignment="1">
      <alignment horizontal="left" vertical="center"/>
    </xf>
    <xf numFmtId="0" fontId="138" fillId="21" borderId="0" xfId="0" applyFont="1" applyFill="1" applyAlignment="1">
      <alignment horizontal="center" vertical="center"/>
    </xf>
    <xf numFmtId="0" fontId="138" fillId="0" borderId="29" xfId="0" applyFont="1" applyBorder="1" applyAlignment="1">
      <alignment horizontal="left" vertical="center"/>
    </xf>
    <xf numFmtId="0" fontId="138" fillId="22" borderId="7" xfId="0" applyFont="1" applyFill="1" applyBorder="1" applyAlignment="1">
      <alignment horizontal="center" vertical="center"/>
    </xf>
    <xf numFmtId="0" fontId="138" fillId="22" borderId="7" xfId="0" applyFont="1" applyFill="1" applyBorder="1" applyAlignment="1">
      <alignment horizontal="left" vertical="center"/>
    </xf>
    <xf numFmtId="0" fontId="139" fillId="0" borderId="7" xfId="0" applyFont="1" applyBorder="1" applyAlignment="1">
      <alignment horizontal="left" vertical="center"/>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3</xdr:col>
      <xdr:colOff>133350</xdr:colOff>
      <xdr:row>22</xdr:row>
      <xdr:rowOff>104775</xdr:rowOff>
    </xdr:from>
    <xdr:to>
      <xdr:col>6</xdr:col>
      <xdr:colOff>85725</xdr:colOff>
      <xdr:row>57</xdr:row>
      <xdr:rowOff>76200</xdr:rowOff>
    </xdr:to>
    <xdr:pic>
      <xdr:nvPicPr>
        <xdr:cNvPr id="3" name="图片 2"/>
        <xdr:cNvPicPr>
          <a:picLocks noChangeAspect="1"/>
        </xdr:cNvPicPr>
      </xdr:nvPicPr>
      <xdr:blipFill>
        <a:blip r:embed="rId2"/>
        <a:stretch>
          <a:fillRect/>
        </a:stretch>
      </xdr:blipFill>
      <xdr:spPr>
        <a:xfrm>
          <a:off x="2847975" y="4086225"/>
          <a:ext cx="5848350" cy="6305550"/>
        </a:xfrm>
        <a:prstGeom prst="rect">
          <a:avLst/>
        </a:prstGeom>
        <a:noFill/>
        <a:ln w="9525">
          <a:noFill/>
        </a:ln>
      </xdr:spPr>
    </xdr:pic>
    <xdr:clientData/>
  </xdr:twoCellAnchor>
  <xdr:twoCellAnchor editAs="oneCell">
    <xdr:from>
      <xdr:col>3</xdr:col>
      <xdr:colOff>228600</xdr:colOff>
      <xdr:row>58</xdr:row>
      <xdr:rowOff>171450</xdr:rowOff>
    </xdr:from>
    <xdr:to>
      <xdr:col>6</xdr:col>
      <xdr:colOff>638175</xdr:colOff>
      <xdr:row>95</xdr:row>
      <xdr:rowOff>38100</xdr:rowOff>
    </xdr:to>
    <xdr:pic>
      <xdr:nvPicPr>
        <xdr:cNvPr id="5" name="图片 4"/>
        <xdr:cNvPicPr>
          <a:picLocks noChangeAspect="1"/>
        </xdr:cNvPicPr>
      </xdr:nvPicPr>
      <xdr:blipFill>
        <a:blip r:embed="rId3"/>
        <a:stretch>
          <a:fillRect/>
        </a:stretch>
      </xdr:blipFill>
      <xdr:spPr>
        <a:xfrm>
          <a:off x="2943225" y="10668000"/>
          <a:ext cx="6305550" cy="6562725"/>
        </a:xfrm>
        <a:prstGeom prst="rect">
          <a:avLst/>
        </a:prstGeom>
        <a:noFill/>
        <a:ln w="9525">
          <a:noFill/>
        </a:ln>
      </xdr:spPr>
    </xdr:pic>
    <xdr:clientData/>
  </xdr:twoCellAnchor>
  <xdr:twoCellAnchor editAs="oneCell">
    <xdr:from>
      <xdr:col>6</xdr:col>
      <xdr:colOff>895350</xdr:colOff>
      <xdr:row>58</xdr:row>
      <xdr:rowOff>104775</xdr:rowOff>
    </xdr:from>
    <xdr:to>
      <xdr:col>13</xdr:col>
      <xdr:colOff>581025</xdr:colOff>
      <xdr:row>82</xdr:row>
      <xdr:rowOff>9525</xdr:rowOff>
    </xdr:to>
    <xdr:pic>
      <xdr:nvPicPr>
        <xdr:cNvPr id="6" name="图片 5"/>
        <xdr:cNvPicPr>
          <a:picLocks noChangeAspect="1"/>
        </xdr:cNvPicPr>
      </xdr:nvPicPr>
      <xdr:blipFill>
        <a:blip r:embed="rId4"/>
        <a:stretch>
          <a:fillRect/>
        </a:stretch>
      </xdr:blipFill>
      <xdr:spPr>
        <a:xfrm>
          <a:off x="9505950" y="10601325"/>
          <a:ext cx="6448425" cy="4248150"/>
        </a:xfrm>
        <a:prstGeom prst="rect">
          <a:avLst/>
        </a:prstGeom>
        <a:noFill/>
        <a:ln w="9525">
          <a:noFill/>
        </a:ln>
      </xdr:spPr>
    </xdr:pic>
    <xdr:clientData/>
  </xdr:twoCellAnchor>
  <xdr:twoCellAnchor editAs="oneCell">
    <xdr:from>
      <xdr:col>3</xdr:col>
      <xdr:colOff>1200150</xdr:colOff>
      <xdr:row>42</xdr:row>
      <xdr:rowOff>0</xdr:rowOff>
    </xdr:from>
    <xdr:to>
      <xdr:col>6</xdr:col>
      <xdr:colOff>45085</xdr:colOff>
      <xdr:row>44</xdr:row>
      <xdr:rowOff>76835</xdr:rowOff>
    </xdr:to>
    <xdr:pic>
      <xdr:nvPicPr>
        <xdr:cNvPr id="7" name="图片 6"/>
        <xdr:cNvPicPr>
          <a:picLocks noChangeAspect="1"/>
        </xdr:cNvPicPr>
      </xdr:nvPicPr>
      <xdr:blipFill>
        <a:blip r:embed="rId5"/>
        <a:stretch>
          <a:fillRect/>
        </a:stretch>
      </xdr:blipFill>
      <xdr:spPr>
        <a:xfrm>
          <a:off x="3914775" y="7600950"/>
          <a:ext cx="4740910" cy="438785"/>
        </a:xfrm>
        <a:prstGeom prst="rect">
          <a:avLst/>
        </a:prstGeom>
        <a:noFill/>
        <a:ln w="9525">
          <a:noFill/>
        </a:ln>
      </xdr:spPr>
    </xdr:pic>
    <xdr:clientData/>
  </xdr:twoCellAnchor>
  <xdr:twoCellAnchor editAs="oneCell">
    <xdr:from>
      <xdr:col>6</xdr:col>
      <xdr:colOff>761365</xdr:colOff>
      <xdr:row>83</xdr:row>
      <xdr:rowOff>47625</xdr:rowOff>
    </xdr:from>
    <xdr:to>
      <xdr:col>13</xdr:col>
      <xdr:colOff>427355</xdr:colOff>
      <xdr:row>85</xdr:row>
      <xdr:rowOff>148590</xdr:rowOff>
    </xdr:to>
    <xdr:pic>
      <xdr:nvPicPr>
        <xdr:cNvPr id="8" name="图片 7"/>
        <xdr:cNvPicPr>
          <a:picLocks noChangeAspect="1"/>
        </xdr:cNvPicPr>
      </xdr:nvPicPr>
      <xdr:blipFill>
        <a:blip r:embed="rId5"/>
        <a:stretch>
          <a:fillRect/>
        </a:stretch>
      </xdr:blipFill>
      <xdr:spPr>
        <a:xfrm>
          <a:off x="9371965" y="15068550"/>
          <a:ext cx="6428740" cy="462915"/>
        </a:xfrm>
        <a:prstGeom prst="rect">
          <a:avLst/>
        </a:prstGeom>
        <a:noFill/>
        <a:ln w="9525">
          <a:noFill/>
        </a:ln>
      </xdr:spPr>
    </xdr:pic>
    <xdr:clientData/>
  </xdr:twoCellAnchor>
  <xdr:twoCellAnchor editAs="oneCell">
    <xdr:from>
      <xdr:col>14</xdr:col>
      <xdr:colOff>0</xdr:colOff>
      <xdr:row>1</xdr:row>
      <xdr:rowOff>9525</xdr:rowOff>
    </xdr:from>
    <xdr:to>
      <xdr:col>19</xdr:col>
      <xdr:colOff>400050</xdr:colOff>
      <xdr:row>10</xdr:row>
      <xdr:rowOff>171450</xdr:rowOff>
    </xdr:to>
    <xdr:pic>
      <xdr:nvPicPr>
        <xdr:cNvPr id="4" name="图片 3"/>
        <xdr:cNvPicPr>
          <a:picLocks noChangeAspect="1"/>
        </xdr:cNvPicPr>
      </xdr:nvPicPr>
      <xdr:blipFill>
        <a:blip r:embed="rId6"/>
        <a:stretch>
          <a:fillRect/>
        </a:stretch>
      </xdr:blipFill>
      <xdr:spPr>
        <a:xfrm>
          <a:off x="16230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估价对象为北京市房地产，为所有。根据《国有土地使用证》[]，估价对象（分摊）出让国有建设用地使用权面积为14251.17平方米，建筑面积为32267.62平方米。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估价对象为北京市房地产,属开发建设的，该项目尚在开发建设中。根据《国有土地使用证》[]，估价对象（分摊）出让国有建设用地使用权面积为14251.17平方米，规划建筑面积为32267.62平方米。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2025年12月31日</v>
      </c>
    </row>
    <row r="13" s="4781" customFormat="1" spans="1:2">
      <c r="A13" s="4789" t="s">
        <v>13</v>
      </c>
      <c r="B13" s="479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93618</v>
      </c>
    </row>
    <row r="21" s="4781" customFormat="1" spans="1:2">
      <c r="A21" s="4789" t="s">
        <v>21</v>
      </c>
      <c r="B21" s="4790">
        <f ca="1">'预评函-2'!D7</f>
        <v>29013</v>
      </c>
    </row>
    <row r="22" s="4781" customFormat="1" spans="1:2">
      <c r="A22" s="4789" t="s">
        <v>22</v>
      </c>
      <c r="B22" s="4790" t="str">
        <f ca="1">'预评函-2'!D6</f>
        <v>玖亿叁仟陆佰壹拾捌万元整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93618</v>
      </c>
    </row>
    <row r="31" s="4781" customFormat="1" spans="1:2">
      <c r="A31" s="4789" t="s">
        <v>31</v>
      </c>
      <c r="B31" s="4790">
        <f ca="1">'预评函-2'!D15</f>
        <v>29013</v>
      </c>
    </row>
    <row r="32" s="4781" customFormat="1" spans="1:2">
      <c r="A32" s="4789" t="s">
        <v>32</v>
      </c>
      <c r="B32" s="4790" t="str">
        <f ca="1">'预评函-2'!D14</f>
        <v>玖亿叁仟陆佰壹拾捌万元整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32267.62</v>
      </c>
    </row>
    <row r="44" s="4781" customFormat="1" spans="1:2">
      <c r="A44" s="4789" t="s">
        <v>44</v>
      </c>
      <c r="B44" s="4790" t="str">
        <f>'预评函-3'!C2</f>
        <v>(分摊)土地面积</v>
      </c>
    </row>
    <row r="45" s="4781" customFormat="1" spans="1:2">
      <c r="A45" s="4789" t="s">
        <v>45</v>
      </c>
      <c r="B45" s="4790">
        <f>'预评函-3'!C4</f>
        <v>14251.17</v>
      </c>
    </row>
    <row r="46" s="4781" customFormat="1" spans="1:2">
      <c r="A46" s="4789" t="s">
        <v>46</v>
      </c>
      <c r="B46" s="4790" t="str">
        <f>'预评函-3'!D2</f>
        <v>出让国有建设用地使用权价值</v>
      </c>
    </row>
    <row r="47" s="4781" customFormat="1" spans="1:2">
      <c r="A47" s="4789" t="s">
        <v>47</v>
      </c>
      <c r="B47" s="4790">
        <f ca="1">'预评函-3'!D4</f>
        <v>60103</v>
      </c>
    </row>
    <row r="48" s="4781" customFormat="1" spans="1:2">
      <c r="A48" s="4789" t="s">
        <v>48</v>
      </c>
      <c r="B48" s="4790">
        <f ca="1">'预评函-3'!E4</f>
        <v>18626</v>
      </c>
    </row>
    <row r="49" s="4781" customFormat="1" spans="1:2">
      <c r="A49" s="4789" t="s">
        <v>49</v>
      </c>
      <c r="B49" s="4790" t="str">
        <f ca="1">'预评函-3'!D5</f>
        <v>陆亿零壹佰零叁万元整</v>
      </c>
    </row>
    <row r="50" s="4781" customFormat="1" spans="1:2">
      <c r="A50" s="4789" t="s">
        <v>50</v>
      </c>
      <c r="B50" s="4790">
        <f>'预评函-3'!F2</f>
        <v>0</v>
      </c>
    </row>
    <row r="51" s="4781" customFormat="1" spans="1:2">
      <c r="A51" s="4789" t="s">
        <v>51</v>
      </c>
      <c r="B51" s="4790">
        <f ca="1">'预评函-3'!F4</f>
        <v>33515</v>
      </c>
    </row>
    <row r="52" s="4781" customFormat="1" spans="1:2">
      <c r="A52" s="4789" t="s">
        <v>52</v>
      </c>
      <c r="B52" s="4790">
        <f ca="1">'预评函-3'!G4</f>
        <v>10387</v>
      </c>
    </row>
    <row r="53" s="4781" customFormat="1" spans="1:2">
      <c r="A53" s="4789" t="s">
        <v>53</v>
      </c>
      <c r="B53" s="4790" t="str">
        <f ca="1">'预评函-3'!F5</f>
        <v>叁亿叁仟伍佰壹拾伍万元整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1" customWidth="1"/>
    <col min="2" max="2" width="23.25" style="51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1"/>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361</v>
      </c>
      <c r="C24" s="4631"/>
    </row>
    <row r="25" spans="1:3">
      <c r="A25" s="4630" t="s">
        <v>362</v>
      </c>
      <c r="B25" s="4630" t="s">
        <v>363</v>
      </c>
      <c r="C25" s="4631"/>
    </row>
    <row r="26" spans="1:3">
      <c r="A26" s="4630" t="s">
        <v>364</v>
      </c>
      <c r="B26" s="4630" t="s">
        <v>365</v>
      </c>
      <c r="C26" s="4631"/>
    </row>
    <row r="27" spans="1:3">
      <c r="A27" s="4630" t="s">
        <v>366</v>
      </c>
      <c r="B27" s="4630" t="s">
        <v>366</v>
      </c>
      <c r="C27" s="4631"/>
    </row>
    <row r="28" spans="1:3">
      <c r="A28" s="4630" t="s">
        <v>366</v>
      </c>
      <c r="B28" s="4630" t="s">
        <v>366</v>
      </c>
      <c r="C28" s="4631"/>
    </row>
    <row r="29" spans="1:3">
      <c r="A29" s="4630" t="s">
        <v>366</v>
      </c>
      <c r="B29" s="4630" t="s">
        <v>366</v>
      </c>
      <c r="C29" s="4631"/>
    </row>
    <row r="30" spans="1:3">
      <c r="A30" s="4630" t="s">
        <v>366</v>
      </c>
      <c r="B30" s="4630" t="s">
        <v>366</v>
      </c>
      <c r="C30" s="4631"/>
    </row>
    <row r="31" spans="1:3">
      <c r="A31" s="4630" t="s">
        <v>366</v>
      </c>
      <c r="B31" s="4630" t="s">
        <v>366</v>
      </c>
      <c r="C31" s="4631"/>
    </row>
    <row r="32" spans="1:3">
      <c r="A32" s="4630" t="s">
        <v>366</v>
      </c>
      <c r="B32" s="4630" t="s">
        <v>366</v>
      </c>
      <c r="C32" s="4631"/>
    </row>
    <row r="33" spans="1:3">
      <c r="A33" s="4630" t="s">
        <v>366</v>
      </c>
      <c r="B33" s="4630" t="s">
        <v>366</v>
      </c>
      <c r="C33" s="4631"/>
    </row>
    <row r="34" spans="1:3">
      <c r="A34" s="4630" t="s">
        <v>366</v>
      </c>
      <c r="B34" s="4630" t="s">
        <v>366</v>
      </c>
      <c r="C34" s="4631"/>
    </row>
    <row r="35" spans="1:3">
      <c r="A35" s="4630" t="s">
        <v>366</v>
      </c>
      <c r="B35" s="4630" t="s">
        <v>366</v>
      </c>
      <c r="C35" s="4631"/>
    </row>
    <row r="36" spans="1:3">
      <c r="A36" s="4630" t="s">
        <v>366</v>
      </c>
      <c r="B36" s="4630" t="s">
        <v>366</v>
      </c>
      <c r="C36" s="4631"/>
    </row>
    <row r="37" spans="1:3">
      <c r="A37" s="4630" t="s">
        <v>366</v>
      </c>
      <c r="B37" s="4630" t="s">
        <v>366</v>
      </c>
      <c r="C37" s="4631"/>
    </row>
    <row r="38" spans="1:3">
      <c r="A38" s="4630" t="s">
        <v>366</v>
      </c>
      <c r="B38" s="4630" t="s">
        <v>366</v>
      </c>
      <c r="C38" s="4631"/>
    </row>
    <row r="39" spans="1:3">
      <c r="A39" s="4630" t="s">
        <v>366</v>
      </c>
      <c r="B39" s="4630" t="s">
        <v>366</v>
      </c>
      <c r="C39" s="4631"/>
    </row>
    <row r="40" spans="1:3">
      <c r="A40" s="4630" t="s">
        <v>366</v>
      </c>
      <c r="B40" s="4630" t="s">
        <v>366</v>
      </c>
      <c r="C40" s="4631"/>
    </row>
    <row r="41" spans="1:3">
      <c r="A41" s="4630" t="s">
        <v>366</v>
      </c>
      <c r="B41" s="4630" t="s">
        <v>366</v>
      </c>
      <c r="C41" s="4631"/>
    </row>
    <row r="42" spans="1:3">
      <c r="A42" s="4630" t="s">
        <v>366</v>
      </c>
      <c r="B42" s="4630" t="s">
        <v>366</v>
      </c>
      <c r="C42" s="4631"/>
    </row>
    <row r="43" spans="1:3">
      <c r="A43" s="4630" t="s">
        <v>366</v>
      </c>
      <c r="B43" s="4630" t="s">
        <v>366</v>
      </c>
      <c r="C43" s="4631"/>
    </row>
    <row r="44" spans="1:3">
      <c r="A44" s="4630" t="s">
        <v>366</v>
      </c>
      <c r="B44" s="4630" t="s">
        <v>366</v>
      </c>
      <c r="C44" s="4631"/>
    </row>
    <row r="45" spans="1:3">
      <c r="A45" s="4630" t="s">
        <v>366</v>
      </c>
      <c r="B45" s="4630" t="s">
        <v>366</v>
      </c>
      <c r="C45" s="4631"/>
    </row>
    <row r="46" spans="1:3">
      <c r="A46" s="4630" t="s">
        <v>366</v>
      </c>
      <c r="B46" s="4630" t="s">
        <v>366</v>
      </c>
      <c r="C46" s="4631"/>
    </row>
    <row r="47" spans="1:3">
      <c r="A47" s="4630" t="s">
        <v>366</v>
      </c>
      <c r="B47" s="4630" t="s">
        <v>366</v>
      </c>
      <c r="C47" s="4631"/>
    </row>
    <row r="48" spans="1:3">
      <c r="A48" s="4630" t="s">
        <v>366</v>
      </c>
      <c r="B48" s="4630" t="s">
        <v>366</v>
      </c>
      <c r="C48" s="4631"/>
    </row>
    <row r="49" spans="1:4">
      <c r="A49" s="4630" t="s">
        <v>366</v>
      </c>
      <c r="B49" s="4630" t="s">
        <v>366</v>
      </c>
      <c r="C49" s="4631"/>
    </row>
    <row r="50" spans="1:4">
      <c r="A50" s="4630" t="s">
        <v>366</v>
      </c>
      <c r="B50" s="4630" t="s">
        <v>366</v>
      </c>
      <c r="C50" s="4631"/>
    </row>
    <row r="51" spans="1:4">
      <c r="A51" s="4636" t="s">
        <v>367</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368</v>
      </c>
    </row>
    <row r="52" spans="1:4">
      <c r="A52" s="4636" t="s">
        <v>369</v>
      </c>
      <c r="B52" s="4636" t="s">
        <v>370</v>
      </c>
      <c r="C52" s="4622" t="s">
        <v>371</v>
      </c>
      <c r="D52" s="4622" t="s">
        <v>372</v>
      </c>
    </row>
    <row r="53" spans="1:4">
      <c r="A53" s="4626" t="s">
        <v>373</v>
      </c>
      <c r="B53" s="4637" t="s">
        <v>374</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375</v>
      </c>
      <c r="C54" s="4622" t="s">
        <v>376</v>
      </c>
    </row>
    <row r="55" spans="1:4">
      <c r="A55" s="4626"/>
      <c r="B55" s="4637" t="s">
        <v>377</v>
      </c>
      <c r="C55" s="4622" t="s">
        <v>378</v>
      </c>
    </row>
    <row r="56" spans="1:4">
      <c r="A56" s="4626"/>
      <c r="B56" s="4637" t="s">
        <v>379</v>
      </c>
      <c r="C56" s="4622" t="s">
        <v>380</v>
      </c>
    </row>
    <row r="57" spans="1:4">
      <c r="A57" s="4626"/>
      <c r="B57" s="4637" t="s">
        <v>381</v>
      </c>
      <c r="C57" s="4622" t="s">
        <v>382</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60" sqref="B60"/>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383</v>
      </c>
      <c r="B1" s="4463"/>
      <c r="C1" s="4463"/>
      <c r="D1" s="4463"/>
      <c r="E1" s="4463"/>
      <c r="F1" s="4464"/>
      <c r="I1" s="4465" t="s">
        <v>384</v>
      </c>
      <c r="J1" s="4466"/>
      <c r="K1" s="4466"/>
      <c r="L1" s="4466"/>
      <c r="M1" s="4466"/>
      <c r="N1" s="4467"/>
      <c r="O1" s="4467"/>
      <c r="P1" s="4467"/>
      <c r="Q1" s="4467"/>
      <c r="R1" s="4468"/>
    </row>
    <row r="2" spans="1:19">
      <c r="A2" s="4469"/>
      <c r="B2" s="4470"/>
      <c r="C2" s="4470"/>
      <c r="D2" s="4470"/>
      <c r="E2" s="4470"/>
      <c r="F2" s="4471"/>
      <c r="I2" s="4472" t="s">
        <v>385</v>
      </c>
      <c r="J2" s="4473"/>
      <c r="K2" s="4473"/>
      <c r="L2" s="4473"/>
      <c r="M2" s="4473"/>
      <c r="N2" s="4473"/>
      <c r="O2" s="4473"/>
      <c r="P2" s="4473"/>
      <c r="Q2" s="4473"/>
      <c r="R2" s="4474"/>
    </row>
    <row r="3" spans="1:19">
      <c r="A3" s="526" t="s">
        <v>386</v>
      </c>
      <c r="B3" s="4475">
        <f>项目基本情况!D3</f>
        <v>46022</v>
      </c>
      <c r="C3" s="4476"/>
      <c r="D3" s="4476"/>
      <c r="E3" s="4476"/>
      <c r="F3" s="4471"/>
      <c r="I3" s="4477"/>
      <c r="J3" s="4478" t="s">
        <v>387</v>
      </c>
      <c r="K3" s="4478" t="s">
        <v>388</v>
      </c>
      <c r="L3" s="4478" t="s">
        <v>389</v>
      </c>
      <c r="M3" s="4478" t="s">
        <v>390</v>
      </c>
      <c r="N3" s="4479" t="s">
        <v>391</v>
      </c>
      <c r="O3" s="4479" t="s">
        <v>392</v>
      </c>
      <c r="P3" s="4479" t="s">
        <v>393</v>
      </c>
      <c r="Q3" s="4479" t="s">
        <v>394</v>
      </c>
      <c r="R3" s="4480" t="s">
        <v>395</v>
      </c>
    </row>
    <row r="4" spans="1:19">
      <c r="A4" s="526" t="s">
        <v>396</v>
      </c>
      <c r="B4" s="4476" t="s">
        <v>397</v>
      </c>
      <c r="C4" s="4476" t="s">
        <v>398</v>
      </c>
      <c r="D4" s="4476" t="s">
        <v>399</v>
      </c>
      <c r="E4" s="4476" t="s">
        <v>400</v>
      </c>
      <c r="F4" s="4471"/>
      <c r="I4" s="4477" t="s">
        <v>401</v>
      </c>
      <c r="J4" s="4481">
        <v>80</v>
      </c>
      <c r="K4" s="4481">
        <v>70</v>
      </c>
      <c r="L4" s="4481">
        <v>20</v>
      </c>
      <c r="M4" s="4481">
        <v>30</v>
      </c>
      <c r="N4" s="4482">
        <v>45</v>
      </c>
      <c r="O4" s="4482">
        <v>60</v>
      </c>
      <c r="P4" s="4482">
        <v>50</v>
      </c>
      <c r="Q4" s="4482">
        <v>20</v>
      </c>
      <c r="R4" s="4483">
        <v>375</v>
      </c>
    </row>
    <row r="5" spans="1:19">
      <c r="A5" s="4484">
        <v>40</v>
      </c>
      <c r="B5" s="4475">
        <v>46375</v>
      </c>
      <c r="C5" s="4482">
        <f>ROUNDDOWN(MIN((B5-B3)/365,A5),2)</f>
        <v>0.96</v>
      </c>
      <c r="D5" s="4485">
        <f>IF(ISERROR(ROUND(POWER(1+E5,A5-C5)*(POWER(1+E5,C5)-1)/(POWER(1+E5,A5)-1),3)),0,ROUND(POWER(1+E5,A5-C5)*(POWER(1+E5,C5)-1)/(POWER(1+E5,A5)-1),4))</f>
        <v>0.0467</v>
      </c>
      <c r="E5" s="4486">
        <v>0.04</v>
      </c>
      <c r="F5" s="4471"/>
      <c r="I5" s="4477" t="s">
        <v>402</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10.97</v>
      </c>
      <c r="D6" s="4485">
        <f>IF(ISERROR(ROUND(POWER(1+E6,A6-C6)*(POWER(1+E6,C6)-1)/(POWER(1+E6,A6)-1),3)),0,ROUND(POWER(1+E6,A6-C6)*(POWER(1+E6,C6)-1)/(POWER(1+E6,A6)-1),4))</f>
        <v>0.4069</v>
      </c>
      <c r="E6" s="4486">
        <v>0.04</v>
      </c>
      <c r="F6" s="4471"/>
      <c r="I6" s="4487" t="s">
        <v>403</v>
      </c>
      <c r="J6" s="4488">
        <v>60</v>
      </c>
      <c r="K6" s="4488">
        <v>50</v>
      </c>
      <c r="L6" s="4488">
        <v>10</v>
      </c>
      <c r="M6" s="4488">
        <v>20</v>
      </c>
      <c r="N6" s="4489">
        <v>35</v>
      </c>
      <c r="O6" s="4489">
        <v>40</v>
      </c>
      <c r="P6" s="4489">
        <v>30</v>
      </c>
      <c r="Q6" s="4489">
        <v>10</v>
      </c>
      <c r="R6" s="4490">
        <v>255</v>
      </c>
    </row>
    <row r="7" spans="1:19">
      <c r="A7" s="4484">
        <v>70</v>
      </c>
      <c r="B7" s="4475">
        <v>57333</v>
      </c>
      <c r="C7" s="4482">
        <f>ROUNDDOWN(MIN((B7-B3)/365,A7),2)</f>
        <v>30.98</v>
      </c>
      <c r="D7" s="4485">
        <f>IF(ISERROR(ROUND(POWER(1+E7,A7-C7)*(POWER(1+E7,C7)-1)/(POWER(1+E7,A7)-1),3)),0,ROUND(POWER(1+E7,A7-C7)*(POWER(1+E7,C7)-1)/(POWER(1+E7,A7)-1),4))</f>
        <v>0.7516</v>
      </c>
      <c r="E7" s="4486">
        <v>0.04</v>
      </c>
      <c r="F7" s="4471"/>
      <c r="I7" s="4491" t="s">
        <v>404</v>
      </c>
      <c r="J7" s="4492" t="s">
        <v>405</v>
      </c>
      <c r="K7" s="4493">
        <v>2</v>
      </c>
      <c r="L7" s="4494"/>
      <c r="M7" s="4495"/>
      <c r="N7" s="4463"/>
      <c r="O7" s="4463"/>
      <c r="P7" s="4463"/>
      <c r="Q7" s="4463"/>
      <c r="R7" s="4464"/>
    </row>
    <row r="8" ht="14.25" spans="1:19">
      <c r="A8" s="4469"/>
      <c r="B8" s="4470"/>
      <c r="C8" s="4470"/>
      <c r="D8" s="4470"/>
      <c r="E8" s="4470"/>
      <c r="F8" s="4471"/>
      <c r="I8" s="4472" t="s">
        <v>406</v>
      </c>
      <c r="J8" s="4473"/>
      <c r="K8" s="4473"/>
      <c r="L8" s="4473"/>
      <c r="M8" s="4473"/>
      <c r="N8" s="4473"/>
      <c r="O8" s="4473"/>
      <c r="P8" s="4473"/>
      <c r="Q8" s="4473"/>
      <c r="R8" s="4474"/>
    </row>
    <row r="9" spans="1:19">
      <c r="A9" s="526" t="s">
        <v>407</v>
      </c>
      <c r="B9" s="4476"/>
      <c r="C9" s="4476"/>
      <c r="D9" s="4476"/>
      <c r="E9" s="4476"/>
      <c r="F9" s="4496"/>
      <c r="I9" s="4477"/>
      <c r="J9" s="4478" t="s">
        <v>387</v>
      </c>
      <c r="K9" s="4478" t="s">
        <v>388</v>
      </c>
      <c r="L9" s="4478" t="s">
        <v>389</v>
      </c>
      <c r="M9" s="4478" t="s">
        <v>390</v>
      </c>
      <c r="N9" s="4479" t="s">
        <v>391</v>
      </c>
      <c r="O9" s="4479" t="s">
        <v>392</v>
      </c>
      <c r="P9" s="4479" t="s">
        <v>393</v>
      </c>
      <c r="Q9" s="4479" t="s">
        <v>394</v>
      </c>
      <c r="R9" s="4480" t="s">
        <v>395</v>
      </c>
      <c r="S9" s="4497" t="s">
        <v>408</v>
      </c>
    </row>
    <row r="10" spans="1:19">
      <c r="A10" s="526" t="s">
        <v>409</v>
      </c>
      <c r="B10" s="4476"/>
      <c r="C10" s="4476"/>
      <c r="D10" s="4476" t="s">
        <v>400</v>
      </c>
      <c r="E10" s="4476"/>
      <c r="F10" s="4496" t="s">
        <v>399</v>
      </c>
      <c r="I10" s="4477" t="s">
        <v>401</v>
      </c>
      <c r="J10" s="4481">
        <f>ROUND(J4/$K$7,0)</f>
        <v>40</v>
      </c>
      <c r="K10" s="4481">
        <f t="shared" ref="K10:Q12" si="0">ROUND(K4/$K$7,0)</f>
        <v>35</v>
      </c>
      <c r="L10" s="4481">
        <f t="shared" si="0"/>
        <v>10</v>
      </c>
      <c r="M10" s="4481">
        <f t="shared" si="0"/>
        <v>15</v>
      </c>
      <c r="N10" s="4481">
        <f t="shared" si="0"/>
        <v>23</v>
      </c>
      <c r="O10" s="4481">
        <f t="shared" si="0"/>
        <v>30</v>
      </c>
      <c r="P10" s="4481">
        <f t="shared" si="0"/>
        <v>25</v>
      </c>
      <c r="Q10" s="4481">
        <f t="shared" si="0"/>
        <v>10</v>
      </c>
      <c r="R10" s="4498">
        <f>SUM(J10:Q10)</f>
        <v>188</v>
      </c>
      <c r="S10" s="4499"/>
    </row>
    <row r="11" spans="1:19">
      <c r="A11" s="4500" t="s">
        <v>410</v>
      </c>
      <c r="B11" s="4501">
        <v>70</v>
      </c>
      <c r="C11" s="4502" t="s">
        <v>411</v>
      </c>
      <c r="D11" s="4486">
        <v>0.045</v>
      </c>
      <c r="E11" s="4502" t="s">
        <v>412</v>
      </c>
      <c r="F11" s="4503">
        <f>ROUND(1-(1/(POWER(1+D11,B11))),4)</f>
        <v>0.9541</v>
      </c>
      <c r="I11" s="4477" t="s">
        <v>402</v>
      </c>
      <c r="J11" s="4481">
        <f>ROUND(J5/$K$7,0)</f>
        <v>35</v>
      </c>
      <c r="K11" s="4481">
        <f t="shared" si="0"/>
        <v>30</v>
      </c>
      <c r="L11" s="4481">
        <f t="shared" si="0"/>
        <v>8</v>
      </c>
      <c r="M11" s="4481">
        <f t="shared" si="0"/>
        <v>13</v>
      </c>
      <c r="N11" s="4481">
        <f t="shared" si="0"/>
        <v>20</v>
      </c>
      <c r="O11" s="4481">
        <f t="shared" si="0"/>
        <v>25</v>
      </c>
      <c r="P11" s="4481">
        <f t="shared" si="0"/>
        <v>20</v>
      </c>
      <c r="Q11" s="4481">
        <f t="shared" si="0"/>
        <v>8</v>
      </c>
      <c r="R11" s="4498">
        <f t="shared" ref="R11:R12" si="1">SUM(J11:Q11)</f>
        <v>159</v>
      </c>
      <c r="S11" s="4499"/>
    </row>
    <row r="12" ht="14.25" spans="1:19">
      <c r="A12" s="4500" t="s">
        <v>413</v>
      </c>
      <c r="B12" s="4501">
        <v>40</v>
      </c>
      <c r="C12" s="4502" t="s">
        <v>414</v>
      </c>
      <c r="D12" s="4486">
        <v>0.045</v>
      </c>
      <c r="E12" s="4502" t="s">
        <v>415</v>
      </c>
      <c r="F12" s="4503">
        <f>ROUND(1-(1/(POWER(1+D12,B12))),4)</f>
        <v>0.8281</v>
      </c>
      <c r="I12" s="4504" t="s">
        <v>403</v>
      </c>
      <c r="J12" s="4481">
        <f>ROUND(J6/$K$7,0)</f>
        <v>30</v>
      </c>
      <c r="K12" s="4481">
        <f t="shared" si="0"/>
        <v>25</v>
      </c>
      <c r="L12" s="4481">
        <f t="shared" si="0"/>
        <v>5</v>
      </c>
      <c r="M12" s="4481">
        <f t="shared" si="0"/>
        <v>10</v>
      </c>
      <c r="N12" s="4481">
        <f t="shared" si="0"/>
        <v>18</v>
      </c>
      <c r="O12" s="4481">
        <f t="shared" si="0"/>
        <v>20</v>
      </c>
      <c r="P12" s="4481">
        <f t="shared" si="0"/>
        <v>15</v>
      </c>
      <c r="Q12" s="4481">
        <f t="shared" si="0"/>
        <v>5</v>
      </c>
      <c r="R12" s="4498">
        <f t="shared" si="1"/>
        <v>128</v>
      </c>
      <c r="S12" s="4499"/>
    </row>
    <row r="13" spans="1:19">
      <c r="A13" s="526" t="s">
        <v>416</v>
      </c>
      <c r="B13" s="4476"/>
      <c r="C13" s="4476"/>
      <c r="D13" s="4470"/>
      <c r="E13" s="4470"/>
      <c r="F13" s="4471"/>
      <c r="I13" s="4505" t="s">
        <v>417</v>
      </c>
      <c r="J13" s="4506">
        <v>1.6</v>
      </c>
      <c r="K13" s="4495" t="s">
        <v>418</v>
      </c>
      <c r="L13" s="4507">
        <v>1.05</v>
      </c>
      <c r="M13" s="4495"/>
      <c r="N13" s="4463"/>
      <c r="O13" s="4463"/>
      <c r="P13" s="4463"/>
      <c r="Q13" s="4463"/>
      <c r="R13" s="4464"/>
      <c r="S13" s="4499"/>
    </row>
    <row r="14" spans="1:19">
      <c r="A14" s="4500" t="s">
        <v>419</v>
      </c>
      <c r="B14" s="4508">
        <v>5000</v>
      </c>
      <c r="C14" s="4509"/>
      <c r="D14" s="4470"/>
      <c r="E14" s="4470"/>
      <c r="F14" s="4471"/>
      <c r="I14" s="4477"/>
      <c r="J14" s="4478" t="s">
        <v>387</v>
      </c>
      <c r="K14" s="4478" t="s">
        <v>388</v>
      </c>
      <c r="L14" s="4478" t="s">
        <v>389</v>
      </c>
      <c r="M14" s="4478" t="s">
        <v>390</v>
      </c>
      <c r="N14" s="4479" t="s">
        <v>391</v>
      </c>
      <c r="O14" s="4479" t="s">
        <v>392</v>
      </c>
      <c r="P14" s="4479" t="s">
        <v>393</v>
      </c>
      <c r="Q14" s="4479" t="s">
        <v>394</v>
      </c>
      <c r="R14" s="4480" t="s">
        <v>395</v>
      </c>
      <c r="S14" s="4499"/>
    </row>
    <row r="15" spans="1:19">
      <c r="A15" s="4500" t="s">
        <v>420</v>
      </c>
      <c r="B15" s="4510">
        <f>ROUND(B14*F12/F11,2)</f>
        <v>4339.69</v>
      </c>
      <c r="C15" s="4485">
        <f>ROUND(F12/F11,4)</f>
        <v>0.8679</v>
      </c>
      <c r="D15" s="4470"/>
      <c r="E15" s="4470"/>
      <c r="F15" s="4471"/>
      <c r="I15" s="4477" t="s">
        <v>401</v>
      </c>
      <c r="J15" s="4481">
        <f>ROUND(J10*$L$13,0)</f>
        <v>42</v>
      </c>
      <c r="K15" s="4481">
        <f t="shared" ref="K15:Q15" si="2">ROUND(K10*$L$13,0)</f>
        <v>37</v>
      </c>
      <c r="L15" s="4481">
        <f t="shared" si="2"/>
        <v>11</v>
      </c>
      <c r="M15" s="4481">
        <f t="shared" si="2"/>
        <v>16</v>
      </c>
      <c r="N15" s="4481">
        <f t="shared" si="2"/>
        <v>24</v>
      </c>
      <c r="O15" s="4481">
        <f t="shared" si="2"/>
        <v>32</v>
      </c>
      <c r="P15" s="4481">
        <f t="shared" si="2"/>
        <v>26</v>
      </c>
      <c r="Q15" s="4481">
        <f t="shared" si="2"/>
        <v>11</v>
      </c>
      <c r="R15" s="4511">
        <f>SUM(J15:Q15)</f>
        <v>199</v>
      </c>
      <c r="S15" s="4499"/>
    </row>
    <row r="16" spans="1:19">
      <c r="A16" s="526" t="s">
        <v>421</v>
      </c>
      <c r="B16" s="4512"/>
      <c r="C16" s="4512"/>
      <c r="D16" s="4470"/>
      <c r="E16" s="4470"/>
      <c r="F16" s="4471"/>
      <c r="I16" s="4477" t="s">
        <v>402</v>
      </c>
      <c r="J16" s="4481">
        <f t="shared" ref="J16:Q16" si="3">ROUND(J11*$L$13,0)</f>
        <v>37</v>
      </c>
      <c r="K16" s="4481">
        <f t="shared" si="3"/>
        <v>32</v>
      </c>
      <c r="L16" s="4481">
        <f t="shared" si="3"/>
        <v>8</v>
      </c>
      <c r="M16" s="4481">
        <f t="shared" si="3"/>
        <v>14</v>
      </c>
      <c r="N16" s="4481">
        <f t="shared" si="3"/>
        <v>21</v>
      </c>
      <c r="O16" s="4481">
        <f t="shared" si="3"/>
        <v>26</v>
      </c>
      <c r="P16" s="4481">
        <f t="shared" si="3"/>
        <v>21</v>
      </c>
      <c r="Q16" s="4481">
        <f t="shared" si="3"/>
        <v>8</v>
      </c>
      <c r="R16" s="4511">
        <f t="shared" ref="R16:R17" si="4">SUM(J16:Q16)</f>
        <v>167</v>
      </c>
      <c r="S16" s="4499"/>
    </row>
    <row r="17" ht="14.25" spans="1:19">
      <c r="A17" s="4500" t="s">
        <v>420</v>
      </c>
      <c r="B17" s="4513">
        <v>4810</v>
      </c>
      <c r="C17" s="4509"/>
      <c r="D17" s="4470"/>
      <c r="E17" s="4470"/>
      <c r="F17" s="4471"/>
      <c r="I17" s="4487" t="s">
        <v>403</v>
      </c>
      <c r="J17" s="4481">
        <f t="shared" ref="J17:Q17" si="5">ROUND(J12*$L$13,0)</f>
        <v>32</v>
      </c>
      <c r="K17" s="4481">
        <f t="shared" si="5"/>
        <v>26</v>
      </c>
      <c r="L17" s="4481">
        <f t="shared" si="5"/>
        <v>5</v>
      </c>
      <c r="M17" s="4481">
        <f t="shared" si="5"/>
        <v>11</v>
      </c>
      <c r="N17" s="4481">
        <f t="shared" si="5"/>
        <v>19</v>
      </c>
      <c r="O17" s="4481">
        <f t="shared" si="5"/>
        <v>21</v>
      </c>
      <c r="P17" s="4481">
        <f t="shared" si="5"/>
        <v>16</v>
      </c>
      <c r="Q17" s="4481">
        <f t="shared" si="5"/>
        <v>5</v>
      </c>
      <c r="R17" s="4511">
        <f t="shared" si="4"/>
        <v>135</v>
      </c>
      <c r="S17" s="4514"/>
    </row>
    <row r="18" ht="14.25" spans="1:19">
      <c r="A18" s="4515" t="s">
        <v>419</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422</v>
      </c>
      <c r="B20" s="4522"/>
      <c r="C20" s="4522"/>
      <c r="D20" s="4522"/>
      <c r="E20" s="4522"/>
      <c r="F20" s="4522"/>
      <c r="G20" s="4523"/>
      <c r="I20" s="4524" t="s">
        <v>423</v>
      </c>
      <c r="J20" s="4524" t="s">
        <v>424</v>
      </c>
      <c r="K20" s="4524"/>
      <c r="L20" s="4524"/>
      <c r="M20" s="4524"/>
    </row>
    <row r="21" spans="1:19">
      <c r="A21" s="4477"/>
      <c r="B21" s="4478" t="s">
        <v>425</v>
      </c>
      <c r="C21" s="4478" t="s">
        <v>398</v>
      </c>
      <c r="D21" s="4478" t="s">
        <v>426</v>
      </c>
      <c r="E21" s="4478" t="s">
        <v>399</v>
      </c>
      <c r="F21" s="4478" t="s">
        <v>427</v>
      </c>
      <c r="G21" s="4525" t="s">
        <v>428</v>
      </c>
      <c r="I21" s="4526">
        <v>5</v>
      </c>
      <c r="J21" s="4527">
        <v>54.2</v>
      </c>
      <c r="K21" s="4527"/>
    </row>
    <row r="22" spans="1:19">
      <c r="A22" s="4477" t="s">
        <v>429</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430</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431</v>
      </c>
      <c r="N23" s="4533" t="s">
        <v>432</v>
      </c>
    </row>
    <row r="24" spans="1:19">
      <c r="A24" s="4477" t="s">
        <v>433</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434</v>
      </c>
      <c r="N24" s="4534">
        <v>10</v>
      </c>
    </row>
    <row r="25" spans="1:19">
      <c r="A25" s="4477" t="s">
        <v>435</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436</v>
      </c>
      <c r="N25" s="4534">
        <v>8</v>
      </c>
    </row>
    <row r="26" spans="1:19">
      <c r="A26" s="78"/>
      <c r="B26" s="4535"/>
      <c r="C26" s="4535"/>
      <c r="D26" s="4535"/>
      <c r="E26" s="4535"/>
      <c r="F26" s="4535"/>
      <c r="G26" s="4536"/>
      <c r="I26" s="4526">
        <v>30</v>
      </c>
      <c r="J26" s="4527">
        <v>90.5</v>
      </c>
      <c r="K26" s="4527">
        <f t="shared" si="7"/>
        <v>4.2</v>
      </c>
      <c r="L26" s="4461" t="s">
        <v>437</v>
      </c>
      <c r="N26" s="4534">
        <v>5</v>
      </c>
    </row>
    <row r="27" spans="1:19">
      <c r="A27" s="78" t="s">
        <v>438</v>
      </c>
      <c r="B27" s="4535"/>
      <c r="C27" s="4535"/>
      <c r="D27" s="4535"/>
      <c r="E27" s="4535"/>
      <c r="F27" s="4535"/>
      <c r="G27" s="4536"/>
      <c r="I27" s="4526">
        <v>35</v>
      </c>
      <c r="J27" s="4527">
        <v>93.8</v>
      </c>
      <c r="K27" s="4527">
        <f t="shared" si="7"/>
        <v>3.3</v>
      </c>
      <c r="L27" s="4461" t="s">
        <v>439</v>
      </c>
      <c r="N27" s="4534">
        <v>3</v>
      </c>
    </row>
    <row r="28" spans="1:19">
      <c r="A28" s="78" t="s">
        <v>440</v>
      </c>
      <c r="B28" s="4535"/>
      <c r="C28" s="4535"/>
      <c r="D28" s="4535"/>
      <c r="E28" s="4535"/>
      <c r="F28" s="4535"/>
      <c r="G28" s="4536"/>
      <c r="I28" s="4526">
        <v>40</v>
      </c>
      <c r="J28" s="4527">
        <v>96.4</v>
      </c>
      <c r="K28" s="4527">
        <f t="shared" si="7"/>
        <v>2.60000000000001</v>
      </c>
      <c r="L28" s="4461" t="s">
        <v>441</v>
      </c>
      <c r="N28" s="4534">
        <v>2</v>
      </c>
    </row>
    <row r="29" spans="1:19">
      <c r="A29" s="78" t="s">
        <v>442</v>
      </c>
      <c r="B29" s="4535"/>
      <c r="C29" s="4535"/>
      <c r="D29" s="4535"/>
      <c r="E29" s="4535"/>
      <c r="F29" s="4535"/>
      <c r="G29" s="4536"/>
      <c r="I29" s="4526">
        <v>45</v>
      </c>
      <c r="J29" s="4527">
        <v>98.4</v>
      </c>
      <c r="K29" s="4527">
        <f t="shared" si="7"/>
        <v>2</v>
      </c>
    </row>
    <row r="30" spans="1:19">
      <c r="A30" s="78" t="s">
        <v>443</v>
      </c>
      <c r="B30" s="4535"/>
      <c r="C30" s="4535"/>
      <c r="D30" s="4535"/>
      <c r="E30" s="4535"/>
      <c r="F30" s="4535"/>
      <c r="G30" s="4536"/>
      <c r="I30" s="4526">
        <v>50</v>
      </c>
      <c r="J30" s="4527">
        <v>100</v>
      </c>
      <c r="K30" s="4527">
        <f t="shared" si="7"/>
        <v>1.59999999999999</v>
      </c>
    </row>
    <row r="31" spans="1:19">
      <c r="A31" s="78" t="s">
        <v>444</v>
      </c>
      <c r="B31" s="4535"/>
      <c r="C31" s="4535"/>
      <c r="D31" s="4535"/>
      <c r="E31" s="4535"/>
      <c r="F31" s="4535"/>
      <c r="G31" s="4536"/>
      <c r="I31" s="4461" t="s">
        <v>445</v>
      </c>
    </row>
    <row r="32" spans="1:19">
      <c r="A32" s="78" t="s">
        <v>446</v>
      </c>
      <c r="B32" s="4535"/>
      <c r="C32" s="4535"/>
      <c r="D32" s="4535"/>
      <c r="E32" s="4535"/>
      <c r="F32" s="4535"/>
      <c r="G32" s="4536"/>
    </row>
    <row r="33" spans="1:15">
      <c r="A33" s="78" t="s">
        <v>447</v>
      </c>
      <c r="B33" s="4535"/>
      <c r="C33" s="4535"/>
      <c r="D33" s="4535"/>
      <c r="E33" s="4535"/>
      <c r="F33" s="4535"/>
      <c r="G33" s="4536"/>
      <c r="I33" s="4461" t="s">
        <v>423</v>
      </c>
      <c r="J33" s="4461" t="s">
        <v>448</v>
      </c>
    </row>
    <row r="34" spans="1:15">
      <c r="A34" s="78" t="s">
        <v>449</v>
      </c>
      <c r="B34" s="4535"/>
      <c r="C34" s="4535"/>
      <c r="D34" s="4535"/>
      <c r="E34" s="4535"/>
      <c r="F34" s="4535"/>
      <c r="G34" s="4536"/>
      <c r="I34" s="4526">
        <v>5</v>
      </c>
      <c r="J34" s="4527">
        <v>55.1</v>
      </c>
      <c r="K34" s="4527"/>
    </row>
    <row r="35" spans="1:15">
      <c r="A35" s="78" t="s">
        <v>450</v>
      </c>
      <c r="B35" s="4535"/>
      <c r="C35" s="4535"/>
      <c r="D35" s="4535"/>
      <c r="E35" s="4535"/>
      <c r="F35" s="4535"/>
      <c r="G35" s="4536"/>
      <c r="I35" s="4526">
        <v>10</v>
      </c>
      <c r="J35" s="4527">
        <v>67</v>
      </c>
      <c r="K35" s="4527">
        <f>J35-J34</f>
        <v>11.9</v>
      </c>
    </row>
    <row r="36" spans="1:15">
      <c r="A36" s="78" t="s">
        <v>451</v>
      </c>
      <c r="B36" s="4535"/>
      <c r="C36" s="4535"/>
      <c r="D36" s="4535"/>
      <c r="E36" s="4535"/>
      <c r="F36" s="4535"/>
      <c r="G36" s="4536"/>
      <c r="I36" s="4526">
        <v>15</v>
      </c>
      <c r="J36" s="4527">
        <v>76.3</v>
      </c>
      <c r="K36" s="4527">
        <f t="shared" ref="K36:K41" si="8">J36-J35</f>
        <v>9.3</v>
      </c>
      <c r="L36" s="4461" t="s">
        <v>431</v>
      </c>
      <c r="N36" s="4533" t="s">
        <v>432</v>
      </c>
    </row>
    <row r="37" spans="1:15">
      <c r="A37" s="78" t="s">
        <v>452</v>
      </c>
      <c r="B37" s="4535"/>
      <c r="C37" s="4535"/>
      <c r="D37" s="4535"/>
      <c r="E37" s="4535"/>
      <c r="F37" s="4535"/>
      <c r="G37" s="4536"/>
      <c r="I37" s="4526">
        <v>20</v>
      </c>
      <c r="J37" s="4527">
        <v>83.6</v>
      </c>
      <c r="K37" s="4527">
        <f t="shared" si="8"/>
        <v>7.3</v>
      </c>
      <c r="L37" s="4461" t="s">
        <v>434</v>
      </c>
      <c r="N37" s="4534">
        <v>10</v>
      </c>
    </row>
    <row r="38" spans="1:15">
      <c r="A38" s="78" t="s">
        <v>453</v>
      </c>
      <c r="B38" s="4535"/>
      <c r="C38" s="4535"/>
      <c r="D38" s="4535"/>
      <c r="E38" s="4535"/>
      <c r="F38" s="4535"/>
      <c r="G38" s="4536"/>
      <c r="I38" s="4526">
        <v>25</v>
      </c>
      <c r="J38" s="4527">
        <v>89.3</v>
      </c>
      <c r="K38" s="4527">
        <f t="shared" si="8"/>
        <v>5.7</v>
      </c>
      <c r="L38" s="4461" t="s">
        <v>436</v>
      </c>
      <c r="N38" s="4534">
        <v>8</v>
      </c>
    </row>
    <row r="39" spans="1:15">
      <c r="A39" s="78"/>
      <c r="B39" s="4535"/>
      <c r="C39" s="4535"/>
      <c r="D39" s="4535"/>
      <c r="E39" s="4535"/>
      <c r="F39" s="4535"/>
      <c r="G39" s="4536"/>
      <c r="I39" s="4526">
        <v>30</v>
      </c>
      <c r="J39" s="4527">
        <v>93.8</v>
      </c>
      <c r="K39" s="4527">
        <f t="shared" si="8"/>
        <v>4.5</v>
      </c>
      <c r="L39" s="4461" t="s">
        <v>437</v>
      </c>
      <c r="N39" s="4534">
        <v>6</v>
      </c>
    </row>
    <row r="40" spans="1:15">
      <c r="A40" s="4537" t="s">
        <v>454</v>
      </c>
      <c r="B40" s="4538"/>
      <c r="C40" s="4538"/>
      <c r="D40" s="4538"/>
      <c r="E40" s="4538"/>
      <c r="F40" s="4538"/>
      <c r="G40" s="4539"/>
      <c r="I40" s="4526">
        <v>35</v>
      </c>
      <c r="J40" s="4527">
        <v>97.2</v>
      </c>
      <c r="K40" s="4527">
        <f t="shared" si="8"/>
        <v>3.40000000000001</v>
      </c>
      <c r="L40" s="4461" t="s">
        <v>439</v>
      </c>
      <c r="N40" s="4534">
        <v>3</v>
      </c>
    </row>
    <row r="41" spans="1:15">
      <c r="A41" s="4540" t="s">
        <v>455</v>
      </c>
      <c r="B41" s="4541" t="s">
        <v>456</v>
      </c>
      <c r="C41" s="4542" t="s">
        <v>457</v>
      </c>
      <c r="D41" s="4542" t="s">
        <v>458</v>
      </c>
      <c r="E41" s="4543"/>
      <c r="F41" s="4544"/>
      <c r="G41" s="4545"/>
      <c r="I41" s="4526">
        <v>40</v>
      </c>
      <c r="J41" s="4527">
        <v>100</v>
      </c>
      <c r="K41" s="4527">
        <f t="shared" si="8"/>
        <v>2.8</v>
      </c>
    </row>
    <row r="42" spans="1:15">
      <c r="A42" s="4540" t="s">
        <v>233</v>
      </c>
      <c r="B42" s="4541" t="s">
        <v>459</v>
      </c>
      <c r="C42" s="4542" t="s">
        <v>459</v>
      </c>
      <c r="D42" s="4546" t="s">
        <v>460</v>
      </c>
      <c r="E42" s="4538" t="s">
        <v>461</v>
      </c>
      <c r="F42" s="4538"/>
      <c r="G42" s="4539"/>
    </row>
    <row r="43" spans="1:15">
      <c r="A43" s="4540" t="s">
        <v>232</v>
      </c>
      <c r="B43" s="4541" t="s">
        <v>462</v>
      </c>
      <c r="C43" s="4542" t="s">
        <v>463</v>
      </c>
      <c r="D43" s="4542" t="s">
        <v>464</v>
      </c>
      <c r="E43" s="4543" t="s">
        <v>465</v>
      </c>
      <c r="F43" s="4544"/>
      <c r="G43" s="4545"/>
      <c r="I43" s="4461" t="s">
        <v>423</v>
      </c>
      <c r="J43" s="4461" t="s">
        <v>466</v>
      </c>
    </row>
    <row r="44" spans="1:15">
      <c r="A44" s="4540" t="s">
        <v>467</v>
      </c>
      <c r="B44" s="4541" t="s">
        <v>468</v>
      </c>
      <c r="C44" s="4542" t="s">
        <v>469</v>
      </c>
      <c r="D44" s="4546">
        <v>0.5</v>
      </c>
      <c r="E44" s="4543" t="s">
        <v>470</v>
      </c>
      <c r="F44" s="4544"/>
      <c r="G44" s="4545"/>
      <c r="I44" s="4526">
        <v>30</v>
      </c>
      <c r="J44" s="4527">
        <v>81.7</v>
      </c>
      <c r="K44" s="4527"/>
    </row>
    <row r="45" ht="14.25" spans="1:15">
      <c r="A45" s="4547" t="s">
        <v>471</v>
      </c>
      <c r="B45" s="4548" t="s">
        <v>459</v>
      </c>
      <c r="C45" s="4549" t="s">
        <v>459</v>
      </c>
      <c r="D45" s="4549" t="s">
        <v>472</v>
      </c>
      <c r="E45" s="4550" t="s">
        <v>473</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474</v>
      </c>
      <c r="B49" s="4553"/>
      <c r="C49" s="4553"/>
      <c r="D49" s="4553"/>
      <c r="E49" s="4553"/>
      <c r="I49" s="4554" t="s">
        <v>475</v>
      </c>
      <c r="J49" s="4554"/>
      <c r="K49" s="4554"/>
      <c r="L49" s="4554"/>
      <c r="M49" s="4554"/>
      <c r="N49" s="4518"/>
      <c r="O49" s="4518"/>
    </row>
    <row r="50" spans="1:16">
      <c r="A50" s="4555" t="s">
        <v>476</v>
      </c>
      <c r="B50" s="4556" t="s">
        <v>477</v>
      </c>
      <c r="C50" s="4557" t="s">
        <v>478</v>
      </c>
      <c r="D50" s="4558" t="s">
        <v>479</v>
      </c>
      <c r="E50" s="4559" t="s">
        <v>480</v>
      </c>
      <c r="F50" s="4560" t="s">
        <v>481</v>
      </c>
      <c r="I50" s="4561" t="s">
        <v>482</v>
      </c>
      <c r="J50" s="4562" t="s">
        <v>483</v>
      </c>
      <c r="K50" s="4562" t="s">
        <v>484</v>
      </c>
      <c r="L50" s="4562" t="s">
        <v>485</v>
      </c>
      <c r="M50" s="4563" t="s">
        <v>486</v>
      </c>
      <c r="N50" s="4564" t="s">
        <v>395</v>
      </c>
      <c r="O50" s="4563" t="s">
        <v>487</v>
      </c>
    </row>
    <row r="51" ht="15" spans="1:16">
      <c r="A51" s="4565" t="s">
        <v>488</v>
      </c>
      <c r="B51" s="4566">
        <f>B52+B53</f>
        <v>34007.5</v>
      </c>
      <c r="C51" s="4566">
        <f>E51/B51</f>
        <v>3292.73219142836</v>
      </c>
      <c r="D51" s="4567"/>
      <c r="E51" s="4568">
        <f>E52+E53</f>
        <v>111977590</v>
      </c>
      <c r="F51" s="4569">
        <f>E51/$E$62</f>
        <v>0.616501648479364</v>
      </c>
      <c r="I51" s="4477"/>
      <c r="J51" s="4478"/>
      <c r="K51" s="4478"/>
      <c r="L51" s="4478"/>
      <c r="M51" s="4525"/>
      <c r="N51" s="4570"/>
      <c r="O51" s="4571"/>
    </row>
    <row r="52" ht="14.25" spans="1:16">
      <c r="A52" s="4572" t="s">
        <v>489</v>
      </c>
      <c r="B52" s="4573">
        <f>面积指标!L4</f>
        <v>24052.41</v>
      </c>
      <c r="C52" s="4574"/>
      <c r="D52" s="4575">
        <v>3000</v>
      </c>
      <c r="E52" s="4576">
        <f>D52*B52</f>
        <v>72157230</v>
      </c>
      <c r="F52" s="4577"/>
      <c r="G52" s="4578" t="s">
        <v>490</v>
      </c>
      <c r="H52" s="4578"/>
      <c r="I52" s="4579">
        <f>E52</f>
        <v>72157230</v>
      </c>
      <c r="J52" s="1103">
        <f>E55</f>
        <v>36078615</v>
      </c>
      <c r="K52" s="1103">
        <f>E58</f>
        <v>12026205</v>
      </c>
      <c r="L52" s="1103">
        <f>E60*B52/B51</f>
        <v>5772578.4</v>
      </c>
      <c r="M52" s="4580">
        <f>E61*B52/B51</f>
        <v>3133263.42327892</v>
      </c>
      <c r="N52" s="4581">
        <f>SUM(I52:M52)</f>
        <v>129167891.823279</v>
      </c>
      <c r="O52" s="4580">
        <f>N52/B52</f>
        <v>5370.26816952143</v>
      </c>
      <c r="P52" s="4582" t="s">
        <v>491</v>
      </c>
    </row>
    <row r="53" ht="15" spans="1:16">
      <c r="A53" s="4572" t="s">
        <v>492</v>
      </c>
      <c r="B53" s="4573">
        <f>面积指标!L7</f>
        <v>9955.09</v>
      </c>
      <c r="C53" s="4574"/>
      <c r="D53" s="4575">
        <v>4000</v>
      </c>
      <c r="E53" s="4576">
        <f>D53*B53</f>
        <v>39820360</v>
      </c>
      <c r="F53" s="4577"/>
      <c r="G53" s="4578" t="s">
        <v>493</v>
      </c>
      <c r="H53" s="4578"/>
      <c r="I53" s="4583">
        <f>E53</f>
        <v>39820360</v>
      </c>
      <c r="J53" s="4584">
        <f>E56</f>
        <v>6968563</v>
      </c>
      <c r="K53" s="4584">
        <f>E59</f>
        <v>1991018</v>
      </c>
      <c r="L53" s="4584">
        <f>E60-L52</f>
        <v>2389221.6</v>
      </c>
      <c r="M53" s="4585">
        <f>E61-M52</f>
        <v>1296831.35172108</v>
      </c>
      <c r="N53" s="4586">
        <f>SUM(I53:M53)</f>
        <v>52465993.9517211</v>
      </c>
      <c r="O53" s="4585">
        <f>N53/B53</f>
        <v>5270.26816952143</v>
      </c>
      <c r="P53" s="4582" t="s">
        <v>494</v>
      </c>
    </row>
    <row r="54" ht="15" spans="1:16">
      <c r="A54" s="4565" t="s">
        <v>495</v>
      </c>
      <c r="B54" s="4566">
        <f>B51</f>
        <v>34007.5</v>
      </c>
      <c r="C54" s="4566">
        <f>E54/B54</f>
        <v>1265.81424685731</v>
      </c>
      <c r="D54" s="4587"/>
      <c r="E54" s="4568">
        <f>E55+E56</f>
        <v>43047178</v>
      </c>
      <c r="F54" s="4569">
        <f>E54/$E$62</f>
        <v>0.236999708596913</v>
      </c>
      <c r="G54" s="4578"/>
      <c r="H54" s="4578"/>
    </row>
    <row r="55" ht="15" spans="1:16">
      <c r="A55" s="4572" t="s">
        <v>491</v>
      </c>
      <c r="B55" s="4588">
        <f>B52</f>
        <v>24052.41</v>
      </c>
      <c r="C55" s="4566"/>
      <c r="D55" s="4589">
        <v>1500</v>
      </c>
      <c r="E55" s="4576">
        <f>D55*B55</f>
        <v>36078615</v>
      </c>
      <c r="F55" s="4577"/>
      <c r="G55" s="4578" t="s">
        <v>496</v>
      </c>
      <c r="H55" s="4578"/>
    </row>
    <row r="56" ht="15" spans="1:16">
      <c r="A56" s="4572" t="s">
        <v>494</v>
      </c>
      <c r="B56" s="4588">
        <f>B53</f>
        <v>9955.09</v>
      </c>
      <c r="C56" s="4566"/>
      <c r="D56" s="4589">
        <v>700</v>
      </c>
      <c r="E56" s="4576">
        <f>D56*B56</f>
        <v>6968563</v>
      </c>
      <c r="F56" s="4577"/>
      <c r="G56" s="4578" t="s">
        <v>497</v>
      </c>
      <c r="H56" s="4578"/>
    </row>
    <row r="57" ht="15" spans="1:16">
      <c r="A57" s="4590" t="s">
        <v>498</v>
      </c>
      <c r="B57" s="4566">
        <f>B51</f>
        <v>34007.5</v>
      </c>
      <c r="C57" s="4566">
        <f>E57/B57</f>
        <v>412.180342571492</v>
      </c>
      <c r="D57" s="4587"/>
      <c r="E57" s="4568">
        <f>E58+E59</f>
        <v>14017223</v>
      </c>
      <c r="F57" s="4577">
        <f>E57/$E$62</f>
        <v>0.0771729511824898</v>
      </c>
      <c r="G57" s="4578"/>
      <c r="H57" s="4578"/>
      <c r="I57" s="4591" t="s">
        <v>499</v>
      </c>
      <c r="J57" s="4591"/>
      <c r="K57" s="4591"/>
      <c r="L57" s="4591"/>
      <c r="M57" s="4591"/>
      <c r="N57" s="4592"/>
    </row>
    <row r="58" ht="14.25" spans="1:16">
      <c r="A58" s="4572" t="s">
        <v>491</v>
      </c>
      <c r="B58" s="4588">
        <f>B52</f>
        <v>24052.41</v>
      </c>
      <c r="C58" s="4593">
        <v>500</v>
      </c>
      <c r="D58" s="4594"/>
      <c r="E58" s="4576">
        <f>C58*B58</f>
        <v>12026205</v>
      </c>
      <c r="F58" s="4577"/>
      <c r="G58" s="4578"/>
      <c r="H58" s="4578"/>
      <c r="I58" s="1103">
        <f>I52+I53</f>
        <v>111977590</v>
      </c>
      <c r="J58" s="1103">
        <f t="shared" ref="J58:M58" si="10">J52+J53</f>
        <v>43047178</v>
      </c>
      <c r="K58" s="1103">
        <f t="shared" si="10"/>
        <v>14017223</v>
      </c>
      <c r="L58" s="1103">
        <f t="shared" si="10"/>
        <v>8161800</v>
      </c>
      <c r="M58" s="4595">
        <f t="shared" si="10"/>
        <v>4430094.775</v>
      </c>
      <c r="N58" s="4595">
        <f>SUM(I58:M58)</f>
        <v>181633885.775</v>
      </c>
    </row>
    <row r="59" ht="14.25" spans="1:16">
      <c r="A59" s="4572" t="s">
        <v>494</v>
      </c>
      <c r="B59" s="4588">
        <f>B53</f>
        <v>9955.09</v>
      </c>
      <c r="C59" s="4593">
        <v>200</v>
      </c>
      <c r="D59" s="4594"/>
      <c r="E59" s="4576">
        <f>C59*B59</f>
        <v>1991018</v>
      </c>
      <c r="F59" s="4577"/>
      <c r="G59" s="4578" t="s">
        <v>500</v>
      </c>
      <c r="H59" s="4578"/>
      <c r="I59" s="4596">
        <f>I58/$E$62</f>
        <v>0.616501648479364</v>
      </c>
      <c r="J59" s="4596">
        <f t="shared" ref="J59:M59" si="11">J58/$E$62</f>
        <v>0.236999708596913</v>
      </c>
      <c r="K59" s="4596">
        <f t="shared" si="11"/>
        <v>0.0771729511824898</v>
      </c>
      <c r="L59" s="4596">
        <f t="shared" si="11"/>
        <v>0.0449354478387941</v>
      </c>
      <c r="M59" s="4597">
        <f t="shared" si="11"/>
        <v>0.024390243902439</v>
      </c>
      <c r="N59" s="4597">
        <f>SUM(I59:M59)</f>
        <v>1</v>
      </c>
    </row>
    <row r="60" ht="15" spans="1:16">
      <c r="A60" s="4565" t="s">
        <v>501</v>
      </c>
      <c r="B60" s="4598">
        <f>B51*0.06</f>
        <v>2040.45</v>
      </c>
      <c r="C60" s="4566">
        <f>E60/B51</f>
        <v>240</v>
      </c>
      <c r="D60" s="4599">
        <f>D53</f>
        <v>4000</v>
      </c>
      <c r="E60" s="4568">
        <f>D60*B60</f>
        <v>8161800</v>
      </c>
      <c r="F60" s="4577">
        <f>E60/$E$62</f>
        <v>0.0449354478387941</v>
      </c>
      <c r="G60" s="4600">
        <f>B60/(B62+B60)</f>
        <v>0.0566037735849057</v>
      </c>
      <c r="H60" s="4601" t="s">
        <v>502</v>
      </c>
    </row>
    <row r="61" ht="15" spans="1:16">
      <c r="A61" s="4565" t="s">
        <v>503</v>
      </c>
      <c r="B61" s="4602">
        <f>B51</f>
        <v>34007.5</v>
      </c>
      <c r="C61" s="4566">
        <f>E61/B61</f>
        <v>130.268169521429</v>
      </c>
      <c r="D61" s="4603">
        <v>0.025</v>
      </c>
      <c r="E61" s="4568">
        <f>(E51+E54+E57+E60)*D61</f>
        <v>4430094.775</v>
      </c>
      <c r="F61" s="4577">
        <f>E61/$E$62</f>
        <v>0.024390243902439</v>
      </c>
      <c r="G61" s="4578" t="s">
        <v>504</v>
      </c>
    </row>
    <row r="62" ht="15.75" spans="1:16">
      <c r="A62" s="4604" t="s">
        <v>505</v>
      </c>
      <c r="B62" s="4605">
        <f>B51</f>
        <v>34007.5</v>
      </c>
      <c r="C62" s="4606">
        <f>C51+C54+C57+C61+C60</f>
        <v>5340.99495037859</v>
      </c>
      <c r="D62" s="4607">
        <f>E62/B62</f>
        <v>5340.99495037859</v>
      </c>
      <c r="E62" s="4608">
        <f>E51+E54+E57+E61+E60</f>
        <v>181633885.775</v>
      </c>
      <c r="F62" s="4609">
        <f>F51+F54+F57+F60+F61</f>
        <v>1</v>
      </c>
      <c r="G62" s="4582"/>
    </row>
    <row r="63" spans="1:16">
      <c r="B63" s="4610"/>
      <c r="C63" s="4610"/>
      <c r="D63" s="4610"/>
    </row>
    <row r="65" ht="14.25" spans="1:4">
      <c r="B65" s="4610"/>
      <c r="C65" s="4610"/>
      <c r="D65" s="4610"/>
    </row>
    <row r="66" spans="1:4">
      <c r="A66" s="4611" t="s">
        <v>506</v>
      </c>
      <c r="B66" s="4612"/>
      <c r="C66" s="4612"/>
      <c r="D66" s="4613"/>
    </row>
    <row r="67" spans="1:4">
      <c r="A67" s="4614" t="s">
        <v>507</v>
      </c>
      <c r="B67" s="4615"/>
      <c r="C67" s="4615"/>
      <c r="D67" s="4616" t="s">
        <v>508</v>
      </c>
    </row>
    <row r="68" spans="1:4">
      <c r="A68" s="4614" t="s">
        <v>509</v>
      </c>
      <c r="B68" s="4615"/>
      <c r="C68" s="4615"/>
      <c r="D68" s="4616" t="s">
        <v>510</v>
      </c>
    </row>
    <row r="69" ht="14.25" spans="1:4">
      <c r="A69" s="4617" t="s">
        <v>511</v>
      </c>
      <c r="B69" s="4618"/>
      <c r="C69" s="4618"/>
      <c r="D69" s="4619"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 sqref="E3"/>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213" customWidth="1"/>
    <col min="16" max="17" width="10" style="4155"/>
    <col min="18" max="18" width="10" style="4155" customWidth="1"/>
    <col min="19" max="30" width="10" style="4155"/>
    <col min="31" max="16384" width="10" style="3944"/>
  </cols>
  <sheetData>
    <row r="1" ht="13.5" spans="1:30">
      <c r="A1" s="4315" t="s">
        <v>513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514</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01" t="s">
        <v>515</v>
      </c>
      <c r="B3" s="4328">
        <v>46038</v>
      </c>
      <c r="C3" s="4329" t="s">
        <v>516</v>
      </c>
      <c r="D3" s="4328">
        <v>46022</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671" t="s">
        <v>517</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518</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519</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520</v>
      </c>
      <c r="B7" s="4344"/>
      <c r="C7" s="4339"/>
      <c r="D7" s="4340"/>
      <c r="E7" s="4326"/>
      <c r="F7" s="4152"/>
      <c r="G7" s="4152"/>
      <c r="H7" s="4152"/>
      <c r="I7" s="4152"/>
      <c r="J7" s="3939"/>
      <c r="K7" s="4345"/>
      <c r="L7" s="4342"/>
      <c r="M7" s="4342"/>
      <c r="N7" s="3939"/>
      <c r="O7" s="4343"/>
      <c r="P7" s="3939"/>
      <c r="Q7" s="3939"/>
      <c r="R7" s="3939"/>
    </row>
    <row r="8" spans="1:30">
      <c r="A8" s="4346" t="s">
        <v>521</v>
      </c>
      <c r="B8" s="4347" t="s">
        <v>370</v>
      </c>
      <c r="C8" s="4348"/>
      <c r="D8" s="4349" t="s">
        <v>522</v>
      </c>
      <c r="E8" s="4350" t="s">
        <v>375</v>
      </c>
      <c r="F8" s="4351"/>
      <c r="G8" s="4327"/>
      <c r="H8" s="4327"/>
      <c r="I8" s="4327"/>
      <c r="J8" s="3939"/>
      <c r="K8" s="4352"/>
      <c r="L8" s="4342"/>
      <c r="M8" s="4342"/>
      <c r="N8" s="3939"/>
      <c r="O8" s="4343"/>
      <c r="P8" s="3939"/>
      <c r="Q8" s="3939"/>
      <c r="R8" s="3939"/>
    </row>
    <row r="9" ht="13.5" spans="1:30">
      <c r="A9" s="4353" t="s">
        <v>523</v>
      </c>
      <c r="B9" s="4354" t="s">
        <v>375</v>
      </c>
      <c r="C9" s="4355"/>
      <c r="D9" s="4356"/>
      <c r="E9" s="4354" t="s">
        <v>124</v>
      </c>
      <c r="F9" s="4357"/>
      <c r="G9" s="4358"/>
      <c r="H9" s="4358"/>
      <c r="I9" s="4358"/>
      <c r="J9" s="3939"/>
      <c r="K9" s="4345"/>
      <c r="L9" s="4342"/>
      <c r="M9" s="4342"/>
      <c r="N9" s="3939"/>
      <c r="O9" s="4343"/>
      <c r="P9" s="3939"/>
      <c r="Q9" s="3939"/>
      <c r="R9" s="3939"/>
    </row>
    <row r="10" ht="13.5" spans="1:30">
      <c r="A10" s="4359" t="s">
        <v>524</v>
      </c>
      <c r="B10" s="4360" t="s">
        <v>525</v>
      </c>
      <c r="C10" s="4361"/>
      <c r="D10" s="4336"/>
      <c r="E10" s="4362" t="s">
        <v>526</v>
      </c>
      <c r="F10" s="4363"/>
      <c r="G10" s="4364"/>
      <c r="H10" s="4365"/>
      <c r="I10" s="4366"/>
      <c r="J10" s="3939"/>
      <c r="K10" s="4345"/>
      <c r="L10" s="4342"/>
      <c r="M10" s="4342"/>
      <c r="N10" s="3939"/>
      <c r="O10" s="4343"/>
      <c r="P10" s="3939"/>
      <c r="Q10" s="3939"/>
      <c r="R10" s="3939"/>
    </row>
    <row r="11" spans="1:30">
      <c r="A11" s="4367" t="s">
        <v>527</v>
      </c>
      <c r="B11" s="4368" t="s">
        <v>528</v>
      </c>
      <c r="C11" s="4369"/>
      <c r="D11" s="4370"/>
      <c r="E11" s="4321"/>
      <c r="F11" s="4321"/>
      <c r="G11" s="4321"/>
      <c r="H11" s="4321"/>
      <c r="I11" s="4321"/>
      <c r="J11" s="4371"/>
      <c r="K11" s="4372"/>
      <c r="L11" s="4342"/>
      <c r="M11" s="4342"/>
      <c r="N11" s="3939"/>
      <c r="O11" s="4343"/>
      <c r="P11" s="3939"/>
      <c r="Q11" s="3939"/>
      <c r="R11" s="3939"/>
    </row>
    <row r="12" spans="1:30">
      <c r="A12" s="4373" t="s">
        <v>529</v>
      </c>
      <c r="B12" s="2703" t="s">
        <v>530</v>
      </c>
      <c r="C12" s="4374" t="s">
        <v>531</v>
      </c>
      <c r="D12" s="4374" t="s">
        <v>532</v>
      </c>
      <c r="E12" s="4374" t="s">
        <v>533</v>
      </c>
      <c r="F12" s="4374" t="s">
        <v>534</v>
      </c>
      <c r="G12" s="4374" t="s">
        <v>535</v>
      </c>
      <c r="H12" s="4374" t="s">
        <v>536</v>
      </c>
      <c r="I12" s="4375" t="s">
        <v>231</v>
      </c>
      <c r="J12" s="4376"/>
      <c r="K12" s="4342"/>
      <c r="L12" s="4342"/>
      <c r="M12" s="3939"/>
      <c r="N12" s="4343"/>
      <c r="O12" s="3939"/>
      <c r="P12" s="3939"/>
      <c r="Q12" s="3939"/>
      <c r="AD12" s="3944"/>
    </row>
    <row r="13" spans="1:30">
      <c r="A13" s="4368" t="s">
        <v>537</v>
      </c>
      <c r="B13" s="4377" t="s">
        <v>538</v>
      </c>
      <c r="C13" s="4378"/>
      <c r="D13" s="4378"/>
      <c r="E13" s="4378">
        <v>58987</v>
      </c>
      <c r="F13" s="4378">
        <f>E13</f>
        <v>58987</v>
      </c>
      <c r="G13" s="4378">
        <f>E13</f>
        <v>58987</v>
      </c>
      <c r="H13" s="4378">
        <f>G13</f>
        <v>58987</v>
      </c>
      <c r="I13" s="4378"/>
      <c r="J13" s="4376"/>
      <c r="K13" s="4342"/>
      <c r="L13" s="4342"/>
      <c r="M13" s="3939"/>
      <c r="N13" s="4343"/>
      <c r="O13" s="3939"/>
      <c r="P13" s="3939"/>
      <c r="Q13" s="3939"/>
      <c r="AD13" s="3944"/>
    </row>
    <row r="14" spans="1:30">
      <c r="A14" s="2678"/>
      <c r="B14" s="4377" t="s">
        <v>539</v>
      </c>
      <c r="C14" s="4379"/>
      <c r="D14" s="4379"/>
      <c r="E14" s="4379">
        <v>50</v>
      </c>
      <c r="F14" s="4379">
        <v>50</v>
      </c>
      <c r="G14" s="4379">
        <v>50</v>
      </c>
      <c r="H14" s="4379">
        <v>50</v>
      </c>
      <c r="I14" s="4379"/>
      <c r="J14" s="4380"/>
      <c r="K14" s="4342"/>
      <c r="L14" s="4342"/>
      <c r="M14" s="3939"/>
      <c r="N14" s="4343"/>
      <c r="O14" s="3939"/>
      <c r="P14" s="3939"/>
      <c r="Q14" s="3939"/>
      <c r="AD14" s="3944"/>
    </row>
    <row r="15" spans="1:30">
      <c r="A15" s="2689"/>
      <c r="B15" s="4381"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2"/>
      <c r="K15" s="4343"/>
      <c r="L15" s="4343"/>
      <c r="M15" s="3939"/>
      <c r="N15" s="4343"/>
      <c r="O15" s="3939"/>
      <c r="P15" s="3939"/>
      <c r="Q15" s="3939"/>
      <c r="AD15" s="3944"/>
    </row>
    <row r="16" spans="1:30">
      <c r="A16" s="4362" t="s">
        <v>541</v>
      </c>
      <c r="B16" s="4383"/>
      <c r="C16" s="4384"/>
      <c r="D16" s="4385"/>
      <c r="E16" s="4386" t="s">
        <v>542</v>
      </c>
      <c r="F16" s="4387"/>
      <c r="G16" s="4388"/>
      <c r="H16" s="4388"/>
      <c r="I16" s="4389"/>
      <c r="J16" s="3939"/>
      <c r="K16" s="4390"/>
      <c r="L16" s="4343"/>
      <c r="M16" s="4343"/>
      <c r="N16" s="3939"/>
      <c r="O16" s="4343"/>
      <c r="P16" s="3939"/>
      <c r="Q16" s="3939"/>
      <c r="R16" s="3939"/>
    </row>
    <row r="17" spans="1:28">
      <c r="A17" s="2655" t="s">
        <v>543</v>
      </c>
      <c r="B17" s="1301" t="s">
        <v>544</v>
      </c>
      <c r="C17" s="4298">
        <f>'数据-汇总表'!E3</f>
        <v>32267.62</v>
      </c>
      <c r="D17" s="2321" t="s">
        <v>545</v>
      </c>
      <c r="E17" s="4391" t="s">
        <v>546</v>
      </c>
      <c r="F17" s="4392"/>
      <c r="G17" s="4392"/>
      <c r="H17" s="4392"/>
      <c r="I17" s="4393"/>
      <c r="J17" s="3939"/>
      <c r="K17" s="4394"/>
      <c r="L17" s="4343"/>
      <c r="M17" s="4343"/>
      <c r="N17" s="3939"/>
      <c r="O17" s="4343"/>
      <c r="P17" s="3939"/>
      <c r="Q17" s="3939"/>
      <c r="R17" s="3939"/>
      <c r="S17" s="3939"/>
      <c r="T17" s="3939"/>
      <c r="U17" s="3939"/>
      <c r="V17" s="3939"/>
    </row>
    <row r="18" ht="24.75" spans="1:28">
      <c r="A18" s="4395" t="s">
        <v>547</v>
      </c>
      <c r="B18" s="2671" t="s">
        <v>548</v>
      </c>
      <c r="C18" s="4396">
        <f>'数据-汇总表'!D3</f>
        <v>14251.17</v>
      </c>
      <c r="D18" s="2715" t="s">
        <v>545</v>
      </c>
      <c r="E18" s="4397" t="s">
        <v>549</v>
      </c>
      <c r="F18" s="4398"/>
      <c r="G18" s="4398"/>
      <c r="H18" s="4398"/>
      <c r="I18" s="4399"/>
      <c r="J18" s="3939"/>
      <c r="K18" s="4394"/>
      <c r="L18" s="4343"/>
      <c r="M18" s="4343"/>
      <c r="N18" s="3939"/>
      <c r="O18" s="4343"/>
      <c r="P18" s="3939"/>
      <c r="Q18" s="3939"/>
      <c r="R18" s="3939"/>
      <c r="S18" s="3939"/>
      <c r="T18" s="3939"/>
      <c r="U18" s="3939"/>
      <c r="V18" s="3939"/>
    </row>
    <row r="19" ht="37.5" spans="1:28">
      <c r="A19" s="2710" t="s">
        <v>550</v>
      </c>
      <c r="B19" s="2649" t="s">
        <v>551</v>
      </c>
      <c r="C19" s="4400"/>
      <c r="D19" s="4401" t="s">
        <v>552</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553</v>
      </c>
      <c r="B20" s="4406" t="s">
        <v>554</v>
      </c>
      <c r="C20" s="3003"/>
      <c r="D20" s="4407" t="s">
        <v>555</v>
      </c>
      <c r="E20" s="4408"/>
      <c r="F20" s="4409" t="s">
        <v>556</v>
      </c>
      <c r="G20" s="4152"/>
      <c r="H20" s="4152"/>
      <c r="I20" s="4152"/>
      <c r="J20" s="3939"/>
      <c r="K20" s="4257"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558</v>
      </c>
      <c r="C21" s="3933" t="s">
        <v>559</v>
      </c>
      <c r="D21" s="4411" t="s">
        <v>560</v>
      </c>
      <c r="E21" s="4412" t="s">
        <v>559</v>
      </c>
      <c r="F21" s="4413"/>
      <c r="G21" s="4152"/>
      <c r="H21" s="4152"/>
      <c r="I21" s="4152"/>
      <c r="J21" s="3939"/>
      <c r="K21" s="4257"/>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561</v>
      </c>
      <c r="C22" s="3933" t="s">
        <v>562</v>
      </c>
      <c r="D22" s="4327"/>
      <c r="E22" s="4327"/>
      <c r="F22" s="4327"/>
      <c r="G22" s="4152"/>
      <c r="H22" s="4152"/>
      <c r="I22" s="4152"/>
      <c r="J22" s="3939"/>
      <c r="K22" s="4257"/>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563</v>
      </c>
      <c r="B23" s="3930" t="s">
        <v>564</v>
      </c>
      <c r="C23" s="4416"/>
      <c r="D23" s="4417" t="s">
        <v>564</v>
      </c>
      <c r="E23" s="4418"/>
      <c r="F23" s="4327"/>
      <c r="G23" s="4152"/>
      <c r="H23" s="4152"/>
      <c r="I23" s="4152"/>
      <c r="J23" s="3939"/>
      <c r="K23" s="4341"/>
      <c r="L23" s="2733"/>
      <c r="M23" s="4342"/>
      <c r="N23" s="3939"/>
      <c r="O23" s="4343"/>
      <c r="P23" s="3939"/>
      <c r="Q23" s="3939"/>
      <c r="R23" s="3939"/>
      <c r="S23" s="3939"/>
      <c r="T23" s="3939"/>
      <c r="U23" s="3939"/>
      <c r="V23" s="3939"/>
    </row>
    <row r="24" spans="1:28">
      <c r="A24" s="4415"/>
      <c r="B24" s="3930" t="s">
        <v>565</v>
      </c>
      <c r="C24" s="4419"/>
      <c r="D24" s="4415" t="s">
        <v>565</v>
      </c>
      <c r="E24" s="4420"/>
      <c r="F24" s="4327"/>
      <c r="G24" s="4152"/>
      <c r="H24" s="4152"/>
      <c r="I24" s="4152"/>
      <c r="J24" s="3939"/>
      <c r="K24" s="4341"/>
      <c r="L24" s="2733"/>
      <c r="M24" s="4342"/>
      <c r="N24" s="3939"/>
      <c r="O24" s="4343"/>
      <c r="P24" s="3939"/>
      <c r="Q24" s="3939"/>
      <c r="R24" s="3939"/>
      <c r="S24" s="3939"/>
      <c r="T24" s="3939"/>
      <c r="U24" s="3939"/>
      <c r="V24" s="3939"/>
    </row>
    <row r="25" spans="1:28">
      <c r="A25" s="4415"/>
      <c r="B25" s="3930" t="s">
        <v>566</v>
      </c>
      <c r="C25" s="4419"/>
      <c r="D25" s="4415" t="s">
        <v>566</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567</v>
      </c>
      <c r="C26" s="4423"/>
      <c r="D26" s="4421" t="s">
        <v>567</v>
      </c>
      <c r="E26" s="4424"/>
      <c r="F26" s="4358"/>
      <c r="G26" s="4358"/>
      <c r="H26" s="4358"/>
      <c r="I26" s="4358"/>
      <c r="J26" s="3939"/>
      <c r="K26" s="4345"/>
      <c r="L26" s="4342"/>
      <c r="M26" s="4342"/>
      <c r="N26" s="3939"/>
      <c r="O26" s="4343"/>
      <c r="P26" s="3939"/>
      <c r="Q26" s="3939"/>
      <c r="R26" s="3939"/>
      <c r="S26" s="3939"/>
      <c r="T26" s="3939"/>
      <c r="U26" s="3939"/>
      <c r="V26" s="3939"/>
    </row>
    <row r="27" ht="13.5" spans="1:28">
      <c r="A27" s="2678" t="s">
        <v>568</v>
      </c>
      <c r="B27" s="2689" t="s">
        <v>569</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678"/>
      <c r="B28" s="1301" t="s">
        <v>570</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678"/>
      <c r="B29" s="1301" t="s">
        <v>571</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689"/>
      <c r="B30" s="1301" t="s">
        <v>572</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573</v>
      </c>
      <c r="B31" s="4434"/>
      <c r="C31" s="2688" t="str">
        <f>IF(B31="现房","成新及维护状况正常否",IF(B31="在建","工程状态是否正常",IF(B31="土地","是否闲置","-")))</f>
        <v>-</v>
      </c>
      <c r="D31" s="3070"/>
      <c r="E31" s="4435"/>
      <c r="F31" s="4152"/>
      <c r="G31" s="4152"/>
      <c r="H31" s="4152"/>
      <c r="I31" s="4152"/>
      <c r="J31" s="3939"/>
      <c r="K31" s="4341"/>
      <c r="L31" s="4342"/>
      <c r="M31" s="4342"/>
      <c r="N31" s="3939"/>
      <c r="O31" s="4343"/>
      <c r="P31" s="3939"/>
      <c r="Q31" s="3939"/>
      <c r="R31" s="3939"/>
      <c r="S31" s="3939"/>
      <c r="T31" s="3939"/>
      <c r="U31" s="3939"/>
      <c r="V31" s="3939"/>
    </row>
    <row r="32" spans="1:28">
      <c r="A32" s="3592"/>
      <c r="B32" s="4434"/>
      <c r="C32" s="2688" t="str">
        <f>IF(B32="现房","成新及维护状况是否正常",IF(B32="在建","工程状态是否正常",IF(B32="土地","是否闲置","-")))</f>
        <v>-</v>
      </c>
      <c r="D32" s="3070"/>
      <c r="E32" s="4435"/>
      <c r="F32" s="4152"/>
      <c r="G32" s="4152"/>
      <c r="H32" s="4152"/>
      <c r="I32" s="4152"/>
      <c r="J32" s="3939"/>
      <c r="K32" s="4345"/>
      <c r="L32" s="4342"/>
      <c r="M32" s="4342"/>
      <c r="N32" s="3939"/>
      <c r="O32" s="4343"/>
      <c r="P32" s="3939"/>
      <c r="Q32" s="3939"/>
      <c r="R32" s="3939"/>
      <c r="S32" s="3939"/>
      <c r="T32" s="3939"/>
      <c r="U32" s="3939"/>
      <c r="V32" s="3939"/>
    </row>
    <row r="33" spans="1:30">
      <c r="A33" s="3592"/>
      <c r="B33" s="4436"/>
      <c r="C33" s="4258" t="str">
        <f>IF(B33="现房","成新及维护状况是否正常",IF(B33="在建","工程状态是否正常",IF(B33="土地","是否闲置","-")))</f>
        <v>-</v>
      </c>
      <c r="D33" s="2657"/>
      <c r="E33" s="4437"/>
      <c r="F33" s="4152"/>
      <c r="G33" s="4152"/>
      <c r="H33" s="4152"/>
      <c r="I33" s="4152"/>
      <c r="J33" s="3939"/>
      <c r="K33" s="4345"/>
      <c r="L33" s="4342"/>
      <c r="M33" s="4342"/>
      <c r="N33" s="3939"/>
      <c r="O33" s="4343"/>
      <c r="P33" s="3939"/>
      <c r="Q33" s="3939"/>
      <c r="R33" s="3939"/>
      <c r="S33" s="3939"/>
      <c r="T33" s="3939"/>
      <c r="U33" s="3939"/>
      <c r="V33" s="3939"/>
    </row>
    <row r="34" spans="1:30">
      <c r="A34" s="1301" t="s">
        <v>574</v>
      </c>
      <c r="B34" s="4438"/>
      <c r="C34" s="4438"/>
      <c r="D34" s="4438"/>
      <c r="E34" s="4438"/>
      <c r="F34" s="4438"/>
      <c r="G34" s="4438"/>
      <c r="H34" s="4438"/>
      <c r="I34" s="4152"/>
      <c r="J34" s="3939"/>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39"/>
      <c r="V34" s="3939"/>
    </row>
    <row r="35" spans="1:30">
      <c r="A35" s="2951"/>
      <c r="B35" s="2319" t="s">
        <v>583</v>
      </c>
      <c r="C35" s="2319"/>
      <c r="D35" s="2319"/>
      <c r="E35" s="2319"/>
      <c r="F35" s="2319">
        <f>C10</f>
        <v>0</v>
      </c>
      <c r="G35" s="4152"/>
      <c r="H35" s="4152"/>
      <c r="I35" s="4152"/>
      <c r="J35" s="3939"/>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39"/>
      <c r="V35" s="3939"/>
    </row>
    <row r="36" spans="1:30">
      <c r="A36" s="4319"/>
      <c r="B36" s="2319" t="s">
        <v>532</v>
      </c>
      <c r="C36" s="2319" t="s">
        <v>533</v>
      </c>
      <c r="D36" s="2319" t="s">
        <v>531</v>
      </c>
      <c r="E36" s="2319" t="s">
        <v>536</v>
      </c>
      <c r="F36" s="4375" t="s">
        <v>231</v>
      </c>
      <c r="G36" s="4152"/>
      <c r="H36" s="4152"/>
      <c r="I36" s="4152"/>
      <c r="J36" s="3939"/>
      <c r="K36" s="4345"/>
      <c r="L36" s="4342"/>
      <c r="M36" s="4342"/>
      <c r="N36" s="3939"/>
      <c r="O36" s="4343"/>
      <c r="P36" s="3939"/>
      <c r="Q36" s="3939"/>
      <c r="R36" s="3939"/>
      <c r="S36" s="3939"/>
      <c r="T36" s="3939"/>
      <c r="U36" s="3939"/>
      <c r="V36" s="3939"/>
    </row>
    <row r="37" spans="1:30">
      <c r="A37" s="4439" t="s">
        <v>584</v>
      </c>
      <c r="B37" s="4440"/>
      <c r="C37" s="4440" t="s">
        <v>286</v>
      </c>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585</v>
      </c>
      <c r="B38" s="4442"/>
      <c r="C38" s="4442" t="s">
        <v>586</v>
      </c>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587</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39"/>
      <c r="K40" s="4341"/>
      <c r="L40" s="4343"/>
      <c r="M40" s="4343"/>
      <c r="N40" s="3939"/>
      <c r="O40" s="4343"/>
      <c r="P40" s="3939"/>
      <c r="Q40" s="3939"/>
      <c r="R40" s="3939"/>
      <c r="S40" s="3939"/>
      <c r="T40" s="3939"/>
      <c r="U40" s="3939"/>
      <c r="V40" s="3939"/>
    </row>
    <row r="41" spans="1:30">
      <c r="A41" s="4449" t="s">
        <v>588</v>
      </c>
      <c r="B41" s="3463"/>
      <c r="C41" s="3070"/>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703" t="s">
        <v>589</v>
      </c>
      <c r="B42" s="2319" t="s">
        <v>590</v>
      </c>
      <c r="C42" s="2319" t="s">
        <v>591</v>
      </c>
      <c r="D42" s="2319" t="s">
        <v>592</v>
      </c>
      <c r="E42" s="2319" t="s">
        <v>593</v>
      </c>
      <c r="F42" s="2319" t="s">
        <v>594</v>
      </c>
      <c r="G42" s="2319" t="s">
        <v>595</v>
      </c>
      <c r="H42" s="2319" t="s">
        <v>596</v>
      </c>
      <c r="I42" s="2319" t="s">
        <v>597</v>
      </c>
      <c r="J42" s="4450" t="s">
        <v>598</v>
      </c>
      <c r="K42" s="4451" t="s">
        <v>599</v>
      </c>
      <c r="L42" s="4451" t="s">
        <v>600</v>
      </c>
      <c r="M42" s="4451" t="s">
        <v>601</v>
      </c>
      <c r="N42" s="4452" t="s">
        <v>602</v>
      </c>
      <c r="O42" s="4452" t="s">
        <v>603</v>
      </c>
      <c r="P42" s="4452" t="s">
        <v>604</v>
      </c>
      <c r="Q42" s="4453" t="s">
        <v>605</v>
      </c>
      <c r="R42" s="4453" t="s">
        <v>606</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607</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608</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19" t="s">
        <v>548</v>
      </c>
      <c r="B2" s="2319" t="s">
        <v>544</v>
      </c>
      <c r="C2" s="2319" t="s">
        <v>609</v>
      </c>
      <c r="D2" s="4243"/>
      <c r="E2" s="3556"/>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610</v>
      </c>
      <c r="AZ2" s="4245" t="s">
        <v>611</v>
      </c>
      <c r="BA2" s="2319" t="s">
        <v>612</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f>面积指标!Q42</f>
        <v>14251.17</v>
      </c>
      <c r="B3" s="1165">
        <f>IF(C3="否",G5-AT5,G5)</f>
        <v>32267.62</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51"/>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688" t="s">
        <v>613</v>
      </c>
      <c r="B5" s="3458"/>
      <c r="C5" s="3458"/>
      <c r="D5" s="3459"/>
      <c r="E5" s="2319" t="s">
        <v>124</v>
      </c>
      <c r="F5" s="2319">
        <f>SUM(F13:F587)</f>
        <v>0</v>
      </c>
      <c r="G5" s="2319">
        <f>SUM(G13:G587)</f>
        <v>32267.62</v>
      </c>
      <c r="H5" s="2319">
        <f t="shared" ref="H5:AT5" si="0">SUM(H13:H656)</f>
        <v>32267.62</v>
      </c>
      <c r="I5" s="2319">
        <f t="shared" si="0"/>
        <v>23066.36</v>
      </c>
      <c r="J5" s="2319">
        <f t="shared" si="0"/>
        <v>0</v>
      </c>
      <c r="K5" s="2319">
        <f t="shared" si="0"/>
        <v>5491.16</v>
      </c>
      <c r="L5" s="2319">
        <f t="shared" si="0"/>
        <v>0</v>
      </c>
      <c r="M5" s="2319">
        <f t="shared" si="0"/>
        <v>3344.85</v>
      </c>
      <c r="N5" s="2319">
        <f t="shared" si="0"/>
        <v>0</v>
      </c>
      <c r="O5" s="2319">
        <f t="shared" si="0"/>
        <v>365.25</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7"/>
      <c r="AV5" s="2688" t="s">
        <v>613</v>
      </c>
      <c r="AW5" s="3458"/>
      <c r="AX5" s="3458"/>
      <c r="AY5" s="2225" t="s">
        <v>124</v>
      </c>
      <c r="AZ5" s="2226">
        <f t="shared" ref="AZ5:BT5" si="1">SUM(AZ13:AZ656)</f>
        <v>32267.62</v>
      </c>
      <c r="BA5" s="2226">
        <f t="shared" si="1"/>
        <v>32267.62</v>
      </c>
      <c r="BB5" s="2226">
        <f t="shared" si="1"/>
        <v>23066.36</v>
      </c>
      <c r="BC5" s="2226">
        <f t="shared" si="1"/>
        <v>5491.16</v>
      </c>
      <c r="BD5" s="2226">
        <f t="shared" si="1"/>
        <v>3344.85</v>
      </c>
      <c r="BE5" s="2226">
        <f t="shared" si="1"/>
        <v>365.25</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3">
        <f t="shared" si="1"/>
        <v>0</v>
      </c>
    </row>
    <row r="6" s="4235" customFormat="1" ht="12.75" spans="1:72">
      <c r="A6" s="2688" t="s">
        <v>614</v>
      </c>
      <c r="B6" s="3458"/>
      <c r="C6" s="3458"/>
      <c r="D6" s="3459"/>
      <c r="E6" s="2319">
        <f>H6+AC6+AT6</f>
        <v>14251.16</v>
      </c>
      <c r="F6" s="2319" t="s">
        <v>124</v>
      </c>
      <c r="G6" s="2319" t="s">
        <v>124</v>
      </c>
      <c r="H6" s="4254">
        <f>SUMIF(I$12:AB$12,"总值",I6:AB6)</f>
        <v>14251.16</v>
      </c>
      <c r="I6" s="2319">
        <f t="shared" ref="I6:AB6" si="2">ROUND($A$3*I5/$B$3,2)</f>
        <v>10187.38</v>
      </c>
      <c r="J6" s="2319">
        <f t="shared" si="2"/>
        <v>0</v>
      </c>
      <c r="K6" s="2319">
        <f t="shared" si="2"/>
        <v>2425.2</v>
      </c>
      <c r="L6" s="2319">
        <f t="shared" si="2"/>
        <v>0</v>
      </c>
      <c r="M6" s="2319">
        <f t="shared" si="2"/>
        <v>1477.27</v>
      </c>
      <c r="N6" s="2319">
        <f t="shared" si="2"/>
        <v>0</v>
      </c>
      <c r="O6" s="2319">
        <f t="shared" si="2"/>
        <v>161.31</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4">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4">
        <f>IF(C3="是",ROUND($A$3*AT5/$B$3,2),0)</f>
        <v>0</v>
      </c>
      <c r="AU6" s="3457"/>
      <c r="AV6" s="2688" t="s">
        <v>614</v>
      </c>
      <c r="AW6" s="3458"/>
      <c r="AX6" s="3458"/>
      <c r="AY6" s="4255">
        <f>IF(AY3&gt;0,AY3,ROUND($A$3*AZ5/$B$3,2))</f>
        <v>14251.17</v>
      </c>
      <c r="AZ6" s="2319" t="s">
        <v>124</v>
      </c>
      <c r="BA6" s="2319">
        <f>ROUND($AY$6*BA5/$AZ$5,2)</f>
        <v>14251.17</v>
      </c>
      <c r="BB6" s="2319">
        <f>ROUND($AY$6*BB5/$AZ$5,2)</f>
        <v>10187.38</v>
      </c>
      <c r="BC6" s="2319">
        <f t="shared" ref="BC6:BH6" si="4">ROUND($AY$6*BC5/$AZ$5,2)</f>
        <v>2425.2</v>
      </c>
      <c r="BD6" s="2319">
        <f t="shared" si="4"/>
        <v>1477.27</v>
      </c>
      <c r="BE6" s="2319">
        <f t="shared" si="4"/>
        <v>161.31</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6">
        <f t="shared" si="5"/>
        <v>0</v>
      </c>
    </row>
    <row r="7" s="4235" customFormat="1" ht="24.75" spans="1:72">
      <c r="A7" s="4257" t="s">
        <v>615</v>
      </c>
      <c r="B7" s="4257" t="s">
        <v>616</v>
      </c>
      <c r="C7" s="4257" t="s">
        <v>590</v>
      </c>
      <c r="D7" s="4257" t="s">
        <v>617</v>
      </c>
      <c r="E7" s="4257" t="s">
        <v>614</v>
      </c>
      <c r="F7" s="4257" t="s">
        <v>618</v>
      </c>
      <c r="G7" s="4258" t="s">
        <v>619</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9"/>
      <c r="AU7" s="4259" t="s">
        <v>620</v>
      </c>
      <c r="AV7" s="4254" t="s">
        <v>615</v>
      </c>
      <c r="AW7" s="3644" t="s">
        <v>616</v>
      </c>
      <c r="AX7" s="4254" t="s">
        <v>590</v>
      </c>
      <c r="AY7" s="3458" t="s">
        <v>621</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622</v>
      </c>
      <c r="H8" s="4264" t="s">
        <v>623</v>
      </c>
      <c r="I8" s="4265"/>
      <c r="J8" s="2316"/>
      <c r="K8" s="2316"/>
      <c r="L8" s="2316"/>
      <c r="M8" s="2316"/>
      <c r="N8" s="2316"/>
      <c r="O8" s="2316"/>
      <c r="P8" s="2316"/>
      <c r="Q8" s="2316"/>
      <c r="R8" s="2316"/>
      <c r="S8" s="2316"/>
      <c r="T8" s="2316"/>
      <c r="U8" s="2316"/>
      <c r="V8" s="4266"/>
      <c r="W8" s="2316"/>
      <c r="X8" s="2316"/>
      <c r="Y8" s="2316"/>
      <c r="Z8" s="2316"/>
      <c r="AA8" s="4266"/>
      <c r="AB8" s="4267"/>
      <c r="AC8" s="789" t="s">
        <v>624</v>
      </c>
      <c r="AD8" s="4268"/>
      <c r="AE8" s="4260"/>
      <c r="AF8" s="2316"/>
      <c r="AG8" s="2316"/>
      <c r="AH8" s="2316"/>
      <c r="AI8" s="2316"/>
      <c r="AJ8" s="2316"/>
      <c r="AK8" s="2316"/>
      <c r="AL8" s="2316"/>
      <c r="AM8" s="2316"/>
      <c r="AN8" s="2316"/>
      <c r="AO8" s="2316"/>
      <c r="AP8" s="2316"/>
      <c r="AQ8" s="2316"/>
      <c r="AR8" s="2316"/>
      <c r="AS8" s="2316"/>
      <c r="AT8" s="2635" t="s">
        <v>625</v>
      </c>
      <c r="AU8" s="4262" t="s">
        <v>626</v>
      </c>
      <c r="AV8" s="2635"/>
      <c r="AW8" s="3556"/>
      <c r="AX8" s="2635"/>
      <c r="AY8" s="3644"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7" customFormat="1" ht="12.75" spans="1:72">
      <c r="A9" s="4262"/>
      <c r="B9" s="4262"/>
      <c r="C9" s="4262"/>
      <c r="D9" s="4262"/>
      <c r="E9" s="4262"/>
      <c r="F9" s="4262"/>
      <c r="G9" s="2635"/>
      <c r="H9" s="4269" t="s">
        <v>627</v>
      </c>
      <c r="I9" s="4270" t="s">
        <v>491</v>
      </c>
      <c r="J9" s="789"/>
      <c r="K9" s="4270" t="s">
        <v>494</v>
      </c>
      <c r="L9" s="789"/>
      <c r="M9" s="4270" t="s">
        <v>494</v>
      </c>
      <c r="N9" s="789"/>
      <c r="O9" s="4270" t="s">
        <v>494</v>
      </c>
      <c r="P9" s="789"/>
      <c r="Q9" s="4270"/>
      <c r="R9" s="789"/>
      <c r="S9" s="4270"/>
      <c r="T9" s="789"/>
      <c r="U9" s="4270"/>
      <c r="V9" s="789"/>
      <c r="W9" s="4270"/>
      <c r="X9" s="4271"/>
      <c r="Y9" s="4270"/>
      <c r="Z9" s="789"/>
      <c r="AA9" s="4270"/>
      <c r="AB9" s="789"/>
      <c r="AC9" s="4263"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2"/>
      <c r="AT9" s="4262"/>
      <c r="AU9" s="4262" t="s">
        <v>630</v>
      </c>
      <c r="AV9" s="2635"/>
      <c r="AW9" s="3556"/>
      <c r="AX9" s="2635"/>
      <c r="AY9" s="4273"/>
      <c r="AZ9" s="4273" t="s">
        <v>622</v>
      </c>
      <c r="BA9" s="4274" t="s">
        <v>631</v>
      </c>
      <c r="BB9" s="4275"/>
      <c r="BC9" s="2697"/>
      <c r="BD9" s="2697"/>
      <c r="BE9" s="2697"/>
      <c r="BF9" s="2697"/>
      <c r="BG9" s="2697"/>
      <c r="BH9" s="2697"/>
      <c r="BI9" s="2697"/>
      <c r="BJ9" s="2697"/>
      <c r="BK9" s="4276"/>
      <c r="BL9" s="2688" t="s">
        <v>632</v>
      </c>
      <c r="BM9" s="2316"/>
      <c r="BN9" s="4265"/>
      <c r="BO9" s="2316"/>
      <c r="BP9" s="2316"/>
      <c r="BQ9" s="2316"/>
      <c r="BR9" s="2316"/>
      <c r="BS9" s="2316"/>
      <c r="BT9" s="2698"/>
    </row>
    <row r="10" s="3947" customFormat="1" ht="12.75" spans="1:72">
      <c r="A10" s="4262"/>
      <c r="B10" s="4262"/>
      <c r="C10" s="4262"/>
      <c r="D10" s="4262"/>
      <c r="E10" s="4262"/>
      <c r="F10" s="4262"/>
      <c r="G10" s="2635"/>
      <c r="H10" s="4273"/>
      <c r="I10" s="4270" t="s">
        <v>230</v>
      </c>
      <c r="J10" s="789"/>
      <c r="K10" s="4277" t="s">
        <v>230</v>
      </c>
      <c r="L10" s="789"/>
      <c r="M10" s="4277" t="s">
        <v>633</v>
      </c>
      <c r="N10" s="789"/>
      <c r="O10" s="4277" t="s">
        <v>634</v>
      </c>
      <c r="P10" s="789"/>
      <c r="Q10" s="4277"/>
      <c r="R10" s="789"/>
      <c r="S10" s="4277"/>
      <c r="T10" s="789"/>
      <c r="U10" s="4277"/>
      <c r="V10" s="789"/>
      <c r="W10" s="4277"/>
      <c r="X10" s="789"/>
      <c r="Y10" s="4277"/>
      <c r="Z10" s="789"/>
      <c r="AA10" s="4277"/>
      <c r="AB10" s="789"/>
      <c r="AC10" s="2635"/>
      <c r="AD10" s="2688" t="s">
        <v>635</v>
      </c>
      <c r="AE10" s="4278"/>
      <c r="AF10" s="2688" t="s">
        <v>635</v>
      </c>
      <c r="AG10" s="4278"/>
      <c r="AH10" s="2688" t="s">
        <v>636</v>
      </c>
      <c r="AI10" s="4278"/>
      <c r="AJ10" s="2688" t="s">
        <v>636</v>
      </c>
      <c r="AK10" s="4278"/>
      <c r="AL10" s="2688" t="s">
        <v>637</v>
      </c>
      <c r="AM10" s="2650"/>
      <c r="AN10" s="2688" t="s">
        <v>637</v>
      </c>
      <c r="AO10" s="2650"/>
      <c r="AP10" s="2688" t="s">
        <v>638</v>
      </c>
      <c r="AQ10" s="2650"/>
      <c r="AR10" s="2688" t="s">
        <v>638</v>
      </c>
      <c r="AS10" s="2650"/>
      <c r="AT10" s="4262"/>
      <c r="AU10" s="4262"/>
      <c r="AV10" s="2635"/>
      <c r="AW10" s="3556"/>
      <c r="AX10" s="2635"/>
      <c r="AY10" s="4273"/>
      <c r="AZ10" s="4273"/>
      <c r="BA10" s="4279" t="s">
        <v>627</v>
      </c>
      <c r="BB10" s="4280"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1" t="str">
        <f>AR9</f>
        <v>地下</v>
      </c>
    </row>
    <row r="11" s="3947" customFormat="1" ht="12.75" spans="1:72">
      <c r="A11" s="4262"/>
      <c r="B11" s="4262"/>
      <c r="C11" s="4262"/>
      <c r="D11" s="4262"/>
      <c r="E11" s="4262"/>
      <c r="F11" s="4262"/>
      <c r="G11" s="2635"/>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635"/>
      <c r="AD11" s="4284" t="s">
        <v>639</v>
      </c>
      <c r="AE11" s="2317"/>
      <c r="AF11" s="4284" t="s">
        <v>639</v>
      </c>
      <c r="AG11" s="2317"/>
      <c r="AH11" s="4284" t="s">
        <v>640</v>
      </c>
      <c r="AI11" s="4285"/>
      <c r="AJ11" s="4284" t="s">
        <v>640</v>
      </c>
      <c r="AK11" s="2317"/>
      <c r="AL11" s="2315"/>
      <c r="AM11" s="2317"/>
      <c r="AN11" s="2315"/>
      <c r="AO11" s="2317"/>
      <c r="AP11" s="2315"/>
      <c r="AQ11" s="2317"/>
      <c r="AR11" s="2315"/>
      <c r="AS11" s="2317"/>
      <c r="AT11" s="3556"/>
      <c r="AU11" s="4262"/>
      <c r="AV11" s="2635"/>
      <c r="AW11" s="3556"/>
      <c r="AX11" s="2635"/>
      <c r="AY11" s="4273"/>
      <c r="AZ11" s="4273"/>
      <c r="BA11" s="4273"/>
      <c r="BB11" s="4267" t="str">
        <f>I10</f>
        <v>办公</v>
      </c>
      <c r="BC11" s="4267" t="str">
        <f>K10</f>
        <v>办公</v>
      </c>
      <c r="BD11" s="4267" t="str">
        <f>M10</f>
        <v>车库</v>
      </c>
      <c r="BE11" s="4267" t="str">
        <f>O10</f>
        <v>仓储</v>
      </c>
      <c r="BF11" s="4267">
        <f>Q10</f>
        <v>0</v>
      </c>
      <c r="BG11" s="4267">
        <f>S10</f>
        <v>0</v>
      </c>
      <c r="BH11" s="4267">
        <f>U10</f>
        <v>0</v>
      </c>
      <c r="BI11" s="4267">
        <f>W10</f>
        <v>0</v>
      </c>
      <c r="BJ11" s="4267">
        <f>Y10</f>
        <v>0</v>
      </c>
      <c r="BK11" s="4267">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6" t="str">
        <f>AR10</f>
        <v>未注明</v>
      </c>
    </row>
    <row r="12" s="4235" customFormat="1" ht="12.75" spans="1:72">
      <c r="A12" s="4287"/>
      <c r="B12" s="4287"/>
      <c r="C12" s="4287"/>
      <c r="D12" s="4287"/>
      <c r="E12" s="4287"/>
      <c r="F12" s="4287"/>
      <c r="G12" s="945"/>
      <c r="H12" s="4288"/>
      <c r="I12" s="3459"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7" t="s">
        <v>642</v>
      </c>
      <c r="W12" s="2319" t="s">
        <v>641</v>
      </c>
      <c r="X12" s="2319" t="s">
        <v>642</v>
      </c>
      <c r="Y12" s="2319" t="s">
        <v>641</v>
      </c>
      <c r="Z12" s="2319" t="s">
        <v>642</v>
      </c>
      <c r="AA12" s="2319" t="s">
        <v>641</v>
      </c>
      <c r="AB12" s="2319" t="s">
        <v>642</v>
      </c>
      <c r="AC12" s="4289"/>
      <c r="AD12" s="3459"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7" t="s">
        <v>642</v>
      </c>
      <c r="AT12" s="4290"/>
      <c r="AU12" s="4287"/>
      <c r="AV12" s="4291"/>
      <c r="AW12" s="3644"/>
      <c r="AX12" s="4291"/>
      <c r="AY12" s="4292"/>
      <c r="AZ12" s="4273"/>
      <c r="BA12" s="4279"/>
      <c r="BB12" s="1291">
        <f>I11</f>
        <v>0</v>
      </c>
      <c r="BC12" s="4293">
        <f>K11</f>
        <v>0</v>
      </c>
      <c r="BD12" s="4293">
        <f>M11</f>
        <v>0</v>
      </c>
      <c r="BE12" s="4267">
        <f>O11</f>
        <v>0</v>
      </c>
      <c r="BF12" s="4267">
        <f>Q11</f>
        <v>0</v>
      </c>
      <c r="BG12" s="4267">
        <f>S11</f>
        <v>0</v>
      </c>
      <c r="BH12" s="4267">
        <f>U11</f>
        <v>0</v>
      </c>
      <c r="BI12" s="4267">
        <f>W11</f>
        <v>0</v>
      </c>
      <c r="BJ12" s="4267">
        <f>Y11</f>
        <v>0</v>
      </c>
      <c r="BK12" s="4267">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6">
        <f>AR11</f>
        <v>0</v>
      </c>
    </row>
    <row r="13" s="4235" customFormat="1" ht="12.75" spans="1:72">
      <c r="A13" s="4246"/>
      <c r="B13" s="4246"/>
      <c r="C13" s="4246"/>
      <c r="D13" s="4294" t="s">
        <v>643</v>
      </c>
      <c r="E13" s="2319">
        <f>IF($C$3="是",ROUND($A$3*G13/$B$3,2),ROUND($A$3*(G13-AT13)/$B$3,2))</f>
        <v>14251.17</v>
      </c>
      <c r="F13" s="2262"/>
      <c r="G13" s="945">
        <f>H13+AC13+AT13</f>
        <v>32267.62</v>
      </c>
      <c r="H13" s="4254">
        <f>SUMIF(I$12:AB$12,"总值",I13:AB13)</f>
        <v>32267.62</v>
      </c>
      <c r="I13" s="4295">
        <f>面积指标!M33+面积指标!M34+面积指标!M35+面积指标!M36+面积指标!M37</f>
        <v>23066.36</v>
      </c>
      <c r="J13" s="4295"/>
      <c r="K13" s="4295">
        <f>面积指标!M40+面积指标!M41</f>
        <v>5491.16</v>
      </c>
      <c r="L13" s="4295"/>
      <c r="M13" s="4295">
        <f>面积指标!M38</f>
        <v>3344.85</v>
      </c>
      <c r="N13" s="4295"/>
      <c r="O13" s="4295">
        <f>面积指标!M39</f>
        <v>365.25</v>
      </c>
      <c r="P13" s="4295"/>
      <c r="Q13" s="4295"/>
      <c r="R13" s="4295"/>
      <c r="S13" s="4295"/>
      <c r="T13" s="4295"/>
      <c r="U13" s="4295"/>
      <c r="V13" s="4295"/>
      <c r="W13" s="4295"/>
      <c r="X13" s="4295"/>
      <c r="Y13" s="4295"/>
      <c r="Z13" s="4295"/>
      <c r="AA13" s="4295"/>
      <c r="AB13" s="4295"/>
      <c r="AC13" s="231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19">
        <f t="shared" ref="AV13:AX17" si="6">A13</f>
        <v>0</v>
      </c>
      <c r="AW13" s="2319">
        <f t="shared" si="6"/>
        <v>0</v>
      </c>
      <c r="AX13" s="2319">
        <f t="shared" si="6"/>
        <v>0</v>
      </c>
      <c r="AY13" s="3459">
        <f>ROUND($AY$6*AZ13/$AZ$5,2)</f>
        <v>14251.17</v>
      </c>
      <c r="AZ13" s="4298">
        <f>BA13+BL13</f>
        <v>32267.62</v>
      </c>
      <c r="BA13" s="4298">
        <f>SUM(BB13:BK13)</f>
        <v>32267.62</v>
      </c>
      <c r="BB13" s="4298">
        <f>IF($D13="是",I13-J13,0)</f>
        <v>23066.36</v>
      </c>
      <c r="BC13" s="4298">
        <f>IF($D13="是",K13-L13,0)</f>
        <v>5491.16</v>
      </c>
      <c r="BD13" s="4298">
        <f>IF($D13="是",M13-N13,0)</f>
        <v>3344.85</v>
      </c>
      <c r="BE13" s="4298">
        <f>IF($D13="是",O13-P13,0)</f>
        <v>365.25</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319">
        <f>IF($C$3="是",ROUND($A$3*G14/$B$3,2),ROUND($A$3*(G14-AT14)/$B$3,2))</f>
        <v>0</v>
      </c>
      <c r="F14" s="2262"/>
      <c r="G14" s="945">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1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19">
        <f t="shared" si="6"/>
        <v>0</v>
      </c>
      <c r="AW14" s="2319">
        <f t="shared" si="6"/>
        <v>0</v>
      </c>
      <c r="AX14" s="2319">
        <f t="shared" si="6"/>
        <v>0</v>
      </c>
      <c r="AY14" s="3459">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319">
        <f>IF($C$3="是",ROUND($A$3*G15/$B$3,2),ROUND($A$3*(G15-AT15)/$B$3,2))</f>
        <v>0</v>
      </c>
      <c r="F15" s="2262"/>
      <c r="G15" s="945">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1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19">
        <f t="shared" si="6"/>
        <v>0</v>
      </c>
      <c r="AW15" s="2319">
        <f t="shared" si="6"/>
        <v>0</v>
      </c>
      <c r="AX15" s="2319">
        <f t="shared" si="6"/>
        <v>0</v>
      </c>
      <c r="AY15" s="3459">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319">
        <f>IF($C$3="是",ROUND($A$3*G16/$B$3,2),ROUND($A$3*(G16-AT16)/$B$3,2))</f>
        <v>0</v>
      </c>
      <c r="F16" s="2262"/>
      <c r="G16" s="945">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1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19">
        <f t="shared" si="6"/>
        <v>0</v>
      </c>
      <c r="AW16" s="2319">
        <f t="shared" si="6"/>
        <v>0</v>
      </c>
      <c r="AX16" s="2319">
        <f t="shared" si="6"/>
        <v>0</v>
      </c>
      <c r="AY16" s="3459">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319">
        <f>IF($C$3="是",ROUND($A$3*G17/$B$3,2),ROUND($A$3*(G17-AT17)/$B$3,2))</f>
        <v>0</v>
      </c>
      <c r="F17" s="2262"/>
      <c r="G17" s="945">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1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19">
        <f t="shared" si="6"/>
        <v>0</v>
      </c>
      <c r="AW17" s="2319">
        <f t="shared" si="6"/>
        <v>0</v>
      </c>
      <c r="AX17" s="2319">
        <f t="shared" si="6"/>
        <v>0</v>
      </c>
      <c r="AY17" s="3459">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69">
        <f t="shared" ref="E18:E112" si="7">IF($C$3="是",ROUND($A$3*G18/$B$3,2),ROUND($A$3*(G18-AT18)/$B$3,2))</f>
        <v>0</v>
      </c>
      <c r="F18" s="1661"/>
      <c r="G18" s="4303">
        <f t="shared" ref="G18:G109" si="8">H18+AC18+AT18</f>
        <v>0</v>
      </c>
      <c r="H18" s="3455">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69">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69">
        <f t="shared" ref="AV18:AV112" si="11">A18</f>
        <v>0</v>
      </c>
      <c r="AW18" s="1169">
        <f t="shared" ref="AW18:AW112" si="12">B18</f>
        <v>0</v>
      </c>
      <c r="AX18" s="1169">
        <f t="shared" ref="AX18:AX112" si="13">C18</f>
        <v>0</v>
      </c>
      <c r="AY18" s="1433">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69">
        <f t="shared" si="7"/>
        <v>0</v>
      </c>
      <c r="F19" s="1661"/>
      <c r="G19" s="4303">
        <f t="shared" si="8"/>
        <v>0</v>
      </c>
      <c r="H19" s="3455">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69">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69">
        <f t="shared" si="11"/>
        <v>0</v>
      </c>
      <c r="AW19" s="1169">
        <f t="shared" si="12"/>
        <v>0</v>
      </c>
      <c r="AX19" s="1169">
        <f t="shared" si="13"/>
        <v>0</v>
      </c>
      <c r="AY19" s="1433">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69">
        <f t="shared" si="7"/>
        <v>0</v>
      </c>
      <c r="F20" s="1661"/>
      <c r="G20" s="4303">
        <f t="shared" si="8"/>
        <v>0</v>
      </c>
      <c r="H20" s="3455">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69">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69">
        <f t="shared" si="11"/>
        <v>0</v>
      </c>
      <c r="AW20" s="1169">
        <f t="shared" si="12"/>
        <v>0</v>
      </c>
      <c r="AX20" s="1169">
        <f t="shared" si="13"/>
        <v>0</v>
      </c>
      <c r="AY20" s="1433">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69">
        <f t="shared" si="7"/>
        <v>0</v>
      </c>
      <c r="F21" s="1661"/>
      <c r="G21" s="4303">
        <f t="shared" si="8"/>
        <v>0</v>
      </c>
      <c r="H21" s="3455">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69">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69">
        <f t="shared" si="11"/>
        <v>0</v>
      </c>
      <c r="AW21" s="1169">
        <f t="shared" si="12"/>
        <v>0</v>
      </c>
      <c r="AX21" s="1169">
        <f t="shared" si="13"/>
        <v>0</v>
      </c>
      <c r="AY21" s="1433">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69">
        <f t="shared" si="7"/>
        <v>0</v>
      </c>
      <c r="F22" s="1661"/>
      <c r="G22" s="4303">
        <f t="shared" si="8"/>
        <v>0</v>
      </c>
      <c r="H22" s="3455">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69">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69">
        <f t="shared" si="11"/>
        <v>0</v>
      </c>
      <c r="AW22" s="1169">
        <f t="shared" si="12"/>
        <v>0</v>
      </c>
      <c r="AX22" s="1169">
        <f t="shared" si="13"/>
        <v>0</v>
      </c>
      <c r="AY22" s="1433">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69">
        <f t="shared" si="7"/>
        <v>0</v>
      </c>
      <c r="F23" s="1661"/>
      <c r="G23" s="4303">
        <f t="shared" si="8"/>
        <v>0</v>
      </c>
      <c r="H23" s="3455">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69">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69">
        <f t="shared" si="11"/>
        <v>0</v>
      </c>
      <c r="AW23" s="1169">
        <f t="shared" si="12"/>
        <v>0</v>
      </c>
      <c r="AX23" s="1169">
        <f t="shared" si="13"/>
        <v>0</v>
      </c>
      <c r="AY23" s="1433">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69">
        <f t="shared" si="7"/>
        <v>0</v>
      </c>
      <c r="F24" s="1661"/>
      <c r="G24" s="4303">
        <f t="shared" si="8"/>
        <v>0</v>
      </c>
      <c r="H24" s="3455">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69">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69">
        <f t="shared" si="11"/>
        <v>0</v>
      </c>
      <c r="AW24" s="1169">
        <f t="shared" si="12"/>
        <v>0</v>
      </c>
      <c r="AX24" s="1169">
        <f t="shared" si="13"/>
        <v>0</v>
      </c>
      <c r="AY24" s="1433">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69">
        <f t="shared" si="7"/>
        <v>0</v>
      </c>
      <c r="F25" s="1661"/>
      <c r="G25" s="4303">
        <f t="shared" si="8"/>
        <v>0</v>
      </c>
      <c r="H25" s="3455">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69">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69">
        <f t="shared" si="11"/>
        <v>0</v>
      </c>
      <c r="AW25" s="1169">
        <f t="shared" si="12"/>
        <v>0</v>
      </c>
      <c r="AX25" s="1169">
        <f t="shared" si="13"/>
        <v>0</v>
      </c>
      <c r="AY25" s="1433">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69">
        <f t="shared" si="7"/>
        <v>0</v>
      </c>
      <c r="F26" s="1661"/>
      <c r="G26" s="4303">
        <f t="shared" si="8"/>
        <v>0</v>
      </c>
      <c r="H26" s="3455">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69">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69">
        <f t="shared" si="11"/>
        <v>0</v>
      </c>
      <c r="AW26" s="1169">
        <f t="shared" si="12"/>
        <v>0</v>
      </c>
      <c r="AX26" s="1169">
        <f t="shared" si="13"/>
        <v>0</v>
      </c>
      <c r="AY26" s="1433">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69">
        <f t="shared" si="7"/>
        <v>0</v>
      </c>
      <c r="F27" s="1661"/>
      <c r="G27" s="4303">
        <f t="shared" si="8"/>
        <v>0</v>
      </c>
      <c r="H27" s="3455">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69">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69">
        <f t="shared" si="11"/>
        <v>0</v>
      </c>
      <c r="AW27" s="1169">
        <f t="shared" si="12"/>
        <v>0</v>
      </c>
      <c r="AX27" s="1169">
        <f t="shared" si="13"/>
        <v>0</v>
      </c>
      <c r="AY27" s="1433">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69">
        <f t="shared" si="7"/>
        <v>0</v>
      </c>
      <c r="F28" s="1661"/>
      <c r="G28" s="4303">
        <f t="shared" si="8"/>
        <v>0</v>
      </c>
      <c r="H28" s="3455">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69">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69">
        <f t="shared" si="11"/>
        <v>0</v>
      </c>
      <c r="AW28" s="1169">
        <f t="shared" si="12"/>
        <v>0</v>
      </c>
      <c r="AX28" s="1169">
        <f t="shared" si="13"/>
        <v>0</v>
      </c>
      <c r="AY28" s="1433">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69">
        <f t="shared" si="7"/>
        <v>0</v>
      </c>
      <c r="F29" s="1661"/>
      <c r="G29" s="4303">
        <f t="shared" si="8"/>
        <v>0</v>
      </c>
      <c r="H29" s="3455">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69">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69">
        <f t="shared" si="11"/>
        <v>0</v>
      </c>
      <c r="AW29" s="1169">
        <f t="shared" si="12"/>
        <v>0</v>
      </c>
      <c r="AX29" s="1169">
        <f t="shared" si="13"/>
        <v>0</v>
      </c>
      <c r="AY29" s="1433">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69">
        <f t="shared" si="7"/>
        <v>0</v>
      </c>
      <c r="F30" s="1661"/>
      <c r="G30" s="4303">
        <f t="shared" si="8"/>
        <v>0</v>
      </c>
      <c r="H30" s="3455">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69">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69">
        <f t="shared" si="11"/>
        <v>0</v>
      </c>
      <c r="AW30" s="1169">
        <f t="shared" si="12"/>
        <v>0</v>
      </c>
      <c r="AX30" s="1169">
        <f t="shared" si="13"/>
        <v>0</v>
      </c>
      <c r="AY30" s="1433">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69">
        <f t="shared" si="7"/>
        <v>0</v>
      </c>
      <c r="F31" s="1661"/>
      <c r="G31" s="4303">
        <f t="shared" si="8"/>
        <v>0</v>
      </c>
      <c r="H31" s="3455">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69">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69">
        <f t="shared" si="11"/>
        <v>0</v>
      </c>
      <c r="AW31" s="1169">
        <f t="shared" si="12"/>
        <v>0</v>
      </c>
      <c r="AX31" s="1169">
        <f t="shared" si="13"/>
        <v>0</v>
      </c>
      <c r="AY31" s="1433">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69">
        <f t="shared" si="7"/>
        <v>0</v>
      </c>
      <c r="F32" s="1661"/>
      <c r="G32" s="4303">
        <f t="shared" si="8"/>
        <v>0</v>
      </c>
      <c r="H32" s="3455">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69">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69">
        <f t="shared" si="11"/>
        <v>0</v>
      </c>
      <c r="AW32" s="1169">
        <f t="shared" si="12"/>
        <v>0</v>
      </c>
      <c r="AX32" s="1169">
        <f t="shared" si="13"/>
        <v>0</v>
      </c>
      <c r="AY32" s="1433">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69">
        <f t="shared" si="7"/>
        <v>0</v>
      </c>
      <c r="F33" s="1661"/>
      <c r="G33" s="4303">
        <f t="shared" si="8"/>
        <v>0</v>
      </c>
      <c r="H33" s="3455">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69">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69">
        <f t="shared" si="11"/>
        <v>0</v>
      </c>
      <c r="AW33" s="1169">
        <f t="shared" si="12"/>
        <v>0</v>
      </c>
      <c r="AX33" s="1169">
        <f t="shared" si="13"/>
        <v>0</v>
      </c>
      <c r="AY33" s="1433">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69">
        <f t="shared" si="7"/>
        <v>0</v>
      </c>
      <c r="F34" s="1661"/>
      <c r="G34" s="4303">
        <f t="shared" si="8"/>
        <v>0</v>
      </c>
      <c r="H34" s="3455">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69">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69">
        <f t="shared" si="11"/>
        <v>0</v>
      </c>
      <c r="AW34" s="1169">
        <f t="shared" si="12"/>
        <v>0</v>
      </c>
      <c r="AX34" s="1169">
        <f t="shared" si="13"/>
        <v>0</v>
      </c>
      <c r="AY34" s="1433">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69">
        <f t="shared" si="7"/>
        <v>0</v>
      </c>
      <c r="F35" s="1661"/>
      <c r="G35" s="4303">
        <f t="shared" si="8"/>
        <v>0</v>
      </c>
      <c r="H35" s="3455">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69">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69">
        <f t="shared" si="11"/>
        <v>0</v>
      </c>
      <c r="AW35" s="1169">
        <f t="shared" si="12"/>
        <v>0</v>
      </c>
      <c r="AX35" s="1169">
        <f t="shared" si="13"/>
        <v>0</v>
      </c>
      <c r="AY35" s="1433">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69">
        <f t="shared" si="7"/>
        <v>0</v>
      </c>
      <c r="F36" s="1661"/>
      <c r="G36" s="4303">
        <f t="shared" si="8"/>
        <v>0</v>
      </c>
      <c r="H36" s="3455">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69">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69">
        <f t="shared" si="11"/>
        <v>0</v>
      </c>
      <c r="AW36" s="1169">
        <f t="shared" si="12"/>
        <v>0</v>
      </c>
      <c r="AX36" s="1169">
        <f t="shared" si="13"/>
        <v>0</v>
      </c>
      <c r="AY36" s="1433">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69">
        <f t="shared" si="7"/>
        <v>0</v>
      </c>
      <c r="F37" s="1661"/>
      <c r="G37" s="4303">
        <f t="shared" si="8"/>
        <v>0</v>
      </c>
      <c r="H37" s="3455">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69">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69">
        <f t="shared" si="11"/>
        <v>0</v>
      </c>
      <c r="AW37" s="1169">
        <f t="shared" si="12"/>
        <v>0</v>
      </c>
      <c r="AX37" s="1169">
        <f t="shared" si="13"/>
        <v>0</v>
      </c>
      <c r="AY37" s="1433">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69">
        <f t="shared" si="7"/>
        <v>0</v>
      </c>
      <c r="F38" s="1661"/>
      <c r="G38" s="4303">
        <f t="shared" si="8"/>
        <v>0</v>
      </c>
      <c r="H38" s="3455">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69">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69">
        <f t="shared" si="11"/>
        <v>0</v>
      </c>
      <c r="AW38" s="1169">
        <f t="shared" si="12"/>
        <v>0</v>
      </c>
      <c r="AX38" s="1169">
        <f t="shared" si="13"/>
        <v>0</v>
      </c>
      <c r="AY38" s="1433">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69">
        <f t="shared" si="7"/>
        <v>0</v>
      </c>
      <c r="F39" s="1661"/>
      <c r="G39" s="4303">
        <f t="shared" si="8"/>
        <v>0</v>
      </c>
      <c r="H39" s="3455">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69">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69">
        <f t="shared" si="11"/>
        <v>0</v>
      </c>
      <c r="AW39" s="1169">
        <f t="shared" si="12"/>
        <v>0</v>
      </c>
      <c r="AX39" s="1169">
        <f t="shared" si="13"/>
        <v>0</v>
      </c>
      <c r="AY39" s="1433">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69">
        <f t="shared" si="7"/>
        <v>0</v>
      </c>
      <c r="F40" s="1661"/>
      <c r="G40" s="4303">
        <f t="shared" si="8"/>
        <v>0</v>
      </c>
      <c r="H40" s="3455">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69">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69">
        <f t="shared" si="11"/>
        <v>0</v>
      </c>
      <c r="AW40" s="1169">
        <f t="shared" si="12"/>
        <v>0</v>
      </c>
      <c r="AX40" s="1169">
        <f t="shared" si="13"/>
        <v>0</v>
      </c>
      <c r="AY40" s="1433">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69">
        <f t="shared" si="7"/>
        <v>0</v>
      </c>
      <c r="F41" s="1661"/>
      <c r="G41" s="4303">
        <f t="shared" si="8"/>
        <v>0</v>
      </c>
      <c r="H41" s="3455">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69">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69">
        <f t="shared" si="11"/>
        <v>0</v>
      </c>
      <c r="AW41" s="1169">
        <f t="shared" si="12"/>
        <v>0</v>
      </c>
      <c r="AX41" s="1169">
        <f t="shared" si="13"/>
        <v>0</v>
      </c>
      <c r="AY41" s="1433">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69">
        <f t="shared" si="7"/>
        <v>0</v>
      </c>
      <c r="F42" s="1661"/>
      <c r="G42" s="4303">
        <f t="shared" si="8"/>
        <v>0</v>
      </c>
      <c r="H42" s="3455">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69">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69">
        <f t="shared" si="11"/>
        <v>0</v>
      </c>
      <c r="AW42" s="1169">
        <f t="shared" si="12"/>
        <v>0</v>
      </c>
      <c r="AX42" s="1169">
        <f t="shared" si="13"/>
        <v>0</v>
      </c>
      <c r="AY42" s="1433">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69">
        <f t="shared" si="7"/>
        <v>0</v>
      </c>
      <c r="F43" s="1661"/>
      <c r="G43" s="4303">
        <f t="shared" si="8"/>
        <v>0</v>
      </c>
      <c r="H43" s="3455">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69">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69">
        <f t="shared" si="11"/>
        <v>0</v>
      </c>
      <c r="AW43" s="1169">
        <f t="shared" si="12"/>
        <v>0</v>
      </c>
      <c r="AX43" s="1169">
        <f t="shared" si="13"/>
        <v>0</v>
      </c>
      <c r="AY43" s="1433">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69">
        <f t="shared" si="7"/>
        <v>0</v>
      </c>
      <c r="F44" s="1661"/>
      <c r="G44" s="4303">
        <f t="shared" si="8"/>
        <v>0</v>
      </c>
      <c r="H44" s="3455">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69">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69">
        <f t="shared" si="11"/>
        <v>0</v>
      </c>
      <c r="AW44" s="1169">
        <f t="shared" si="12"/>
        <v>0</v>
      </c>
      <c r="AX44" s="1169">
        <f t="shared" si="13"/>
        <v>0</v>
      </c>
      <c r="AY44" s="1433">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69">
        <f t="shared" si="7"/>
        <v>0</v>
      </c>
      <c r="F45" s="1661"/>
      <c r="G45" s="4303">
        <f t="shared" si="8"/>
        <v>0</v>
      </c>
      <c r="H45" s="3455">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69">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69">
        <f t="shared" si="11"/>
        <v>0</v>
      </c>
      <c r="AW45" s="1169">
        <f t="shared" si="12"/>
        <v>0</v>
      </c>
      <c r="AX45" s="1169">
        <f t="shared" si="13"/>
        <v>0</v>
      </c>
      <c r="AY45" s="1433">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69">
        <f t="shared" si="7"/>
        <v>0</v>
      </c>
      <c r="F46" s="1661"/>
      <c r="G46" s="4303">
        <f t="shared" si="8"/>
        <v>0</v>
      </c>
      <c r="H46" s="3455">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69">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69">
        <f t="shared" si="11"/>
        <v>0</v>
      </c>
      <c r="AW46" s="1169">
        <f t="shared" si="12"/>
        <v>0</v>
      </c>
      <c r="AX46" s="1169">
        <f t="shared" si="13"/>
        <v>0</v>
      </c>
      <c r="AY46" s="1433">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69">
        <f t="shared" si="7"/>
        <v>0</v>
      </c>
      <c r="F47" s="1661"/>
      <c r="G47" s="4303">
        <f t="shared" si="8"/>
        <v>0</v>
      </c>
      <c r="H47" s="3455">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69">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69">
        <f t="shared" si="11"/>
        <v>0</v>
      </c>
      <c r="AW47" s="1169">
        <f t="shared" si="12"/>
        <v>0</v>
      </c>
      <c r="AX47" s="1169">
        <f t="shared" si="13"/>
        <v>0</v>
      </c>
      <c r="AY47" s="1433">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69">
        <f t="shared" si="7"/>
        <v>0</v>
      </c>
      <c r="F48" s="1661"/>
      <c r="G48" s="4303">
        <f t="shared" si="8"/>
        <v>0</v>
      </c>
      <c r="H48" s="3455">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69">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69">
        <f t="shared" si="11"/>
        <v>0</v>
      </c>
      <c r="AW48" s="1169">
        <f t="shared" si="12"/>
        <v>0</v>
      </c>
      <c r="AX48" s="1169">
        <f t="shared" si="13"/>
        <v>0</v>
      </c>
      <c r="AY48" s="1433">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69">
        <f t="shared" si="7"/>
        <v>0</v>
      </c>
      <c r="F49" s="1661"/>
      <c r="G49" s="4303">
        <f t="shared" si="8"/>
        <v>0</v>
      </c>
      <c r="H49" s="3455">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69">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69">
        <f t="shared" si="11"/>
        <v>0</v>
      </c>
      <c r="AW49" s="1169">
        <f t="shared" si="12"/>
        <v>0</v>
      </c>
      <c r="AX49" s="1169">
        <f t="shared" si="13"/>
        <v>0</v>
      </c>
      <c r="AY49" s="1433">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69">
        <f t="shared" si="7"/>
        <v>0</v>
      </c>
      <c r="F50" s="1661"/>
      <c r="G50" s="4303">
        <f t="shared" si="8"/>
        <v>0</v>
      </c>
      <c r="H50" s="3455">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69">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69">
        <f t="shared" si="11"/>
        <v>0</v>
      </c>
      <c r="AW50" s="1169">
        <f t="shared" si="12"/>
        <v>0</v>
      </c>
      <c r="AX50" s="1169">
        <f t="shared" si="13"/>
        <v>0</v>
      </c>
      <c r="AY50" s="1433">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69">
        <f t="shared" si="7"/>
        <v>0</v>
      </c>
      <c r="F51" s="1661"/>
      <c r="G51" s="4303">
        <f t="shared" si="8"/>
        <v>0</v>
      </c>
      <c r="H51" s="3455">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69">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69">
        <f t="shared" si="11"/>
        <v>0</v>
      </c>
      <c r="AW51" s="1169">
        <f t="shared" si="12"/>
        <v>0</v>
      </c>
      <c r="AX51" s="1169">
        <f t="shared" si="13"/>
        <v>0</v>
      </c>
      <c r="AY51" s="1433">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69">
        <f t="shared" si="7"/>
        <v>0</v>
      </c>
      <c r="F52" s="1661"/>
      <c r="G52" s="4303">
        <f t="shared" si="8"/>
        <v>0</v>
      </c>
      <c r="H52" s="3455">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69">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69">
        <f t="shared" si="11"/>
        <v>0</v>
      </c>
      <c r="AW52" s="1169">
        <f t="shared" si="12"/>
        <v>0</v>
      </c>
      <c r="AX52" s="1169">
        <f t="shared" si="13"/>
        <v>0</v>
      </c>
      <c r="AY52" s="1433">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69">
        <f t="shared" si="7"/>
        <v>0</v>
      </c>
      <c r="F53" s="1661"/>
      <c r="G53" s="4303">
        <f t="shared" si="8"/>
        <v>0</v>
      </c>
      <c r="H53" s="3455">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69">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69">
        <f t="shared" si="11"/>
        <v>0</v>
      </c>
      <c r="AW53" s="1169">
        <f t="shared" si="12"/>
        <v>0</v>
      </c>
      <c r="AX53" s="1169">
        <f t="shared" si="13"/>
        <v>0</v>
      </c>
      <c r="AY53" s="1433">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69">
        <f t="shared" si="7"/>
        <v>0</v>
      </c>
      <c r="F54" s="1661"/>
      <c r="G54" s="4303">
        <f t="shared" si="8"/>
        <v>0</v>
      </c>
      <c r="H54" s="3455">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69">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69">
        <f t="shared" si="11"/>
        <v>0</v>
      </c>
      <c r="AW54" s="1169">
        <f t="shared" si="12"/>
        <v>0</v>
      </c>
      <c r="AX54" s="1169">
        <f t="shared" si="13"/>
        <v>0</v>
      </c>
      <c r="AY54" s="1433">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69">
        <f t="shared" si="7"/>
        <v>0</v>
      </c>
      <c r="F55" s="1661"/>
      <c r="G55" s="4303">
        <f t="shared" si="8"/>
        <v>0</v>
      </c>
      <c r="H55" s="3455">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69">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69">
        <f t="shared" si="11"/>
        <v>0</v>
      </c>
      <c r="AW55" s="1169">
        <f t="shared" si="12"/>
        <v>0</v>
      </c>
      <c r="AX55" s="1169">
        <f t="shared" si="13"/>
        <v>0</v>
      </c>
      <c r="AY55" s="1433">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69">
        <f t="shared" si="7"/>
        <v>0</v>
      </c>
      <c r="F56" s="1661"/>
      <c r="G56" s="4303">
        <f t="shared" si="8"/>
        <v>0</v>
      </c>
      <c r="H56" s="3455">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69">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69">
        <f t="shared" si="11"/>
        <v>0</v>
      </c>
      <c r="AW56" s="1169">
        <f t="shared" si="12"/>
        <v>0</v>
      </c>
      <c r="AX56" s="1169">
        <f t="shared" si="13"/>
        <v>0</v>
      </c>
      <c r="AY56" s="1433">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69">
        <f t="shared" si="7"/>
        <v>0</v>
      </c>
      <c r="F57" s="1661"/>
      <c r="G57" s="4303">
        <f t="shared" si="8"/>
        <v>0</v>
      </c>
      <c r="H57" s="3455">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69">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69">
        <f t="shared" si="11"/>
        <v>0</v>
      </c>
      <c r="AW57" s="1169">
        <f t="shared" si="12"/>
        <v>0</v>
      </c>
      <c r="AX57" s="1169">
        <f t="shared" si="13"/>
        <v>0</v>
      </c>
      <c r="AY57" s="1433">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69">
        <f t="shared" si="7"/>
        <v>0</v>
      </c>
      <c r="F58" s="1661"/>
      <c r="G58" s="4303">
        <f t="shared" si="8"/>
        <v>0</v>
      </c>
      <c r="H58" s="3455">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69">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69">
        <f t="shared" si="11"/>
        <v>0</v>
      </c>
      <c r="AW58" s="1169">
        <f t="shared" si="12"/>
        <v>0</v>
      </c>
      <c r="AX58" s="1169">
        <f t="shared" si="13"/>
        <v>0</v>
      </c>
      <c r="AY58" s="1433">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69">
        <f t="shared" si="7"/>
        <v>0</v>
      </c>
      <c r="F59" s="1661"/>
      <c r="G59" s="4303">
        <f t="shared" si="8"/>
        <v>0</v>
      </c>
      <c r="H59" s="3455">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69">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69">
        <f t="shared" si="11"/>
        <v>0</v>
      </c>
      <c r="AW59" s="1169">
        <f t="shared" si="12"/>
        <v>0</v>
      </c>
      <c r="AX59" s="1169">
        <f t="shared" si="13"/>
        <v>0</v>
      </c>
      <c r="AY59" s="1433">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69">
        <f t="shared" si="7"/>
        <v>0</v>
      </c>
      <c r="F60" s="1661"/>
      <c r="G60" s="4303">
        <f t="shared" si="8"/>
        <v>0</v>
      </c>
      <c r="H60" s="3455">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69">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69">
        <f t="shared" si="11"/>
        <v>0</v>
      </c>
      <c r="AW60" s="1169">
        <f t="shared" si="12"/>
        <v>0</v>
      </c>
      <c r="AX60" s="1169">
        <f t="shared" si="13"/>
        <v>0</v>
      </c>
      <c r="AY60" s="1433">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69">
        <f t="shared" si="7"/>
        <v>0</v>
      </c>
      <c r="F61" s="1661"/>
      <c r="G61" s="4303">
        <f t="shared" si="8"/>
        <v>0</v>
      </c>
      <c r="H61" s="3455">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69">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69">
        <f t="shared" si="11"/>
        <v>0</v>
      </c>
      <c r="AW61" s="1169">
        <f t="shared" si="12"/>
        <v>0</v>
      </c>
      <c r="AX61" s="1169">
        <f t="shared" si="13"/>
        <v>0</v>
      </c>
      <c r="AY61" s="1433">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69">
        <f t="shared" si="7"/>
        <v>0</v>
      </c>
      <c r="F62" s="1661"/>
      <c r="G62" s="4303">
        <f t="shared" si="8"/>
        <v>0</v>
      </c>
      <c r="H62" s="3455">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69">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69">
        <f t="shared" si="11"/>
        <v>0</v>
      </c>
      <c r="AW62" s="1169">
        <f t="shared" si="12"/>
        <v>0</v>
      </c>
      <c r="AX62" s="1169">
        <f t="shared" si="13"/>
        <v>0</v>
      </c>
      <c r="AY62" s="1433">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69">
        <f t="shared" si="7"/>
        <v>0</v>
      </c>
      <c r="F63" s="1661"/>
      <c r="G63" s="4303">
        <f t="shared" si="8"/>
        <v>0</v>
      </c>
      <c r="H63" s="3455">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69">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69">
        <f t="shared" si="11"/>
        <v>0</v>
      </c>
      <c r="AW63" s="1169">
        <f t="shared" si="12"/>
        <v>0</v>
      </c>
      <c r="AX63" s="1169">
        <f t="shared" si="13"/>
        <v>0</v>
      </c>
      <c r="AY63" s="1433">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69">
        <f t="shared" si="7"/>
        <v>0</v>
      </c>
      <c r="F64" s="1661"/>
      <c r="G64" s="4303">
        <f t="shared" si="8"/>
        <v>0</v>
      </c>
      <c r="H64" s="3455">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69">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69">
        <f t="shared" si="11"/>
        <v>0</v>
      </c>
      <c r="AW64" s="1169">
        <f t="shared" si="12"/>
        <v>0</v>
      </c>
      <c r="AX64" s="1169">
        <f t="shared" si="13"/>
        <v>0</v>
      </c>
      <c r="AY64" s="1433">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69">
        <f t="shared" si="7"/>
        <v>0</v>
      </c>
      <c r="F65" s="1661"/>
      <c r="G65" s="4303">
        <f t="shared" si="8"/>
        <v>0</v>
      </c>
      <c r="H65" s="3455">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69">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69">
        <f t="shared" si="11"/>
        <v>0</v>
      </c>
      <c r="AW65" s="1169">
        <f t="shared" si="12"/>
        <v>0</v>
      </c>
      <c r="AX65" s="1169">
        <f t="shared" si="13"/>
        <v>0</v>
      </c>
      <c r="AY65" s="1433">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69">
        <f t="shared" si="7"/>
        <v>0</v>
      </c>
      <c r="F66" s="1661"/>
      <c r="G66" s="4303">
        <f t="shared" si="8"/>
        <v>0</v>
      </c>
      <c r="H66" s="3455">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69">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69">
        <f t="shared" si="11"/>
        <v>0</v>
      </c>
      <c r="AW66" s="1169">
        <f t="shared" si="12"/>
        <v>0</v>
      </c>
      <c r="AX66" s="1169">
        <f t="shared" si="13"/>
        <v>0</v>
      </c>
      <c r="AY66" s="1433">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69">
        <f t="shared" si="7"/>
        <v>0</v>
      </c>
      <c r="F67" s="1661"/>
      <c r="G67" s="4303">
        <f t="shared" si="8"/>
        <v>0</v>
      </c>
      <c r="H67" s="3455">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69">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69">
        <f t="shared" si="11"/>
        <v>0</v>
      </c>
      <c r="AW67" s="1169">
        <f t="shared" si="12"/>
        <v>0</v>
      </c>
      <c r="AX67" s="1169">
        <f t="shared" si="13"/>
        <v>0</v>
      </c>
      <c r="AY67" s="1433">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69">
        <f t="shared" si="7"/>
        <v>0</v>
      </c>
      <c r="F68" s="1661"/>
      <c r="G68" s="4303">
        <f t="shared" si="8"/>
        <v>0</v>
      </c>
      <c r="H68" s="3455">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69">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69">
        <f t="shared" si="11"/>
        <v>0</v>
      </c>
      <c r="AW68" s="1169">
        <f t="shared" si="12"/>
        <v>0</v>
      </c>
      <c r="AX68" s="1169">
        <f t="shared" si="13"/>
        <v>0</v>
      </c>
      <c r="AY68" s="1433">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69">
        <f t="shared" si="7"/>
        <v>0</v>
      </c>
      <c r="F69" s="1661"/>
      <c r="G69" s="4303">
        <f t="shared" si="8"/>
        <v>0</v>
      </c>
      <c r="H69" s="3455">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69">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69">
        <f t="shared" si="11"/>
        <v>0</v>
      </c>
      <c r="AW69" s="1169">
        <f t="shared" si="12"/>
        <v>0</v>
      </c>
      <c r="AX69" s="1169">
        <f t="shared" si="13"/>
        <v>0</v>
      </c>
      <c r="AY69" s="1433">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69">
        <f t="shared" si="7"/>
        <v>0</v>
      </c>
      <c r="F70" s="1661"/>
      <c r="G70" s="4303">
        <f t="shared" si="8"/>
        <v>0</v>
      </c>
      <c r="H70" s="3455">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69">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69">
        <f t="shared" si="11"/>
        <v>0</v>
      </c>
      <c r="AW70" s="1169">
        <f t="shared" si="12"/>
        <v>0</v>
      </c>
      <c r="AX70" s="1169">
        <f t="shared" si="13"/>
        <v>0</v>
      </c>
      <c r="AY70" s="1433">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69">
        <f t="shared" si="7"/>
        <v>0</v>
      </c>
      <c r="F71" s="1661"/>
      <c r="G71" s="4303">
        <f t="shared" si="8"/>
        <v>0</v>
      </c>
      <c r="H71" s="3455">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69">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69">
        <f t="shared" si="11"/>
        <v>0</v>
      </c>
      <c r="AW71" s="1169">
        <f t="shared" si="12"/>
        <v>0</v>
      </c>
      <c r="AX71" s="1169">
        <f t="shared" si="13"/>
        <v>0</v>
      </c>
      <c r="AY71" s="1433">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69">
        <f t="shared" si="7"/>
        <v>0</v>
      </c>
      <c r="F72" s="1661"/>
      <c r="G72" s="4303">
        <f t="shared" si="8"/>
        <v>0</v>
      </c>
      <c r="H72" s="3455">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69">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69">
        <f t="shared" si="11"/>
        <v>0</v>
      </c>
      <c r="AW72" s="1169">
        <f t="shared" si="12"/>
        <v>0</v>
      </c>
      <c r="AX72" s="1169">
        <f t="shared" si="13"/>
        <v>0</v>
      </c>
      <c r="AY72" s="1433">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69">
        <f t="shared" si="7"/>
        <v>0</v>
      </c>
      <c r="F73" s="1661"/>
      <c r="G73" s="4303">
        <f t="shared" si="8"/>
        <v>0</v>
      </c>
      <c r="H73" s="3455">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69">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69">
        <f t="shared" si="11"/>
        <v>0</v>
      </c>
      <c r="AW73" s="1169">
        <f t="shared" si="12"/>
        <v>0</v>
      </c>
      <c r="AX73" s="1169">
        <f t="shared" si="13"/>
        <v>0</v>
      </c>
      <c r="AY73" s="1433">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69">
        <f t="shared" si="7"/>
        <v>0</v>
      </c>
      <c r="F74" s="1661"/>
      <c r="G74" s="4303">
        <f t="shared" si="8"/>
        <v>0</v>
      </c>
      <c r="H74" s="3455">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69">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69">
        <f t="shared" si="11"/>
        <v>0</v>
      </c>
      <c r="AW74" s="1169">
        <f t="shared" si="12"/>
        <v>0</v>
      </c>
      <c r="AX74" s="1169">
        <f t="shared" si="13"/>
        <v>0</v>
      </c>
      <c r="AY74" s="1433">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69">
        <f t="shared" si="7"/>
        <v>0</v>
      </c>
      <c r="F75" s="1661"/>
      <c r="G75" s="4303">
        <f t="shared" si="8"/>
        <v>0</v>
      </c>
      <c r="H75" s="3455">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69">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69">
        <f t="shared" si="11"/>
        <v>0</v>
      </c>
      <c r="AW75" s="1169">
        <f t="shared" si="12"/>
        <v>0</v>
      </c>
      <c r="AX75" s="1169">
        <f t="shared" si="13"/>
        <v>0</v>
      </c>
      <c r="AY75" s="1433">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69">
        <f t="shared" si="7"/>
        <v>0</v>
      </c>
      <c r="F76" s="1661"/>
      <c r="G76" s="4303">
        <f t="shared" si="8"/>
        <v>0</v>
      </c>
      <c r="H76" s="3455">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69">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69">
        <f t="shared" si="11"/>
        <v>0</v>
      </c>
      <c r="AW76" s="1169">
        <f t="shared" si="12"/>
        <v>0</v>
      </c>
      <c r="AX76" s="1169">
        <f t="shared" si="13"/>
        <v>0</v>
      </c>
      <c r="AY76" s="1433">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69">
        <f t="shared" si="7"/>
        <v>0</v>
      </c>
      <c r="F77" s="1661"/>
      <c r="G77" s="4303">
        <f t="shared" si="8"/>
        <v>0</v>
      </c>
      <c r="H77" s="3455">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69">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69">
        <f t="shared" si="11"/>
        <v>0</v>
      </c>
      <c r="AW77" s="1169">
        <f t="shared" si="12"/>
        <v>0</v>
      </c>
      <c r="AX77" s="1169">
        <f t="shared" si="13"/>
        <v>0</v>
      </c>
      <c r="AY77" s="1433">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69">
        <f t="shared" si="7"/>
        <v>0</v>
      </c>
      <c r="F78" s="1661"/>
      <c r="G78" s="4303">
        <f t="shared" si="8"/>
        <v>0</v>
      </c>
      <c r="H78" s="3455">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69">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69">
        <f t="shared" si="11"/>
        <v>0</v>
      </c>
      <c r="AW78" s="1169">
        <f t="shared" si="12"/>
        <v>0</v>
      </c>
      <c r="AX78" s="1169">
        <f t="shared" si="13"/>
        <v>0</v>
      </c>
      <c r="AY78" s="1433">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69">
        <f t="shared" si="7"/>
        <v>0</v>
      </c>
      <c r="F79" s="1661"/>
      <c r="G79" s="4303">
        <f t="shared" si="8"/>
        <v>0</v>
      </c>
      <c r="H79" s="3455">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69">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69">
        <f t="shared" si="11"/>
        <v>0</v>
      </c>
      <c r="AW79" s="1169">
        <f t="shared" si="12"/>
        <v>0</v>
      </c>
      <c r="AX79" s="1169">
        <f t="shared" si="13"/>
        <v>0</v>
      </c>
      <c r="AY79" s="1433">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69">
        <f t="shared" si="7"/>
        <v>0</v>
      </c>
      <c r="F80" s="1661"/>
      <c r="G80" s="4303">
        <f t="shared" si="8"/>
        <v>0</v>
      </c>
      <c r="H80" s="3455">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69">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69">
        <f t="shared" si="11"/>
        <v>0</v>
      </c>
      <c r="AW80" s="1169">
        <f t="shared" si="12"/>
        <v>0</v>
      </c>
      <c r="AX80" s="1169">
        <f t="shared" si="13"/>
        <v>0</v>
      </c>
      <c r="AY80" s="1433">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69">
        <f t="shared" si="7"/>
        <v>0</v>
      </c>
      <c r="F81" s="1661"/>
      <c r="G81" s="4303">
        <f t="shared" si="8"/>
        <v>0</v>
      </c>
      <c r="H81" s="3455">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69">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69">
        <f t="shared" si="11"/>
        <v>0</v>
      </c>
      <c r="AW81" s="1169">
        <f t="shared" si="12"/>
        <v>0</v>
      </c>
      <c r="AX81" s="1169">
        <f t="shared" si="13"/>
        <v>0</v>
      </c>
      <c r="AY81" s="1433">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69">
        <f t="shared" si="7"/>
        <v>0</v>
      </c>
      <c r="F82" s="1661"/>
      <c r="G82" s="4303">
        <f t="shared" si="8"/>
        <v>0</v>
      </c>
      <c r="H82" s="3455">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69">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69">
        <f t="shared" si="11"/>
        <v>0</v>
      </c>
      <c r="AW82" s="1169">
        <f t="shared" si="12"/>
        <v>0</v>
      </c>
      <c r="AX82" s="1169">
        <f t="shared" si="13"/>
        <v>0</v>
      </c>
      <c r="AY82" s="1433">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69">
        <f t="shared" si="7"/>
        <v>0</v>
      </c>
      <c r="F83" s="1661"/>
      <c r="G83" s="4303">
        <f t="shared" si="8"/>
        <v>0</v>
      </c>
      <c r="H83" s="3455">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69">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69">
        <f t="shared" si="11"/>
        <v>0</v>
      </c>
      <c r="AW83" s="1169">
        <f t="shared" si="12"/>
        <v>0</v>
      </c>
      <c r="AX83" s="1169">
        <f t="shared" si="13"/>
        <v>0</v>
      </c>
      <c r="AY83" s="1433">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69">
        <f t="shared" si="7"/>
        <v>0</v>
      </c>
      <c r="F84" s="1661"/>
      <c r="G84" s="4303">
        <f t="shared" si="8"/>
        <v>0</v>
      </c>
      <c r="H84" s="3455">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69">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69">
        <f t="shared" si="11"/>
        <v>0</v>
      </c>
      <c r="AW84" s="1169">
        <f t="shared" si="12"/>
        <v>0</v>
      </c>
      <c r="AX84" s="1169">
        <f t="shared" si="13"/>
        <v>0</v>
      </c>
      <c r="AY84" s="1433">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69">
        <f t="shared" si="7"/>
        <v>0</v>
      </c>
      <c r="F85" s="1661"/>
      <c r="G85" s="4303">
        <f t="shared" si="8"/>
        <v>0</v>
      </c>
      <c r="H85" s="3455">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69">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69">
        <f t="shared" si="11"/>
        <v>0</v>
      </c>
      <c r="AW85" s="1169">
        <f t="shared" si="12"/>
        <v>0</v>
      </c>
      <c r="AX85" s="1169">
        <f t="shared" si="13"/>
        <v>0</v>
      </c>
      <c r="AY85" s="1433">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69">
        <f t="shared" si="7"/>
        <v>0</v>
      </c>
      <c r="F86" s="1661"/>
      <c r="G86" s="4303">
        <f t="shared" si="8"/>
        <v>0</v>
      </c>
      <c r="H86" s="3455">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69">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69">
        <f t="shared" si="11"/>
        <v>0</v>
      </c>
      <c r="AW86" s="1169">
        <f t="shared" si="12"/>
        <v>0</v>
      </c>
      <c r="AX86" s="1169">
        <f t="shared" si="13"/>
        <v>0</v>
      </c>
      <c r="AY86" s="1433">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69">
        <f t="shared" si="7"/>
        <v>0</v>
      </c>
      <c r="F87" s="1661"/>
      <c r="G87" s="4303">
        <f t="shared" si="8"/>
        <v>0</v>
      </c>
      <c r="H87" s="3455">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69">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69">
        <f t="shared" si="11"/>
        <v>0</v>
      </c>
      <c r="AW87" s="1169">
        <f t="shared" si="12"/>
        <v>0</v>
      </c>
      <c r="AX87" s="1169">
        <f t="shared" si="13"/>
        <v>0</v>
      </c>
      <c r="AY87" s="1433">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69">
        <f t="shared" si="7"/>
        <v>0</v>
      </c>
      <c r="F88" s="1661"/>
      <c r="G88" s="4303">
        <f t="shared" si="8"/>
        <v>0</v>
      </c>
      <c r="H88" s="3455">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69">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69">
        <f t="shared" si="11"/>
        <v>0</v>
      </c>
      <c r="AW88" s="1169">
        <f t="shared" si="12"/>
        <v>0</v>
      </c>
      <c r="AX88" s="1169">
        <f t="shared" si="13"/>
        <v>0</v>
      </c>
      <c r="AY88" s="1433">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69">
        <f t="shared" si="7"/>
        <v>0</v>
      </c>
      <c r="F89" s="1661"/>
      <c r="G89" s="4303">
        <f t="shared" si="8"/>
        <v>0</v>
      </c>
      <c r="H89" s="3455">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69">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69">
        <f t="shared" si="11"/>
        <v>0</v>
      </c>
      <c r="AW89" s="1169">
        <f t="shared" si="12"/>
        <v>0</v>
      </c>
      <c r="AX89" s="1169">
        <f t="shared" si="13"/>
        <v>0</v>
      </c>
      <c r="AY89" s="1433">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69">
        <f t="shared" si="7"/>
        <v>0</v>
      </c>
      <c r="F90" s="1661"/>
      <c r="G90" s="4303">
        <f t="shared" si="8"/>
        <v>0</v>
      </c>
      <c r="H90" s="3455">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69">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69">
        <f t="shared" si="11"/>
        <v>0</v>
      </c>
      <c r="AW90" s="1169">
        <f t="shared" si="12"/>
        <v>0</v>
      </c>
      <c r="AX90" s="1169">
        <f t="shared" si="13"/>
        <v>0</v>
      </c>
      <c r="AY90" s="1433">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69">
        <f t="shared" si="7"/>
        <v>0</v>
      </c>
      <c r="F91" s="1661"/>
      <c r="G91" s="4303">
        <f t="shared" si="8"/>
        <v>0</v>
      </c>
      <c r="H91" s="3455">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69">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69">
        <f t="shared" si="11"/>
        <v>0</v>
      </c>
      <c r="AW91" s="1169">
        <f t="shared" si="12"/>
        <v>0</v>
      </c>
      <c r="AX91" s="1169">
        <f t="shared" si="13"/>
        <v>0</v>
      </c>
      <c r="AY91" s="1433">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69">
        <f t="shared" si="7"/>
        <v>0</v>
      </c>
      <c r="F92" s="1661"/>
      <c r="G92" s="4303">
        <f t="shared" si="8"/>
        <v>0</v>
      </c>
      <c r="H92" s="3455">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69">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69">
        <f t="shared" si="11"/>
        <v>0</v>
      </c>
      <c r="AW92" s="1169">
        <f t="shared" si="12"/>
        <v>0</v>
      </c>
      <c r="AX92" s="1169">
        <f t="shared" si="13"/>
        <v>0</v>
      </c>
      <c r="AY92" s="1433">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69">
        <f t="shared" si="7"/>
        <v>0</v>
      </c>
      <c r="F93" s="1661"/>
      <c r="G93" s="4303">
        <f t="shared" si="8"/>
        <v>0</v>
      </c>
      <c r="H93" s="3455">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69">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69">
        <f t="shared" si="11"/>
        <v>0</v>
      </c>
      <c r="AW93" s="1169">
        <f t="shared" si="12"/>
        <v>0</v>
      </c>
      <c r="AX93" s="1169">
        <f t="shared" si="13"/>
        <v>0</v>
      </c>
      <c r="AY93" s="1433">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69">
        <f t="shared" si="7"/>
        <v>0</v>
      </c>
      <c r="F94" s="1661"/>
      <c r="G94" s="4303">
        <f t="shared" si="8"/>
        <v>0</v>
      </c>
      <c r="H94" s="3455">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69">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69">
        <f t="shared" si="11"/>
        <v>0</v>
      </c>
      <c r="AW94" s="1169">
        <f t="shared" si="12"/>
        <v>0</v>
      </c>
      <c r="AX94" s="1169">
        <f t="shared" si="13"/>
        <v>0</v>
      </c>
      <c r="AY94" s="1433">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69">
        <f t="shared" si="7"/>
        <v>0</v>
      </c>
      <c r="F95" s="1661"/>
      <c r="G95" s="4303">
        <f t="shared" si="8"/>
        <v>0</v>
      </c>
      <c r="H95" s="3455">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69">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69">
        <f t="shared" si="11"/>
        <v>0</v>
      </c>
      <c r="AW95" s="1169">
        <f t="shared" si="12"/>
        <v>0</v>
      </c>
      <c r="AX95" s="1169">
        <f t="shared" si="13"/>
        <v>0</v>
      </c>
      <c r="AY95" s="1433">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69">
        <f t="shared" si="7"/>
        <v>0</v>
      </c>
      <c r="F96" s="1661"/>
      <c r="G96" s="4303">
        <f t="shared" si="8"/>
        <v>0</v>
      </c>
      <c r="H96" s="3455">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69">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69">
        <f t="shared" si="11"/>
        <v>0</v>
      </c>
      <c r="AW96" s="1169">
        <f t="shared" si="12"/>
        <v>0</v>
      </c>
      <c r="AX96" s="1169">
        <f t="shared" si="13"/>
        <v>0</v>
      </c>
      <c r="AY96" s="1433">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69">
        <f t="shared" si="7"/>
        <v>0</v>
      </c>
      <c r="F97" s="1661"/>
      <c r="G97" s="4303">
        <f t="shared" si="8"/>
        <v>0</v>
      </c>
      <c r="H97" s="3455">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69">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69">
        <f t="shared" si="11"/>
        <v>0</v>
      </c>
      <c r="AW97" s="1169">
        <f t="shared" si="12"/>
        <v>0</v>
      </c>
      <c r="AX97" s="1169">
        <f t="shared" si="13"/>
        <v>0</v>
      </c>
      <c r="AY97" s="1433">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69">
        <f t="shared" si="7"/>
        <v>0</v>
      </c>
      <c r="F98" s="1661"/>
      <c r="G98" s="4303">
        <f t="shared" si="8"/>
        <v>0</v>
      </c>
      <c r="H98" s="3455">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69">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69">
        <f t="shared" si="11"/>
        <v>0</v>
      </c>
      <c r="AW98" s="1169">
        <f t="shared" si="12"/>
        <v>0</v>
      </c>
      <c r="AX98" s="1169">
        <f t="shared" si="13"/>
        <v>0</v>
      </c>
      <c r="AY98" s="1433">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69">
        <f t="shared" si="7"/>
        <v>0</v>
      </c>
      <c r="F99" s="1661"/>
      <c r="G99" s="4303">
        <f t="shared" si="8"/>
        <v>0</v>
      </c>
      <c r="H99" s="3455">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69">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69">
        <f t="shared" si="11"/>
        <v>0</v>
      </c>
      <c r="AW99" s="1169">
        <f t="shared" si="12"/>
        <v>0</v>
      </c>
      <c r="AX99" s="1169">
        <f t="shared" si="13"/>
        <v>0</v>
      </c>
      <c r="AY99" s="1433">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69">
        <f t="shared" si="7"/>
        <v>0</v>
      </c>
      <c r="F100" s="1661"/>
      <c r="G100" s="4303">
        <f t="shared" si="8"/>
        <v>0</v>
      </c>
      <c r="H100" s="3455">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69">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69">
        <f t="shared" si="11"/>
        <v>0</v>
      </c>
      <c r="AW100" s="1169">
        <f t="shared" si="12"/>
        <v>0</v>
      </c>
      <c r="AX100" s="1169">
        <f t="shared" si="13"/>
        <v>0</v>
      </c>
      <c r="AY100" s="1433">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69">
        <f t="shared" si="7"/>
        <v>0</v>
      </c>
      <c r="F101" s="1661"/>
      <c r="G101" s="4303">
        <f t="shared" si="8"/>
        <v>0</v>
      </c>
      <c r="H101" s="3455">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69">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69">
        <f t="shared" si="11"/>
        <v>0</v>
      </c>
      <c r="AW101" s="1169">
        <f t="shared" si="12"/>
        <v>0</v>
      </c>
      <c r="AX101" s="1169">
        <f t="shared" si="13"/>
        <v>0</v>
      </c>
      <c r="AY101" s="1433">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69">
        <f t="shared" si="7"/>
        <v>0</v>
      </c>
      <c r="F102" s="1661"/>
      <c r="G102" s="4303">
        <f t="shared" si="8"/>
        <v>0</v>
      </c>
      <c r="H102" s="3455">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69">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69">
        <f t="shared" si="11"/>
        <v>0</v>
      </c>
      <c r="AW102" s="1169">
        <f t="shared" si="12"/>
        <v>0</v>
      </c>
      <c r="AX102" s="1169">
        <f t="shared" si="13"/>
        <v>0</v>
      </c>
      <c r="AY102" s="1433">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69">
        <f t="shared" si="7"/>
        <v>0</v>
      </c>
      <c r="F103" s="1661"/>
      <c r="G103" s="4303">
        <f t="shared" si="8"/>
        <v>0</v>
      </c>
      <c r="H103" s="3455">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69">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69">
        <f t="shared" si="11"/>
        <v>0</v>
      </c>
      <c r="AW103" s="1169">
        <f t="shared" si="12"/>
        <v>0</v>
      </c>
      <c r="AX103" s="1169">
        <f t="shared" si="13"/>
        <v>0</v>
      </c>
      <c r="AY103" s="1433">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69">
        <f t="shared" si="7"/>
        <v>0</v>
      </c>
      <c r="F104" s="1661"/>
      <c r="G104" s="4303">
        <f t="shared" si="8"/>
        <v>0</v>
      </c>
      <c r="H104" s="3455">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69">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69">
        <f t="shared" si="11"/>
        <v>0</v>
      </c>
      <c r="AW104" s="1169">
        <f t="shared" si="12"/>
        <v>0</v>
      </c>
      <c r="AX104" s="1169">
        <f t="shared" si="13"/>
        <v>0</v>
      </c>
      <c r="AY104" s="1433">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69">
        <f t="shared" si="7"/>
        <v>0</v>
      </c>
      <c r="F105" s="1661"/>
      <c r="G105" s="4303">
        <f t="shared" si="8"/>
        <v>0</v>
      </c>
      <c r="H105" s="3455">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69">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69">
        <f t="shared" si="11"/>
        <v>0</v>
      </c>
      <c r="AW105" s="1169">
        <f t="shared" si="12"/>
        <v>0</v>
      </c>
      <c r="AX105" s="1169">
        <f t="shared" si="13"/>
        <v>0</v>
      </c>
      <c r="AY105" s="1433">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69">
        <f t="shared" si="7"/>
        <v>0</v>
      </c>
      <c r="F106" s="1661"/>
      <c r="G106" s="4303">
        <f t="shared" si="8"/>
        <v>0</v>
      </c>
      <c r="H106" s="3455">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69">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69">
        <f t="shared" si="11"/>
        <v>0</v>
      </c>
      <c r="AW106" s="1169">
        <f t="shared" si="12"/>
        <v>0</v>
      </c>
      <c r="AX106" s="1169">
        <f t="shared" si="13"/>
        <v>0</v>
      </c>
      <c r="AY106" s="1433">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69">
        <f t="shared" si="7"/>
        <v>0</v>
      </c>
      <c r="F107" s="1661"/>
      <c r="G107" s="4303">
        <f t="shared" si="8"/>
        <v>0</v>
      </c>
      <c r="H107" s="3455">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69">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69">
        <f t="shared" si="11"/>
        <v>0</v>
      </c>
      <c r="AW107" s="1169">
        <f t="shared" si="12"/>
        <v>0</v>
      </c>
      <c r="AX107" s="1169">
        <f t="shared" si="13"/>
        <v>0</v>
      </c>
      <c r="AY107" s="1433">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69">
        <f t="shared" si="7"/>
        <v>0</v>
      </c>
      <c r="F108" s="1661"/>
      <c r="G108" s="4303">
        <f t="shared" si="8"/>
        <v>0</v>
      </c>
      <c r="H108" s="3455">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69">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69">
        <f t="shared" si="11"/>
        <v>0</v>
      </c>
      <c r="AW108" s="1169">
        <f t="shared" si="12"/>
        <v>0</v>
      </c>
      <c r="AX108" s="1169">
        <f t="shared" si="13"/>
        <v>0</v>
      </c>
      <c r="AY108" s="1433">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69">
        <f t="shared" si="7"/>
        <v>0</v>
      </c>
      <c r="F109" s="1661"/>
      <c r="G109" s="4303">
        <f t="shared" si="8"/>
        <v>0</v>
      </c>
      <c r="H109" s="3455">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69">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69">
        <f t="shared" si="11"/>
        <v>0</v>
      </c>
      <c r="AW109" s="1169">
        <f t="shared" si="12"/>
        <v>0</v>
      </c>
      <c r="AX109" s="1169">
        <f t="shared" si="13"/>
        <v>0</v>
      </c>
      <c r="AY109" s="1433">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69">
        <f t="shared" si="7"/>
        <v>0</v>
      </c>
      <c r="F110" s="1648"/>
      <c r="G110" s="4303">
        <f t="shared" ref="G110:G141" si="36">H110+AC110+AT110</f>
        <v>0</v>
      </c>
      <c r="H110" s="3455">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69">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69">
        <f t="shared" si="11"/>
        <v>0</v>
      </c>
      <c r="AW110" s="1169">
        <f t="shared" si="12"/>
        <v>0</v>
      </c>
      <c r="AX110" s="1169">
        <f t="shared" si="13"/>
        <v>0</v>
      </c>
      <c r="AY110" s="1433">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69">
        <f t="shared" si="7"/>
        <v>0</v>
      </c>
      <c r="F111" s="1648"/>
      <c r="G111" s="4303">
        <f t="shared" si="36"/>
        <v>0</v>
      </c>
      <c r="H111" s="3455">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69">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69">
        <f t="shared" si="11"/>
        <v>0</v>
      </c>
      <c r="AW111" s="1169">
        <f t="shared" si="12"/>
        <v>0</v>
      </c>
      <c r="AX111" s="1169">
        <f t="shared" si="13"/>
        <v>0</v>
      </c>
      <c r="AY111" s="1433">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69">
        <f t="shared" si="7"/>
        <v>0</v>
      </c>
      <c r="F112" s="1648"/>
      <c r="G112" s="4303">
        <f t="shared" si="36"/>
        <v>0</v>
      </c>
      <c r="H112" s="3455">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69">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69">
        <f t="shared" si="11"/>
        <v>0</v>
      </c>
      <c r="AW112" s="1169">
        <f t="shared" si="12"/>
        <v>0</v>
      </c>
      <c r="AX112" s="1169">
        <f t="shared" si="13"/>
        <v>0</v>
      </c>
      <c r="AY112" s="1433">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69">
        <f t="shared" ref="E113:E144" si="61">IF($C$3="是",ROUND($A$3*G113/$B$3,2),ROUND($A$3*(G113-AT113)/$B$3,2))</f>
        <v>0</v>
      </c>
      <c r="F113" s="1661"/>
      <c r="G113" s="4303">
        <f t="shared" si="36"/>
        <v>0</v>
      </c>
      <c r="H113" s="3455">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69">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69">
        <f t="shared" ref="AV113:AV144" si="62">A113</f>
        <v>0</v>
      </c>
      <c r="AW113" s="1169">
        <f t="shared" ref="AW113:AW144" si="63">B113</f>
        <v>0</v>
      </c>
      <c r="AX113" s="1169">
        <f t="shared" ref="AX113:AX144" si="64">C113</f>
        <v>0</v>
      </c>
      <c r="AY113" s="1433">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69">
        <f t="shared" si="61"/>
        <v>0</v>
      </c>
      <c r="F114" s="1661"/>
      <c r="G114" s="4303">
        <f t="shared" si="36"/>
        <v>0</v>
      </c>
      <c r="H114" s="3455">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69">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69">
        <f t="shared" si="62"/>
        <v>0</v>
      </c>
      <c r="AW114" s="1169">
        <f t="shared" si="63"/>
        <v>0</v>
      </c>
      <c r="AX114" s="1169">
        <f t="shared" si="64"/>
        <v>0</v>
      </c>
      <c r="AY114" s="1433">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69">
        <f t="shared" si="61"/>
        <v>0</v>
      </c>
      <c r="F115" s="1661"/>
      <c r="G115" s="4303">
        <f t="shared" si="36"/>
        <v>0</v>
      </c>
      <c r="H115" s="3455">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69">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69">
        <f t="shared" si="62"/>
        <v>0</v>
      </c>
      <c r="AW115" s="1169">
        <f t="shared" si="63"/>
        <v>0</v>
      </c>
      <c r="AX115" s="1169">
        <f t="shared" si="64"/>
        <v>0</v>
      </c>
      <c r="AY115" s="1433">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69">
        <f t="shared" si="61"/>
        <v>0</v>
      </c>
      <c r="F116" s="1661"/>
      <c r="G116" s="4303">
        <f t="shared" si="36"/>
        <v>0</v>
      </c>
      <c r="H116" s="3455">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69">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69">
        <f t="shared" si="62"/>
        <v>0</v>
      </c>
      <c r="AW116" s="1169">
        <f t="shared" si="63"/>
        <v>0</v>
      </c>
      <c r="AX116" s="1169">
        <f t="shared" si="64"/>
        <v>0</v>
      </c>
      <c r="AY116" s="1433">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69">
        <f t="shared" si="61"/>
        <v>0</v>
      </c>
      <c r="F117" s="1661"/>
      <c r="G117" s="4303">
        <f t="shared" si="36"/>
        <v>0</v>
      </c>
      <c r="H117" s="3455">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69">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69">
        <f t="shared" si="62"/>
        <v>0</v>
      </c>
      <c r="AW117" s="1169">
        <f t="shared" si="63"/>
        <v>0</v>
      </c>
      <c r="AX117" s="1169">
        <f t="shared" si="64"/>
        <v>0</v>
      </c>
      <c r="AY117" s="1433">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69">
        <f t="shared" si="61"/>
        <v>0</v>
      </c>
      <c r="F118" s="1661"/>
      <c r="G118" s="4303">
        <f t="shared" si="36"/>
        <v>0</v>
      </c>
      <c r="H118" s="3455">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69">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69">
        <f t="shared" si="62"/>
        <v>0</v>
      </c>
      <c r="AW118" s="1169">
        <f t="shared" si="63"/>
        <v>0</v>
      </c>
      <c r="AX118" s="1169">
        <f t="shared" si="64"/>
        <v>0</v>
      </c>
      <c r="AY118" s="1433">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69">
        <f t="shared" si="61"/>
        <v>0</v>
      </c>
      <c r="F119" s="1661"/>
      <c r="G119" s="4303">
        <f t="shared" si="36"/>
        <v>0</v>
      </c>
      <c r="H119" s="3455">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69">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69">
        <f t="shared" si="62"/>
        <v>0</v>
      </c>
      <c r="AW119" s="1169">
        <f t="shared" si="63"/>
        <v>0</v>
      </c>
      <c r="AX119" s="1169">
        <f t="shared" si="64"/>
        <v>0</v>
      </c>
      <c r="AY119" s="1433">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69">
        <f t="shared" si="61"/>
        <v>0</v>
      </c>
      <c r="F120" s="1661"/>
      <c r="G120" s="4303">
        <f t="shared" si="36"/>
        <v>0</v>
      </c>
      <c r="H120" s="3455">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69">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69">
        <f t="shared" si="62"/>
        <v>0</v>
      </c>
      <c r="AW120" s="1169">
        <f t="shared" si="63"/>
        <v>0</v>
      </c>
      <c r="AX120" s="1169">
        <f t="shared" si="64"/>
        <v>0</v>
      </c>
      <c r="AY120" s="1433">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69">
        <f t="shared" si="61"/>
        <v>0</v>
      </c>
      <c r="F121" s="1661"/>
      <c r="G121" s="4303">
        <f t="shared" si="36"/>
        <v>0</v>
      </c>
      <c r="H121" s="3455">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69">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69">
        <f t="shared" si="62"/>
        <v>0</v>
      </c>
      <c r="AW121" s="1169">
        <f t="shared" si="63"/>
        <v>0</v>
      </c>
      <c r="AX121" s="1169">
        <f t="shared" si="64"/>
        <v>0</v>
      </c>
      <c r="AY121" s="1433">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69">
        <f t="shared" si="61"/>
        <v>0</v>
      </c>
      <c r="F122" s="1661"/>
      <c r="G122" s="4303">
        <f t="shared" si="36"/>
        <v>0</v>
      </c>
      <c r="H122" s="3455">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69">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69">
        <f t="shared" si="62"/>
        <v>0</v>
      </c>
      <c r="AW122" s="1169">
        <f t="shared" si="63"/>
        <v>0</v>
      </c>
      <c r="AX122" s="1169">
        <f t="shared" si="64"/>
        <v>0</v>
      </c>
      <c r="AY122" s="1433">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69">
        <f t="shared" si="61"/>
        <v>0</v>
      </c>
      <c r="F123" s="1661"/>
      <c r="G123" s="4303">
        <f t="shared" si="36"/>
        <v>0</v>
      </c>
      <c r="H123" s="3455">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69">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69">
        <f t="shared" si="62"/>
        <v>0</v>
      </c>
      <c r="AW123" s="1169">
        <f t="shared" si="63"/>
        <v>0</v>
      </c>
      <c r="AX123" s="1169">
        <f t="shared" si="64"/>
        <v>0</v>
      </c>
      <c r="AY123" s="1433">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69">
        <f t="shared" si="61"/>
        <v>0</v>
      </c>
      <c r="F124" s="1661"/>
      <c r="G124" s="4303">
        <f t="shared" si="36"/>
        <v>0</v>
      </c>
      <c r="H124" s="3455">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69">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69">
        <f t="shared" si="62"/>
        <v>0</v>
      </c>
      <c r="AW124" s="1169">
        <f t="shared" si="63"/>
        <v>0</v>
      </c>
      <c r="AX124" s="1169">
        <f t="shared" si="64"/>
        <v>0</v>
      </c>
      <c r="AY124" s="1433">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69">
        <f t="shared" si="61"/>
        <v>0</v>
      </c>
      <c r="F125" s="1661"/>
      <c r="G125" s="4303">
        <f t="shared" si="36"/>
        <v>0</v>
      </c>
      <c r="H125" s="3455">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69">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69">
        <f t="shared" si="62"/>
        <v>0</v>
      </c>
      <c r="AW125" s="1169">
        <f t="shared" si="63"/>
        <v>0</v>
      </c>
      <c r="AX125" s="1169">
        <f t="shared" si="64"/>
        <v>0</v>
      </c>
      <c r="AY125" s="1433">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69">
        <f t="shared" si="61"/>
        <v>0</v>
      </c>
      <c r="F126" s="1661"/>
      <c r="G126" s="4303">
        <f t="shared" si="36"/>
        <v>0</v>
      </c>
      <c r="H126" s="3455">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69">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69">
        <f t="shared" si="62"/>
        <v>0</v>
      </c>
      <c r="AW126" s="1169">
        <f t="shared" si="63"/>
        <v>0</v>
      </c>
      <c r="AX126" s="1169">
        <f t="shared" si="64"/>
        <v>0</v>
      </c>
      <c r="AY126" s="1433">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69">
        <f t="shared" si="61"/>
        <v>0</v>
      </c>
      <c r="F127" s="1661"/>
      <c r="G127" s="4303">
        <f t="shared" si="36"/>
        <v>0</v>
      </c>
      <c r="H127" s="3455">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69">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69">
        <f t="shared" si="62"/>
        <v>0</v>
      </c>
      <c r="AW127" s="1169">
        <f t="shared" si="63"/>
        <v>0</v>
      </c>
      <c r="AX127" s="1169">
        <f t="shared" si="64"/>
        <v>0</v>
      </c>
      <c r="AY127" s="1433">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69">
        <f t="shared" si="61"/>
        <v>0</v>
      </c>
      <c r="F128" s="1661"/>
      <c r="G128" s="4303">
        <f t="shared" si="36"/>
        <v>0</v>
      </c>
      <c r="H128" s="3455">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69">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69">
        <f t="shared" si="62"/>
        <v>0</v>
      </c>
      <c r="AW128" s="1169">
        <f t="shared" si="63"/>
        <v>0</v>
      </c>
      <c r="AX128" s="1169">
        <f t="shared" si="64"/>
        <v>0</v>
      </c>
      <c r="AY128" s="1433">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69">
        <f t="shared" si="61"/>
        <v>0</v>
      </c>
      <c r="F129" s="1661"/>
      <c r="G129" s="4303">
        <f t="shared" si="36"/>
        <v>0</v>
      </c>
      <c r="H129" s="3455">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69">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69">
        <f t="shared" si="62"/>
        <v>0</v>
      </c>
      <c r="AW129" s="1169">
        <f t="shared" si="63"/>
        <v>0</v>
      </c>
      <c r="AX129" s="1169">
        <f t="shared" si="64"/>
        <v>0</v>
      </c>
      <c r="AY129" s="1433">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69">
        <f t="shared" si="61"/>
        <v>0</v>
      </c>
      <c r="F130" s="1661"/>
      <c r="G130" s="4303">
        <f t="shared" si="36"/>
        <v>0</v>
      </c>
      <c r="H130" s="3455">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69">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69">
        <f t="shared" si="62"/>
        <v>0</v>
      </c>
      <c r="AW130" s="1169">
        <f t="shared" si="63"/>
        <v>0</v>
      </c>
      <c r="AX130" s="1169">
        <f t="shared" si="64"/>
        <v>0</v>
      </c>
      <c r="AY130" s="1433">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69">
        <f t="shared" si="61"/>
        <v>0</v>
      </c>
      <c r="F131" s="1661"/>
      <c r="G131" s="4303">
        <f t="shared" si="36"/>
        <v>0</v>
      </c>
      <c r="H131" s="3455">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69">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69">
        <f t="shared" si="62"/>
        <v>0</v>
      </c>
      <c r="AW131" s="1169">
        <f t="shared" si="63"/>
        <v>0</v>
      </c>
      <c r="AX131" s="1169">
        <f t="shared" si="64"/>
        <v>0</v>
      </c>
      <c r="AY131" s="1433">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69">
        <f t="shared" si="61"/>
        <v>0</v>
      </c>
      <c r="F132" s="1661"/>
      <c r="G132" s="4303">
        <f t="shared" si="36"/>
        <v>0</v>
      </c>
      <c r="H132" s="3455">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69">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69">
        <f t="shared" si="62"/>
        <v>0</v>
      </c>
      <c r="AW132" s="1169">
        <f t="shared" si="63"/>
        <v>0</v>
      </c>
      <c r="AX132" s="1169">
        <f t="shared" si="64"/>
        <v>0</v>
      </c>
      <c r="AY132" s="1433">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69">
        <f t="shared" si="61"/>
        <v>0</v>
      </c>
      <c r="F133" s="1661"/>
      <c r="G133" s="4303">
        <f t="shared" si="36"/>
        <v>0</v>
      </c>
      <c r="H133" s="3455">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69">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69">
        <f t="shared" si="62"/>
        <v>0</v>
      </c>
      <c r="AW133" s="1169">
        <f t="shared" si="63"/>
        <v>0</v>
      </c>
      <c r="AX133" s="1169">
        <f t="shared" si="64"/>
        <v>0</v>
      </c>
      <c r="AY133" s="1433">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69">
        <f t="shared" si="61"/>
        <v>0</v>
      </c>
      <c r="F134" s="1661"/>
      <c r="G134" s="4303">
        <f t="shared" si="36"/>
        <v>0</v>
      </c>
      <c r="H134" s="3455">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69">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69">
        <f t="shared" si="62"/>
        <v>0</v>
      </c>
      <c r="AW134" s="1169">
        <f t="shared" si="63"/>
        <v>0</v>
      </c>
      <c r="AX134" s="1169">
        <f t="shared" si="64"/>
        <v>0</v>
      </c>
      <c r="AY134" s="1433">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69">
        <f t="shared" si="61"/>
        <v>0</v>
      </c>
      <c r="F135" s="1661"/>
      <c r="G135" s="4303">
        <f t="shared" si="36"/>
        <v>0</v>
      </c>
      <c r="H135" s="3455">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69">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69">
        <f t="shared" si="62"/>
        <v>0</v>
      </c>
      <c r="AW135" s="1169">
        <f t="shared" si="63"/>
        <v>0</v>
      </c>
      <c r="AX135" s="1169">
        <f t="shared" si="64"/>
        <v>0</v>
      </c>
      <c r="AY135" s="1433">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69">
        <f t="shared" si="61"/>
        <v>0</v>
      </c>
      <c r="F136" s="1661"/>
      <c r="G136" s="4303">
        <f t="shared" si="36"/>
        <v>0</v>
      </c>
      <c r="H136" s="3455">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69">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69">
        <f t="shared" si="62"/>
        <v>0</v>
      </c>
      <c r="AW136" s="1169">
        <f t="shared" si="63"/>
        <v>0</v>
      </c>
      <c r="AX136" s="1169">
        <f t="shared" si="64"/>
        <v>0</v>
      </c>
      <c r="AY136" s="1433">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69">
        <f t="shared" si="61"/>
        <v>0</v>
      </c>
      <c r="F137" s="1661"/>
      <c r="G137" s="4303">
        <f t="shared" si="36"/>
        <v>0</v>
      </c>
      <c r="H137" s="3455">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69">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69">
        <f t="shared" si="62"/>
        <v>0</v>
      </c>
      <c r="AW137" s="1169">
        <f t="shared" si="63"/>
        <v>0</v>
      </c>
      <c r="AX137" s="1169">
        <f t="shared" si="64"/>
        <v>0</v>
      </c>
      <c r="AY137" s="1433">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69">
        <f t="shared" si="61"/>
        <v>0</v>
      </c>
      <c r="F138" s="1661"/>
      <c r="G138" s="4303">
        <f t="shared" si="36"/>
        <v>0</v>
      </c>
      <c r="H138" s="3455">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69">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69">
        <f t="shared" si="62"/>
        <v>0</v>
      </c>
      <c r="AW138" s="1169">
        <f t="shared" si="63"/>
        <v>0</v>
      </c>
      <c r="AX138" s="1169">
        <f t="shared" si="64"/>
        <v>0</v>
      </c>
      <c r="AY138" s="1433">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69">
        <f t="shared" si="61"/>
        <v>0</v>
      </c>
      <c r="F139" s="1661"/>
      <c r="G139" s="4303">
        <f t="shared" si="36"/>
        <v>0</v>
      </c>
      <c r="H139" s="3455">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69">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69">
        <f t="shared" si="62"/>
        <v>0</v>
      </c>
      <c r="AW139" s="1169">
        <f t="shared" si="63"/>
        <v>0</v>
      </c>
      <c r="AX139" s="1169">
        <f t="shared" si="64"/>
        <v>0</v>
      </c>
      <c r="AY139" s="1433">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69">
        <f t="shared" si="61"/>
        <v>0</v>
      </c>
      <c r="F140" s="1661"/>
      <c r="G140" s="4303">
        <f t="shared" si="36"/>
        <v>0</v>
      </c>
      <c r="H140" s="3455">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69">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69">
        <f t="shared" si="62"/>
        <v>0</v>
      </c>
      <c r="AW140" s="1169">
        <f t="shared" si="63"/>
        <v>0</v>
      </c>
      <c r="AX140" s="1169">
        <f t="shared" si="64"/>
        <v>0</v>
      </c>
      <c r="AY140" s="1433">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69">
        <f t="shared" si="61"/>
        <v>0</v>
      </c>
      <c r="F141" s="1661"/>
      <c r="G141" s="4303">
        <f t="shared" si="36"/>
        <v>0</v>
      </c>
      <c r="H141" s="3455">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69">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69">
        <f t="shared" si="62"/>
        <v>0</v>
      </c>
      <c r="AW141" s="1169">
        <f t="shared" si="63"/>
        <v>0</v>
      </c>
      <c r="AX141" s="1169">
        <f t="shared" si="64"/>
        <v>0</v>
      </c>
      <c r="AY141" s="1433">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69">
        <f t="shared" si="61"/>
        <v>0</v>
      </c>
      <c r="F142" s="1661"/>
      <c r="G142" s="4303">
        <f t="shared" ref="G142:G173" si="65">H142+AC142+AT142</f>
        <v>0</v>
      </c>
      <c r="H142" s="3455">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69">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69">
        <f t="shared" si="62"/>
        <v>0</v>
      </c>
      <c r="AW142" s="1169">
        <f t="shared" si="63"/>
        <v>0</v>
      </c>
      <c r="AX142" s="1169">
        <f t="shared" si="64"/>
        <v>0</v>
      </c>
      <c r="AY142" s="1433">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69">
        <f t="shared" si="61"/>
        <v>0</v>
      </c>
      <c r="F143" s="1661"/>
      <c r="G143" s="4303">
        <f t="shared" si="65"/>
        <v>0</v>
      </c>
      <c r="H143" s="3455">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69">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69">
        <f t="shared" si="62"/>
        <v>0</v>
      </c>
      <c r="AW143" s="1169">
        <f t="shared" si="63"/>
        <v>0</v>
      </c>
      <c r="AX143" s="1169">
        <f t="shared" si="64"/>
        <v>0</v>
      </c>
      <c r="AY143" s="1433">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69">
        <f t="shared" si="61"/>
        <v>0</v>
      </c>
      <c r="F144" s="1661"/>
      <c r="G144" s="4303">
        <f t="shared" si="65"/>
        <v>0</v>
      </c>
      <c r="H144" s="3455">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69">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69">
        <f t="shared" si="62"/>
        <v>0</v>
      </c>
      <c r="AW144" s="1169">
        <f t="shared" si="63"/>
        <v>0</v>
      </c>
      <c r="AX144" s="1169">
        <f t="shared" si="64"/>
        <v>0</v>
      </c>
      <c r="AY144" s="1433">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69">
        <f t="shared" ref="E145:E176" si="90">IF($C$3="是",ROUND($A$3*G145/$B$3,2),ROUND($A$3*(G145-AT145)/$B$3,2))</f>
        <v>0</v>
      </c>
      <c r="F145" s="1661"/>
      <c r="G145" s="4303">
        <f t="shared" si="65"/>
        <v>0</v>
      </c>
      <c r="H145" s="3455">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69">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69">
        <f t="shared" ref="AV145:AV176" si="91">A145</f>
        <v>0</v>
      </c>
      <c r="AW145" s="1169">
        <f t="shared" ref="AW145:AW176" si="92">B145</f>
        <v>0</v>
      </c>
      <c r="AX145" s="1169">
        <f t="shared" ref="AX145:AX176" si="93">C145</f>
        <v>0</v>
      </c>
      <c r="AY145" s="1433">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69">
        <f t="shared" si="90"/>
        <v>0</v>
      </c>
      <c r="F146" s="1661"/>
      <c r="G146" s="4303">
        <f t="shared" si="65"/>
        <v>0</v>
      </c>
      <c r="H146" s="3455">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69">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69">
        <f t="shared" si="91"/>
        <v>0</v>
      </c>
      <c r="AW146" s="1169">
        <f t="shared" si="92"/>
        <v>0</v>
      </c>
      <c r="AX146" s="1169">
        <f t="shared" si="93"/>
        <v>0</v>
      </c>
      <c r="AY146" s="1433">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69">
        <f t="shared" si="90"/>
        <v>0</v>
      </c>
      <c r="F147" s="1661"/>
      <c r="G147" s="4303">
        <f t="shared" si="65"/>
        <v>0</v>
      </c>
      <c r="H147" s="3455">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69">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69">
        <f t="shared" si="91"/>
        <v>0</v>
      </c>
      <c r="AW147" s="1169">
        <f t="shared" si="92"/>
        <v>0</v>
      </c>
      <c r="AX147" s="1169">
        <f t="shared" si="93"/>
        <v>0</v>
      </c>
      <c r="AY147" s="1433">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69">
        <f t="shared" si="90"/>
        <v>0</v>
      </c>
      <c r="F148" s="1661"/>
      <c r="G148" s="4303">
        <f t="shared" si="65"/>
        <v>0</v>
      </c>
      <c r="H148" s="3455">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69">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69">
        <f t="shared" si="91"/>
        <v>0</v>
      </c>
      <c r="AW148" s="1169">
        <f t="shared" si="92"/>
        <v>0</v>
      </c>
      <c r="AX148" s="1169">
        <f t="shared" si="93"/>
        <v>0</v>
      </c>
      <c r="AY148" s="1433">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69">
        <f t="shared" si="90"/>
        <v>0</v>
      </c>
      <c r="F149" s="1661"/>
      <c r="G149" s="4303">
        <f t="shared" si="65"/>
        <v>0</v>
      </c>
      <c r="H149" s="3455">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69">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69">
        <f t="shared" si="91"/>
        <v>0</v>
      </c>
      <c r="AW149" s="1169">
        <f t="shared" si="92"/>
        <v>0</v>
      </c>
      <c r="AX149" s="1169">
        <f t="shared" si="93"/>
        <v>0</v>
      </c>
      <c r="AY149" s="1433">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69">
        <f t="shared" si="90"/>
        <v>0</v>
      </c>
      <c r="F150" s="1661"/>
      <c r="G150" s="4303">
        <f t="shared" si="65"/>
        <v>0</v>
      </c>
      <c r="H150" s="3455">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69">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69">
        <f t="shared" si="91"/>
        <v>0</v>
      </c>
      <c r="AW150" s="1169">
        <f t="shared" si="92"/>
        <v>0</v>
      </c>
      <c r="AX150" s="1169">
        <f t="shared" si="93"/>
        <v>0</v>
      </c>
      <c r="AY150" s="1433">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69">
        <f t="shared" si="90"/>
        <v>0</v>
      </c>
      <c r="F151" s="1661"/>
      <c r="G151" s="4303">
        <f t="shared" si="65"/>
        <v>0</v>
      </c>
      <c r="H151" s="3455">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69">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69">
        <f t="shared" si="91"/>
        <v>0</v>
      </c>
      <c r="AW151" s="1169">
        <f t="shared" si="92"/>
        <v>0</v>
      </c>
      <c r="AX151" s="1169">
        <f t="shared" si="93"/>
        <v>0</v>
      </c>
      <c r="AY151" s="1433">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69">
        <f t="shared" si="90"/>
        <v>0</v>
      </c>
      <c r="F152" s="1661"/>
      <c r="G152" s="4303">
        <f t="shared" si="65"/>
        <v>0</v>
      </c>
      <c r="H152" s="3455">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69">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69">
        <f t="shared" si="91"/>
        <v>0</v>
      </c>
      <c r="AW152" s="1169">
        <f t="shared" si="92"/>
        <v>0</v>
      </c>
      <c r="AX152" s="1169">
        <f t="shared" si="93"/>
        <v>0</v>
      </c>
      <c r="AY152" s="1433">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69">
        <f t="shared" si="90"/>
        <v>0</v>
      </c>
      <c r="F153" s="1661"/>
      <c r="G153" s="4303">
        <f t="shared" si="65"/>
        <v>0</v>
      </c>
      <c r="H153" s="3455">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69">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69">
        <f t="shared" si="91"/>
        <v>0</v>
      </c>
      <c r="AW153" s="1169">
        <f t="shared" si="92"/>
        <v>0</v>
      </c>
      <c r="AX153" s="1169">
        <f t="shared" si="93"/>
        <v>0</v>
      </c>
      <c r="AY153" s="1433">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69">
        <f t="shared" si="90"/>
        <v>0</v>
      </c>
      <c r="F154" s="1661"/>
      <c r="G154" s="4303">
        <f t="shared" si="65"/>
        <v>0</v>
      </c>
      <c r="H154" s="3455">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69">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69">
        <f t="shared" si="91"/>
        <v>0</v>
      </c>
      <c r="AW154" s="1169">
        <f t="shared" si="92"/>
        <v>0</v>
      </c>
      <c r="AX154" s="1169">
        <f t="shared" si="93"/>
        <v>0</v>
      </c>
      <c r="AY154" s="1433">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69">
        <f t="shared" si="90"/>
        <v>0</v>
      </c>
      <c r="F155" s="1661"/>
      <c r="G155" s="4303">
        <f t="shared" si="65"/>
        <v>0</v>
      </c>
      <c r="H155" s="3455">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69">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69">
        <f t="shared" si="91"/>
        <v>0</v>
      </c>
      <c r="AW155" s="1169">
        <f t="shared" si="92"/>
        <v>0</v>
      </c>
      <c r="AX155" s="1169">
        <f t="shared" si="93"/>
        <v>0</v>
      </c>
      <c r="AY155" s="1433">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69">
        <f t="shared" si="90"/>
        <v>0</v>
      </c>
      <c r="F156" s="1661"/>
      <c r="G156" s="4303">
        <f t="shared" si="65"/>
        <v>0</v>
      </c>
      <c r="H156" s="3455">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69">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69">
        <f t="shared" si="91"/>
        <v>0</v>
      </c>
      <c r="AW156" s="1169">
        <f t="shared" si="92"/>
        <v>0</v>
      </c>
      <c r="AX156" s="1169">
        <f t="shared" si="93"/>
        <v>0</v>
      </c>
      <c r="AY156" s="1433">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69">
        <f t="shared" si="90"/>
        <v>0</v>
      </c>
      <c r="F157" s="1661"/>
      <c r="G157" s="4303">
        <f t="shared" si="65"/>
        <v>0</v>
      </c>
      <c r="H157" s="3455">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69">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69">
        <f t="shared" si="91"/>
        <v>0</v>
      </c>
      <c r="AW157" s="1169">
        <f t="shared" si="92"/>
        <v>0</v>
      </c>
      <c r="AX157" s="1169">
        <f t="shared" si="93"/>
        <v>0</v>
      </c>
      <c r="AY157" s="1433">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69">
        <f t="shared" si="90"/>
        <v>0</v>
      </c>
      <c r="F158" s="1661"/>
      <c r="G158" s="4303">
        <f t="shared" si="65"/>
        <v>0</v>
      </c>
      <c r="H158" s="3455">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69">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69">
        <f t="shared" si="91"/>
        <v>0</v>
      </c>
      <c r="AW158" s="1169">
        <f t="shared" si="92"/>
        <v>0</v>
      </c>
      <c r="AX158" s="1169">
        <f t="shared" si="93"/>
        <v>0</v>
      </c>
      <c r="AY158" s="1433">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69">
        <f t="shared" si="90"/>
        <v>0</v>
      </c>
      <c r="F159" s="1661"/>
      <c r="G159" s="4303">
        <f t="shared" si="65"/>
        <v>0</v>
      </c>
      <c r="H159" s="3455">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69">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69">
        <f t="shared" si="91"/>
        <v>0</v>
      </c>
      <c r="AW159" s="1169">
        <f t="shared" si="92"/>
        <v>0</v>
      </c>
      <c r="AX159" s="1169">
        <f t="shared" si="93"/>
        <v>0</v>
      </c>
      <c r="AY159" s="1433">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69">
        <f t="shared" si="90"/>
        <v>0</v>
      </c>
      <c r="F160" s="1661"/>
      <c r="G160" s="4303">
        <f t="shared" si="65"/>
        <v>0</v>
      </c>
      <c r="H160" s="3455">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69">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69">
        <f t="shared" si="91"/>
        <v>0</v>
      </c>
      <c r="AW160" s="1169">
        <f t="shared" si="92"/>
        <v>0</v>
      </c>
      <c r="AX160" s="1169">
        <f t="shared" si="93"/>
        <v>0</v>
      </c>
      <c r="AY160" s="1433">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69">
        <f t="shared" si="90"/>
        <v>0</v>
      </c>
      <c r="F161" s="1661"/>
      <c r="G161" s="4303">
        <f t="shared" si="65"/>
        <v>0</v>
      </c>
      <c r="H161" s="3455">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69">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69">
        <f t="shared" si="91"/>
        <v>0</v>
      </c>
      <c r="AW161" s="1169">
        <f t="shared" si="92"/>
        <v>0</v>
      </c>
      <c r="AX161" s="1169">
        <f t="shared" si="93"/>
        <v>0</v>
      </c>
      <c r="AY161" s="1433">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69">
        <f t="shared" si="90"/>
        <v>0</v>
      </c>
      <c r="F162" s="1661"/>
      <c r="G162" s="4303">
        <f t="shared" si="65"/>
        <v>0</v>
      </c>
      <c r="H162" s="3455">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69">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69">
        <f t="shared" si="91"/>
        <v>0</v>
      </c>
      <c r="AW162" s="1169">
        <f t="shared" si="92"/>
        <v>0</v>
      </c>
      <c r="AX162" s="1169">
        <f t="shared" si="93"/>
        <v>0</v>
      </c>
      <c r="AY162" s="1433">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69">
        <f t="shared" si="90"/>
        <v>0</v>
      </c>
      <c r="F163" s="1661"/>
      <c r="G163" s="4303">
        <f t="shared" si="65"/>
        <v>0</v>
      </c>
      <c r="H163" s="3455">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69">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69">
        <f t="shared" si="91"/>
        <v>0</v>
      </c>
      <c r="AW163" s="1169">
        <f t="shared" si="92"/>
        <v>0</v>
      </c>
      <c r="AX163" s="1169">
        <f t="shared" si="93"/>
        <v>0</v>
      </c>
      <c r="AY163" s="1433">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69">
        <f t="shared" si="90"/>
        <v>0</v>
      </c>
      <c r="F164" s="1661"/>
      <c r="G164" s="4303">
        <f t="shared" si="65"/>
        <v>0</v>
      </c>
      <c r="H164" s="3455">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69">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69">
        <f t="shared" si="91"/>
        <v>0</v>
      </c>
      <c r="AW164" s="1169">
        <f t="shared" si="92"/>
        <v>0</v>
      </c>
      <c r="AX164" s="1169">
        <f t="shared" si="93"/>
        <v>0</v>
      </c>
      <c r="AY164" s="1433">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69">
        <f t="shared" si="90"/>
        <v>0</v>
      </c>
      <c r="F165" s="1661"/>
      <c r="G165" s="4303">
        <f t="shared" si="65"/>
        <v>0</v>
      </c>
      <c r="H165" s="3455">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69">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69">
        <f t="shared" si="91"/>
        <v>0</v>
      </c>
      <c r="AW165" s="1169">
        <f t="shared" si="92"/>
        <v>0</v>
      </c>
      <c r="AX165" s="1169">
        <f t="shared" si="93"/>
        <v>0</v>
      </c>
      <c r="AY165" s="1433">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69">
        <f t="shared" si="90"/>
        <v>0</v>
      </c>
      <c r="F166" s="1661"/>
      <c r="G166" s="4303">
        <f t="shared" si="65"/>
        <v>0</v>
      </c>
      <c r="H166" s="3455">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69">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69">
        <f t="shared" si="91"/>
        <v>0</v>
      </c>
      <c r="AW166" s="1169">
        <f t="shared" si="92"/>
        <v>0</v>
      </c>
      <c r="AX166" s="1169">
        <f t="shared" si="93"/>
        <v>0</v>
      </c>
      <c r="AY166" s="1433">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69">
        <f t="shared" si="90"/>
        <v>0</v>
      </c>
      <c r="F167" s="1661"/>
      <c r="G167" s="4303">
        <f t="shared" si="65"/>
        <v>0</v>
      </c>
      <c r="H167" s="3455">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69">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69">
        <f t="shared" si="91"/>
        <v>0</v>
      </c>
      <c r="AW167" s="1169">
        <f t="shared" si="92"/>
        <v>0</v>
      </c>
      <c r="AX167" s="1169">
        <f t="shared" si="93"/>
        <v>0</v>
      </c>
      <c r="AY167" s="1433">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69">
        <f t="shared" si="90"/>
        <v>0</v>
      </c>
      <c r="F168" s="1661"/>
      <c r="G168" s="4303">
        <f t="shared" si="65"/>
        <v>0</v>
      </c>
      <c r="H168" s="3455">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69">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69">
        <f t="shared" si="91"/>
        <v>0</v>
      </c>
      <c r="AW168" s="1169">
        <f t="shared" si="92"/>
        <v>0</v>
      </c>
      <c r="AX168" s="1169">
        <f t="shared" si="93"/>
        <v>0</v>
      </c>
      <c r="AY168" s="1433">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69">
        <f t="shared" si="90"/>
        <v>0</v>
      </c>
      <c r="F169" s="1661"/>
      <c r="G169" s="4303">
        <f t="shared" si="65"/>
        <v>0</v>
      </c>
      <c r="H169" s="3455">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69">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69">
        <f t="shared" si="91"/>
        <v>0</v>
      </c>
      <c r="AW169" s="1169">
        <f t="shared" si="92"/>
        <v>0</v>
      </c>
      <c r="AX169" s="1169">
        <f t="shared" si="93"/>
        <v>0</v>
      </c>
      <c r="AY169" s="1433">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69">
        <f t="shared" si="90"/>
        <v>0</v>
      </c>
      <c r="F170" s="1661"/>
      <c r="G170" s="4303">
        <f t="shared" si="65"/>
        <v>0</v>
      </c>
      <c r="H170" s="3455">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69">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69">
        <f t="shared" si="91"/>
        <v>0</v>
      </c>
      <c r="AW170" s="1169">
        <f t="shared" si="92"/>
        <v>0</v>
      </c>
      <c r="AX170" s="1169">
        <f t="shared" si="93"/>
        <v>0</v>
      </c>
      <c r="AY170" s="1433">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69">
        <f t="shared" si="90"/>
        <v>0</v>
      </c>
      <c r="F171" s="1661"/>
      <c r="G171" s="4303">
        <f t="shared" si="65"/>
        <v>0</v>
      </c>
      <c r="H171" s="3455">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69">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69">
        <f t="shared" si="91"/>
        <v>0</v>
      </c>
      <c r="AW171" s="1169">
        <f t="shared" si="92"/>
        <v>0</v>
      </c>
      <c r="AX171" s="1169">
        <f t="shared" si="93"/>
        <v>0</v>
      </c>
      <c r="AY171" s="1433">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69">
        <f t="shared" si="90"/>
        <v>0</v>
      </c>
      <c r="F172" s="1661"/>
      <c r="G172" s="4303">
        <f t="shared" si="65"/>
        <v>0</v>
      </c>
      <c r="H172" s="3455">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69">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69">
        <f t="shared" si="91"/>
        <v>0</v>
      </c>
      <c r="AW172" s="1169">
        <f t="shared" si="92"/>
        <v>0</v>
      </c>
      <c r="AX172" s="1169">
        <f t="shared" si="93"/>
        <v>0</v>
      </c>
      <c r="AY172" s="1433">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69">
        <f t="shared" si="90"/>
        <v>0</v>
      </c>
      <c r="F173" s="1661"/>
      <c r="G173" s="4303">
        <f t="shared" si="65"/>
        <v>0</v>
      </c>
      <c r="H173" s="3455">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69">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69">
        <f t="shared" si="91"/>
        <v>0</v>
      </c>
      <c r="AW173" s="1169">
        <f t="shared" si="92"/>
        <v>0</v>
      </c>
      <c r="AX173" s="1169">
        <f t="shared" si="93"/>
        <v>0</v>
      </c>
      <c r="AY173" s="1433">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69">
        <f t="shared" si="90"/>
        <v>0</v>
      </c>
      <c r="F174" s="1661"/>
      <c r="G174" s="4303">
        <f t="shared" ref="G174:G207" si="94">H174+AC174+AT174</f>
        <v>0</v>
      </c>
      <c r="H174" s="3455">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69">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69">
        <f t="shared" si="91"/>
        <v>0</v>
      </c>
      <c r="AW174" s="1169">
        <f t="shared" si="92"/>
        <v>0</v>
      </c>
      <c r="AX174" s="1169">
        <f t="shared" si="93"/>
        <v>0</v>
      </c>
      <c r="AY174" s="1433">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69">
        <f t="shared" si="90"/>
        <v>0</v>
      </c>
      <c r="F175" s="1661"/>
      <c r="G175" s="4303">
        <f t="shared" si="94"/>
        <v>0</v>
      </c>
      <c r="H175" s="3455">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69">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69">
        <f t="shared" si="91"/>
        <v>0</v>
      </c>
      <c r="AW175" s="1169">
        <f t="shared" si="92"/>
        <v>0</v>
      </c>
      <c r="AX175" s="1169">
        <f t="shared" si="93"/>
        <v>0</v>
      </c>
      <c r="AY175" s="1433">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69">
        <f t="shared" si="90"/>
        <v>0</v>
      </c>
      <c r="F176" s="1661"/>
      <c r="G176" s="4303">
        <f t="shared" si="94"/>
        <v>0</v>
      </c>
      <c r="H176" s="3455">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69">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69">
        <f t="shared" si="91"/>
        <v>0</v>
      </c>
      <c r="AW176" s="1169">
        <f t="shared" si="92"/>
        <v>0</v>
      </c>
      <c r="AX176" s="1169">
        <f t="shared" si="93"/>
        <v>0</v>
      </c>
      <c r="AY176" s="1433">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69">
        <f t="shared" ref="E177:E207" si="119">IF($C$3="是",ROUND($A$3*G177/$B$3,2),ROUND($A$3*(G177-AT177)/$B$3,2))</f>
        <v>0</v>
      </c>
      <c r="F177" s="1661"/>
      <c r="G177" s="4303">
        <f t="shared" si="94"/>
        <v>0</v>
      </c>
      <c r="H177" s="3455">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69">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69">
        <f t="shared" ref="AV177:AV207" si="120">A177</f>
        <v>0</v>
      </c>
      <c r="AW177" s="1169">
        <f t="shared" ref="AW177:AW207" si="121">B177</f>
        <v>0</v>
      </c>
      <c r="AX177" s="1169">
        <f t="shared" ref="AX177:AX207" si="122">C177</f>
        <v>0</v>
      </c>
      <c r="AY177" s="1433">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69">
        <f t="shared" si="119"/>
        <v>0</v>
      </c>
      <c r="F178" s="1661"/>
      <c r="G178" s="4303">
        <f t="shared" si="94"/>
        <v>0</v>
      </c>
      <c r="H178" s="3455">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69">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69">
        <f t="shared" si="120"/>
        <v>0</v>
      </c>
      <c r="AW178" s="1169">
        <f t="shared" si="121"/>
        <v>0</v>
      </c>
      <c r="AX178" s="1169">
        <f t="shared" si="122"/>
        <v>0</v>
      </c>
      <c r="AY178" s="1433">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69">
        <f t="shared" si="119"/>
        <v>0</v>
      </c>
      <c r="F179" s="1661"/>
      <c r="G179" s="4303">
        <f t="shared" si="94"/>
        <v>0</v>
      </c>
      <c r="H179" s="3455">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69">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69">
        <f t="shared" si="120"/>
        <v>0</v>
      </c>
      <c r="AW179" s="1169">
        <f t="shared" si="121"/>
        <v>0</v>
      </c>
      <c r="AX179" s="1169">
        <f t="shared" si="122"/>
        <v>0</v>
      </c>
      <c r="AY179" s="1433">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69">
        <f t="shared" si="119"/>
        <v>0</v>
      </c>
      <c r="F180" s="1661"/>
      <c r="G180" s="4303">
        <f t="shared" si="94"/>
        <v>0</v>
      </c>
      <c r="H180" s="3455">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69">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69">
        <f t="shared" si="120"/>
        <v>0</v>
      </c>
      <c r="AW180" s="1169">
        <f t="shared" si="121"/>
        <v>0</v>
      </c>
      <c r="AX180" s="1169">
        <f t="shared" si="122"/>
        <v>0</v>
      </c>
      <c r="AY180" s="1433">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69">
        <f t="shared" si="119"/>
        <v>0</v>
      </c>
      <c r="F181" s="1661"/>
      <c r="G181" s="4303">
        <f t="shared" si="94"/>
        <v>0</v>
      </c>
      <c r="H181" s="3455">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69">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69">
        <f t="shared" si="120"/>
        <v>0</v>
      </c>
      <c r="AW181" s="1169">
        <f t="shared" si="121"/>
        <v>0</v>
      </c>
      <c r="AX181" s="1169">
        <f t="shared" si="122"/>
        <v>0</v>
      </c>
      <c r="AY181" s="1433">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69">
        <f t="shared" si="119"/>
        <v>0</v>
      </c>
      <c r="F182" s="1661"/>
      <c r="G182" s="4303">
        <f t="shared" si="94"/>
        <v>0</v>
      </c>
      <c r="H182" s="3455">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69">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69">
        <f t="shared" si="120"/>
        <v>0</v>
      </c>
      <c r="AW182" s="1169">
        <f t="shared" si="121"/>
        <v>0</v>
      </c>
      <c r="AX182" s="1169">
        <f t="shared" si="122"/>
        <v>0</v>
      </c>
      <c r="AY182" s="1433">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69">
        <f t="shared" si="119"/>
        <v>0</v>
      </c>
      <c r="F183" s="1661"/>
      <c r="G183" s="4303">
        <f t="shared" si="94"/>
        <v>0</v>
      </c>
      <c r="H183" s="3455">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69">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69">
        <f t="shared" si="120"/>
        <v>0</v>
      </c>
      <c r="AW183" s="1169">
        <f t="shared" si="121"/>
        <v>0</v>
      </c>
      <c r="AX183" s="1169">
        <f t="shared" si="122"/>
        <v>0</v>
      </c>
      <c r="AY183" s="1433">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69">
        <f t="shared" si="119"/>
        <v>0</v>
      </c>
      <c r="F184" s="1661"/>
      <c r="G184" s="4303">
        <f t="shared" si="94"/>
        <v>0</v>
      </c>
      <c r="H184" s="3455">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69">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69">
        <f t="shared" si="120"/>
        <v>0</v>
      </c>
      <c r="AW184" s="1169">
        <f t="shared" si="121"/>
        <v>0</v>
      </c>
      <c r="AX184" s="1169">
        <f t="shared" si="122"/>
        <v>0</v>
      </c>
      <c r="AY184" s="1433">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69">
        <f t="shared" si="119"/>
        <v>0</v>
      </c>
      <c r="F185" s="1661"/>
      <c r="G185" s="4303">
        <f t="shared" si="94"/>
        <v>0</v>
      </c>
      <c r="H185" s="3455">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69">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69">
        <f t="shared" si="120"/>
        <v>0</v>
      </c>
      <c r="AW185" s="1169">
        <f t="shared" si="121"/>
        <v>0</v>
      </c>
      <c r="AX185" s="1169">
        <f t="shared" si="122"/>
        <v>0</v>
      </c>
      <c r="AY185" s="1433">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69">
        <f t="shared" si="119"/>
        <v>0</v>
      </c>
      <c r="F186" s="1661"/>
      <c r="G186" s="4303">
        <f t="shared" si="94"/>
        <v>0</v>
      </c>
      <c r="H186" s="3455">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69">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69">
        <f t="shared" si="120"/>
        <v>0</v>
      </c>
      <c r="AW186" s="1169">
        <f t="shared" si="121"/>
        <v>0</v>
      </c>
      <c r="AX186" s="1169">
        <f t="shared" si="122"/>
        <v>0</v>
      </c>
      <c r="AY186" s="1433">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69">
        <f t="shared" si="119"/>
        <v>0</v>
      </c>
      <c r="F187" s="1661"/>
      <c r="G187" s="4303">
        <f t="shared" si="94"/>
        <v>0</v>
      </c>
      <c r="H187" s="3455">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69">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69">
        <f t="shared" si="120"/>
        <v>0</v>
      </c>
      <c r="AW187" s="1169">
        <f t="shared" si="121"/>
        <v>0</v>
      </c>
      <c r="AX187" s="1169">
        <f t="shared" si="122"/>
        <v>0</v>
      </c>
      <c r="AY187" s="1433">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69">
        <f t="shared" si="119"/>
        <v>0</v>
      </c>
      <c r="F188" s="1661"/>
      <c r="G188" s="4303">
        <f t="shared" si="94"/>
        <v>0</v>
      </c>
      <c r="H188" s="3455">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69">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69">
        <f t="shared" si="120"/>
        <v>0</v>
      </c>
      <c r="AW188" s="1169">
        <f t="shared" si="121"/>
        <v>0</v>
      </c>
      <c r="AX188" s="1169">
        <f t="shared" si="122"/>
        <v>0</v>
      </c>
      <c r="AY188" s="1433">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69">
        <f t="shared" si="119"/>
        <v>0</v>
      </c>
      <c r="F189" s="1661"/>
      <c r="G189" s="4303">
        <f t="shared" si="94"/>
        <v>0</v>
      </c>
      <c r="H189" s="3455">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69">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69">
        <f t="shared" si="120"/>
        <v>0</v>
      </c>
      <c r="AW189" s="1169">
        <f t="shared" si="121"/>
        <v>0</v>
      </c>
      <c r="AX189" s="1169">
        <f t="shared" si="122"/>
        <v>0</v>
      </c>
      <c r="AY189" s="1433">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69">
        <f t="shared" si="119"/>
        <v>0</v>
      </c>
      <c r="F190" s="1661"/>
      <c r="G190" s="4303">
        <f t="shared" si="94"/>
        <v>0</v>
      </c>
      <c r="H190" s="3455">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69">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69">
        <f t="shared" si="120"/>
        <v>0</v>
      </c>
      <c r="AW190" s="1169">
        <f t="shared" si="121"/>
        <v>0</v>
      </c>
      <c r="AX190" s="1169">
        <f t="shared" si="122"/>
        <v>0</v>
      </c>
      <c r="AY190" s="1433">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69">
        <f t="shared" si="119"/>
        <v>0</v>
      </c>
      <c r="F191" s="1661"/>
      <c r="G191" s="4303">
        <f t="shared" si="94"/>
        <v>0</v>
      </c>
      <c r="H191" s="3455">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69">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69">
        <f t="shared" si="120"/>
        <v>0</v>
      </c>
      <c r="AW191" s="1169">
        <f t="shared" si="121"/>
        <v>0</v>
      </c>
      <c r="AX191" s="1169">
        <f t="shared" si="122"/>
        <v>0</v>
      </c>
      <c r="AY191" s="1433">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69">
        <f t="shared" si="119"/>
        <v>0</v>
      </c>
      <c r="F192" s="1661"/>
      <c r="G192" s="4303">
        <f t="shared" si="94"/>
        <v>0</v>
      </c>
      <c r="H192" s="3455">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69">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69">
        <f t="shared" si="120"/>
        <v>0</v>
      </c>
      <c r="AW192" s="1169">
        <f t="shared" si="121"/>
        <v>0</v>
      </c>
      <c r="AX192" s="1169">
        <f t="shared" si="122"/>
        <v>0</v>
      </c>
      <c r="AY192" s="1433">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69">
        <f t="shared" si="119"/>
        <v>0</v>
      </c>
      <c r="F193" s="1661"/>
      <c r="G193" s="4303">
        <f t="shared" si="94"/>
        <v>0</v>
      </c>
      <c r="H193" s="3455">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69">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69">
        <f t="shared" si="120"/>
        <v>0</v>
      </c>
      <c r="AW193" s="1169">
        <f t="shared" si="121"/>
        <v>0</v>
      </c>
      <c r="AX193" s="1169">
        <f t="shared" si="122"/>
        <v>0</v>
      </c>
      <c r="AY193" s="1433">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69">
        <f t="shared" si="119"/>
        <v>0</v>
      </c>
      <c r="F194" s="1661"/>
      <c r="G194" s="4303">
        <f t="shared" si="94"/>
        <v>0</v>
      </c>
      <c r="H194" s="3455">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69">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69">
        <f t="shared" si="120"/>
        <v>0</v>
      </c>
      <c r="AW194" s="1169">
        <f t="shared" si="121"/>
        <v>0</v>
      </c>
      <c r="AX194" s="1169">
        <f t="shared" si="122"/>
        <v>0</v>
      </c>
      <c r="AY194" s="1433">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69">
        <f t="shared" si="119"/>
        <v>0</v>
      </c>
      <c r="F195" s="1661"/>
      <c r="G195" s="4303">
        <f t="shared" si="94"/>
        <v>0</v>
      </c>
      <c r="H195" s="3455">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69">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69">
        <f t="shared" si="120"/>
        <v>0</v>
      </c>
      <c r="AW195" s="1169">
        <f t="shared" si="121"/>
        <v>0</v>
      </c>
      <c r="AX195" s="1169">
        <f t="shared" si="122"/>
        <v>0</v>
      </c>
      <c r="AY195" s="1433">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69">
        <f t="shared" si="119"/>
        <v>0</v>
      </c>
      <c r="F196" s="1661"/>
      <c r="G196" s="4303">
        <f t="shared" si="94"/>
        <v>0</v>
      </c>
      <c r="H196" s="3455">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69">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69">
        <f t="shared" si="120"/>
        <v>0</v>
      </c>
      <c r="AW196" s="1169">
        <f t="shared" si="121"/>
        <v>0</v>
      </c>
      <c r="AX196" s="1169">
        <f t="shared" si="122"/>
        <v>0</v>
      </c>
      <c r="AY196" s="1433">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69">
        <f t="shared" si="119"/>
        <v>0</v>
      </c>
      <c r="F197" s="1661"/>
      <c r="G197" s="4303">
        <f t="shared" si="94"/>
        <v>0</v>
      </c>
      <c r="H197" s="3455">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69">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69">
        <f t="shared" si="120"/>
        <v>0</v>
      </c>
      <c r="AW197" s="1169">
        <f t="shared" si="121"/>
        <v>0</v>
      </c>
      <c r="AX197" s="1169">
        <f t="shared" si="122"/>
        <v>0</v>
      </c>
      <c r="AY197" s="1433">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69">
        <f t="shared" si="119"/>
        <v>0</v>
      </c>
      <c r="F198" s="1661"/>
      <c r="G198" s="4303">
        <f t="shared" si="94"/>
        <v>0</v>
      </c>
      <c r="H198" s="3455">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69">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69">
        <f t="shared" si="120"/>
        <v>0</v>
      </c>
      <c r="AW198" s="1169">
        <f t="shared" si="121"/>
        <v>0</v>
      </c>
      <c r="AX198" s="1169">
        <f t="shared" si="122"/>
        <v>0</v>
      </c>
      <c r="AY198" s="1433">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69">
        <f t="shared" si="119"/>
        <v>0</v>
      </c>
      <c r="F199" s="1661"/>
      <c r="G199" s="4303">
        <f t="shared" si="94"/>
        <v>0</v>
      </c>
      <c r="H199" s="3455">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69">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69">
        <f t="shared" si="120"/>
        <v>0</v>
      </c>
      <c r="AW199" s="1169">
        <f t="shared" si="121"/>
        <v>0</v>
      </c>
      <c r="AX199" s="1169">
        <f t="shared" si="122"/>
        <v>0</v>
      </c>
      <c r="AY199" s="1433">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69">
        <f t="shared" si="119"/>
        <v>0</v>
      </c>
      <c r="F200" s="1661"/>
      <c r="G200" s="4303">
        <f t="shared" si="94"/>
        <v>0</v>
      </c>
      <c r="H200" s="3455">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69">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69">
        <f t="shared" si="120"/>
        <v>0</v>
      </c>
      <c r="AW200" s="1169">
        <f t="shared" si="121"/>
        <v>0</v>
      </c>
      <c r="AX200" s="1169">
        <f t="shared" si="122"/>
        <v>0</v>
      </c>
      <c r="AY200" s="1433">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69">
        <f t="shared" si="119"/>
        <v>0</v>
      </c>
      <c r="F201" s="1661"/>
      <c r="G201" s="4303">
        <f t="shared" si="94"/>
        <v>0</v>
      </c>
      <c r="H201" s="3455">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69">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69">
        <f t="shared" si="120"/>
        <v>0</v>
      </c>
      <c r="AW201" s="1169">
        <f t="shared" si="121"/>
        <v>0</v>
      </c>
      <c r="AX201" s="1169">
        <f t="shared" si="122"/>
        <v>0</v>
      </c>
      <c r="AY201" s="1433">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69">
        <f t="shared" si="119"/>
        <v>0</v>
      </c>
      <c r="F202" s="1661"/>
      <c r="G202" s="4303">
        <f t="shared" si="94"/>
        <v>0</v>
      </c>
      <c r="H202" s="3455">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69">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69">
        <f t="shared" si="120"/>
        <v>0</v>
      </c>
      <c r="AW202" s="1169">
        <f t="shared" si="121"/>
        <v>0</v>
      </c>
      <c r="AX202" s="1169">
        <f t="shared" si="122"/>
        <v>0</v>
      </c>
      <c r="AY202" s="1433">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69">
        <f t="shared" si="119"/>
        <v>0</v>
      </c>
      <c r="F203" s="1661"/>
      <c r="G203" s="4303">
        <f t="shared" si="94"/>
        <v>0</v>
      </c>
      <c r="H203" s="3455">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69">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69">
        <f t="shared" si="120"/>
        <v>0</v>
      </c>
      <c r="AW203" s="1169">
        <f t="shared" si="121"/>
        <v>0</v>
      </c>
      <c r="AX203" s="1169">
        <f t="shared" si="122"/>
        <v>0</v>
      </c>
      <c r="AY203" s="1433">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69">
        <f t="shared" si="119"/>
        <v>0</v>
      </c>
      <c r="F204" s="1661"/>
      <c r="G204" s="4303">
        <f t="shared" si="94"/>
        <v>0</v>
      </c>
      <c r="H204" s="3455">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69">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69">
        <f t="shared" si="120"/>
        <v>0</v>
      </c>
      <c r="AW204" s="1169">
        <f t="shared" si="121"/>
        <v>0</v>
      </c>
      <c r="AX204" s="1169">
        <f t="shared" si="122"/>
        <v>0</v>
      </c>
      <c r="AY204" s="1433">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69">
        <f t="shared" si="119"/>
        <v>0</v>
      </c>
      <c r="F205" s="1648"/>
      <c r="G205" s="4303">
        <f t="shared" si="94"/>
        <v>0</v>
      </c>
      <c r="H205" s="3455">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69">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69">
        <f t="shared" si="120"/>
        <v>0</v>
      </c>
      <c r="AW205" s="1169">
        <f t="shared" si="121"/>
        <v>0</v>
      </c>
      <c r="AX205" s="1169">
        <f t="shared" si="122"/>
        <v>0</v>
      </c>
      <c r="AY205" s="1433">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69">
        <f t="shared" si="119"/>
        <v>0</v>
      </c>
      <c r="F206" s="1648"/>
      <c r="G206" s="4303">
        <f t="shared" si="94"/>
        <v>0</v>
      </c>
      <c r="H206" s="3455">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69">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69">
        <f t="shared" si="120"/>
        <v>0</v>
      </c>
      <c r="AW206" s="1169">
        <f t="shared" si="121"/>
        <v>0</v>
      </c>
      <c r="AX206" s="1169">
        <f t="shared" si="122"/>
        <v>0</v>
      </c>
      <c r="AY206" s="1433">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69">
        <f t="shared" si="119"/>
        <v>0</v>
      </c>
      <c r="F207" s="1648"/>
      <c r="G207" s="4303">
        <f t="shared" si="94"/>
        <v>0</v>
      </c>
      <c r="H207" s="3455">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69">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69">
        <f t="shared" si="120"/>
        <v>0</v>
      </c>
      <c r="AW207" s="1169">
        <f t="shared" si="121"/>
        <v>0</v>
      </c>
      <c r="AX207" s="1169">
        <f t="shared" si="122"/>
        <v>0</v>
      </c>
      <c r="AY207" s="1433">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69">
        <f t="shared" ref="E208:E302" si="123">IF($C$3="是",ROUND($A$3*G208/$B$3,2),ROUND($A$3*(G208-AT208)/$B$3,2))</f>
        <v>0</v>
      </c>
      <c r="F208" s="1661"/>
      <c r="G208" s="4303">
        <f t="shared" ref="G208:G299" si="124">H208+AC208+AT208</f>
        <v>0</v>
      </c>
      <c r="H208" s="3455">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69">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69">
        <f t="shared" ref="AV208:AV302" si="127">A208</f>
        <v>0</v>
      </c>
      <c r="AW208" s="1169">
        <f t="shared" ref="AW208:AW302" si="128">B208</f>
        <v>0</v>
      </c>
      <c r="AX208" s="1169">
        <f t="shared" ref="AX208:AX302" si="129">C208</f>
        <v>0</v>
      </c>
      <c r="AY208" s="1433">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69">
        <f t="shared" si="123"/>
        <v>0</v>
      </c>
      <c r="F209" s="1661"/>
      <c r="G209" s="4303">
        <f t="shared" si="124"/>
        <v>0</v>
      </c>
      <c r="H209" s="3455">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69">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69">
        <f t="shared" si="127"/>
        <v>0</v>
      </c>
      <c r="AW209" s="1169">
        <f t="shared" si="128"/>
        <v>0</v>
      </c>
      <c r="AX209" s="1169">
        <f t="shared" si="129"/>
        <v>0</v>
      </c>
      <c r="AY209" s="1433">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69">
        <f t="shared" si="123"/>
        <v>0</v>
      </c>
      <c r="F210" s="1661"/>
      <c r="G210" s="4303">
        <f t="shared" si="124"/>
        <v>0</v>
      </c>
      <c r="H210" s="3455">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69">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69">
        <f t="shared" si="127"/>
        <v>0</v>
      </c>
      <c r="AW210" s="1169">
        <f t="shared" si="128"/>
        <v>0</v>
      </c>
      <c r="AX210" s="1169">
        <f t="shared" si="129"/>
        <v>0</v>
      </c>
      <c r="AY210" s="1433">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69">
        <f t="shared" si="123"/>
        <v>0</v>
      </c>
      <c r="F211" s="1661"/>
      <c r="G211" s="4303">
        <f t="shared" si="124"/>
        <v>0</v>
      </c>
      <c r="H211" s="3455">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69">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69">
        <f t="shared" si="127"/>
        <v>0</v>
      </c>
      <c r="AW211" s="1169">
        <f t="shared" si="128"/>
        <v>0</v>
      </c>
      <c r="AX211" s="1169">
        <f t="shared" si="129"/>
        <v>0</v>
      </c>
      <c r="AY211" s="1433">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69">
        <f t="shared" si="123"/>
        <v>0</v>
      </c>
      <c r="F212" s="1661"/>
      <c r="G212" s="4303">
        <f t="shared" si="124"/>
        <v>0</v>
      </c>
      <c r="H212" s="3455">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69">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69">
        <f t="shared" si="127"/>
        <v>0</v>
      </c>
      <c r="AW212" s="1169">
        <f t="shared" si="128"/>
        <v>0</v>
      </c>
      <c r="AX212" s="1169">
        <f t="shared" si="129"/>
        <v>0</v>
      </c>
      <c r="AY212" s="1433">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69">
        <f t="shared" si="123"/>
        <v>0</v>
      </c>
      <c r="F213" s="1661"/>
      <c r="G213" s="4303">
        <f t="shared" si="124"/>
        <v>0</v>
      </c>
      <c r="H213" s="3455">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69">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69">
        <f t="shared" si="127"/>
        <v>0</v>
      </c>
      <c r="AW213" s="1169">
        <f t="shared" si="128"/>
        <v>0</v>
      </c>
      <c r="AX213" s="1169">
        <f t="shared" si="129"/>
        <v>0</v>
      </c>
      <c r="AY213" s="1433">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69">
        <f t="shared" si="123"/>
        <v>0</v>
      </c>
      <c r="F214" s="1661"/>
      <c r="G214" s="4303">
        <f t="shared" si="124"/>
        <v>0</v>
      </c>
      <c r="H214" s="3455">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69">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69">
        <f t="shared" si="127"/>
        <v>0</v>
      </c>
      <c r="AW214" s="1169">
        <f t="shared" si="128"/>
        <v>0</v>
      </c>
      <c r="AX214" s="1169">
        <f t="shared" si="129"/>
        <v>0</v>
      </c>
      <c r="AY214" s="1433">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69">
        <f t="shared" si="123"/>
        <v>0</v>
      </c>
      <c r="F215" s="1661"/>
      <c r="G215" s="4303">
        <f t="shared" si="124"/>
        <v>0</v>
      </c>
      <c r="H215" s="3455">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69">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69">
        <f t="shared" si="127"/>
        <v>0</v>
      </c>
      <c r="AW215" s="1169">
        <f t="shared" si="128"/>
        <v>0</v>
      </c>
      <c r="AX215" s="1169">
        <f t="shared" si="129"/>
        <v>0</v>
      </c>
      <c r="AY215" s="1433">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69">
        <f t="shared" si="123"/>
        <v>0</v>
      </c>
      <c r="F216" s="1661"/>
      <c r="G216" s="4303">
        <f t="shared" si="124"/>
        <v>0</v>
      </c>
      <c r="H216" s="3455">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69">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69">
        <f t="shared" si="127"/>
        <v>0</v>
      </c>
      <c r="AW216" s="1169">
        <f t="shared" si="128"/>
        <v>0</v>
      </c>
      <c r="AX216" s="1169">
        <f t="shared" si="129"/>
        <v>0</v>
      </c>
      <c r="AY216" s="1433">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69">
        <f t="shared" si="123"/>
        <v>0</v>
      </c>
      <c r="F217" s="1661"/>
      <c r="G217" s="4303">
        <f t="shared" si="124"/>
        <v>0</v>
      </c>
      <c r="H217" s="3455">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69">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69">
        <f t="shared" si="127"/>
        <v>0</v>
      </c>
      <c r="AW217" s="1169">
        <f t="shared" si="128"/>
        <v>0</v>
      </c>
      <c r="AX217" s="1169">
        <f t="shared" si="129"/>
        <v>0</v>
      </c>
      <c r="AY217" s="1433">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69">
        <f t="shared" si="123"/>
        <v>0</v>
      </c>
      <c r="F218" s="1661"/>
      <c r="G218" s="4303">
        <f t="shared" si="124"/>
        <v>0</v>
      </c>
      <c r="H218" s="3455">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69">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69">
        <f t="shared" si="127"/>
        <v>0</v>
      </c>
      <c r="AW218" s="1169">
        <f t="shared" si="128"/>
        <v>0</v>
      </c>
      <c r="AX218" s="1169">
        <f t="shared" si="129"/>
        <v>0</v>
      </c>
      <c r="AY218" s="1433">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69">
        <f t="shared" si="123"/>
        <v>0</v>
      </c>
      <c r="F219" s="1661"/>
      <c r="G219" s="4303">
        <f t="shared" si="124"/>
        <v>0</v>
      </c>
      <c r="H219" s="3455">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69">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69">
        <f t="shared" si="127"/>
        <v>0</v>
      </c>
      <c r="AW219" s="1169">
        <f t="shared" si="128"/>
        <v>0</v>
      </c>
      <c r="AX219" s="1169">
        <f t="shared" si="129"/>
        <v>0</v>
      </c>
      <c r="AY219" s="1433">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69">
        <f t="shared" si="123"/>
        <v>0</v>
      </c>
      <c r="F220" s="1661"/>
      <c r="G220" s="4303">
        <f t="shared" si="124"/>
        <v>0</v>
      </c>
      <c r="H220" s="3455">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69">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69">
        <f t="shared" si="127"/>
        <v>0</v>
      </c>
      <c r="AW220" s="1169">
        <f t="shared" si="128"/>
        <v>0</v>
      </c>
      <c r="AX220" s="1169">
        <f t="shared" si="129"/>
        <v>0</v>
      </c>
      <c r="AY220" s="1433">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69">
        <f t="shared" si="123"/>
        <v>0</v>
      </c>
      <c r="F221" s="1661"/>
      <c r="G221" s="4303">
        <f t="shared" si="124"/>
        <v>0</v>
      </c>
      <c r="H221" s="3455">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69">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69">
        <f t="shared" si="127"/>
        <v>0</v>
      </c>
      <c r="AW221" s="1169">
        <f t="shared" si="128"/>
        <v>0</v>
      </c>
      <c r="AX221" s="1169">
        <f t="shared" si="129"/>
        <v>0</v>
      </c>
      <c r="AY221" s="1433">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69">
        <f t="shared" si="123"/>
        <v>0</v>
      </c>
      <c r="F222" s="1661"/>
      <c r="G222" s="4303">
        <f t="shared" si="124"/>
        <v>0</v>
      </c>
      <c r="H222" s="3455">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69">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69">
        <f t="shared" si="127"/>
        <v>0</v>
      </c>
      <c r="AW222" s="1169">
        <f t="shared" si="128"/>
        <v>0</v>
      </c>
      <c r="AX222" s="1169">
        <f t="shared" si="129"/>
        <v>0</v>
      </c>
      <c r="AY222" s="1433">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69">
        <f t="shared" si="123"/>
        <v>0</v>
      </c>
      <c r="F223" s="1661"/>
      <c r="G223" s="4303">
        <f t="shared" si="124"/>
        <v>0</v>
      </c>
      <c r="H223" s="3455">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69">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69">
        <f t="shared" si="127"/>
        <v>0</v>
      </c>
      <c r="AW223" s="1169">
        <f t="shared" si="128"/>
        <v>0</v>
      </c>
      <c r="AX223" s="1169">
        <f t="shared" si="129"/>
        <v>0</v>
      </c>
      <c r="AY223" s="1433">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69">
        <f t="shared" si="123"/>
        <v>0</v>
      </c>
      <c r="F224" s="1661"/>
      <c r="G224" s="4303">
        <f t="shared" si="124"/>
        <v>0</v>
      </c>
      <c r="H224" s="3455">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69">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69">
        <f t="shared" si="127"/>
        <v>0</v>
      </c>
      <c r="AW224" s="1169">
        <f t="shared" si="128"/>
        <v>0</v>
      </c>
      <c r="AX224" s="1169">
        <f t="shared" si="129"/>
        <v>0</v>
      </c>
      <c r="AY224" s="1433">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69">
        <f t="shared" si="123"/>
        <v>0</v>
      </c>
      <c r="F225" s="1661"/>
      <c r="G225" s="4303">
        <f t="shared" si="124"/>
        <v>0</v>
      </c>
      <c r="H225" s="3455">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69">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69">
        <f t="shared" si="127"/>
        <v>0</v>
      </c>
      <c r="AW225" s="1169">
        <f t="shared" si="128"/>
        <v>0</v>
      </c>
      <c r="AX225" s="1169">
        <f t="shared" si="129"/>
        <v>0</v>
      </c>
      <c r="AY225" s="1433">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69">
        <f t="shared" si="123"/>
        <v>0</v>
      </c>
      <c r="F226" s="1661"/>
      <c r="G226" s="4303">
        <f t="shared" si="124"/>
        <v>0</v>
      </c>
      <c r="H226" s="3455">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69">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69">
        <f t="shared" si="127"/>
        <v>0</v>
      </c>
      <c r="AW226" s="1169">
        <f t="shared" si="128"/>
        <v>0</v>
      </c>
      <c r="AX226" s="1169">
        <f t="shared" si="129"/>
        <v>0</v>
      </c>
      <c r="AY226" s="1433">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69">
        <f t="shared" si="123"/>
        <v>0</v>
      </c>
      <c r="F227" s="1661"/>
      <c r="G227" s="4303">
        <f t="shared" si="124"/>
        <v>0</v>
      </c>
      <c r="H227" s="3455">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69">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69">
        <f t="shared" si="127"/>
        <v>0</v>
      </c>
      <c r="AW227" s="1169">
        <f t="shared" si="128"/>
        <v>0</v>
      </c>
      <c r="AX227" s="1169">
        <f t="shared" si="129"/>
        <v>0</v>
      </c>
      <c r="AY227" s="1433">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69">
        <f t="shared" si="123"/>
        <v>0</v>
      </c>
      <c r="F228" s="1661"/>
      <c r="G228" s="4303">
        <f t="shared" si="124"/>
        <v>0</v>
      </c>
      <c r="H228" s="3455">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69">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69">
        <f t="shared" si="127"/>
        <v>0</v>
      </c>
      <c r="AW228" s="1169">
        <f t="shared" si="128"/>
        <v>0</v>
      </c>
      <c r="AX228" s="1169">
        <f t="shared" si="129"/>
        <v>0</v>
      </c>
      <c r="AY228" s="1433">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69">
        <f t="shared" si="123"/>
        <v>0</v>
      </c>
      <c r="F229" s="1661"/>
      <c r="G229" s="4303">
        <f t="shared" si="124"/>
        <v>0</v>
      </c>
      <c r="H229" s="3455">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69">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69">
        <f t="shared" si="127"/>
        <v>0</v>
      </c>
      <c r="AW229" s="1169">
        <f t="shared" si="128"/>
        <v>0</v>
      </c>
      <c r="AX229" s="1169">
        <f t="shared" si="129"/>
        <v>0</v>
      </c>
      <c r="AY229" s="1433">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69">
        <f t="shared" si="123"/>
        <v>0</v>
      </c>
      <c r="F230" s="1661"/>
      <c r="G230" s="4303">
        <f t="shared" si="124"/>
        <v>0</v>
      </c>
      <c r="H230" s="3455">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69">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69">
        <f t="shared" si="127"/>
        <v>0</v>
      </c>
      <c r="AW230" s="1169">
        <f t="shared" si="128"/>
        <v>0</v>
      </c>
      <c r="AX230" s="1169">
        <f t="shared" si="129"/>
        <v>0</v>
      </c>
      <c r="AY230" s="1433">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69">
        <f t="shared" si="123"/>
        <v>0</v>
      </c>
      <c r="F231" s="1661"/>
      <c r="G231" s="4303">
        <f t="shared" si="124"/>
        <v>0</v>
      </c>
      <c r="H231" s="3455">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69">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69">
        <f t="shared" si="127"/>
        <v>0</v>
      </c>
      <c r="AW231" s="1169">
        <f t="shared" si="128"/>
        <v>0</v>
      </c>
      <c r="AX231" s="1169">
        <f t="shared" si="129"/>
        <v>0</v>
      </c>
      <c r="AY231" s="1433">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69">
        <f t="shared" si="123"/>
        <v>0</v>
      </c>
      <c r="F232" s="1661"/>
      <c r="G232" s="4303">
        <f t="shared" si="124"/>
        <v>0</v>
      </c>
      <c r="H232" s="3455">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69">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69">
        <f t="shared" si="127"/>
        <v>0</v>
      </c>
      <c r="AW232" s="1169">
        <f t="shared" si="128"/>
        <v>0</v>
      </c>
      <c r="AX232" s="1169">
        <f t="shared" si="129"/>
        <v>0</v>
      </c>
      <c r="AY232" s="1433">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69">
        <f t="shared" si="123"/>
        <v>0</v>
      </c>
      <c r="F233" s="1661"/>
      <c r="G233" s="4303">
        <f t="shared" si="124"/>
        <v>0</v>
      </c>
      <c r="H233" s="3455">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69">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69">
        <f t="shared" si="127"/>
        <v>0</v>
      </c>
      <c r="AW233" s="1169">
        <f t="shared" si="128"/>
        <v>0</v>
      </c>
      <c r="AX233" s="1169">
        <f t="shared" si="129"/>
        <v>0</v>
      </c>
      <c r="AY233" s="1433">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69">
        <f t="shared" si="123"/>
        <v>0</v>
      </c>
      <c r="F234" s="1661"/>
      <c r="G234" s="4303">
        <f t="shared" si="124"/>
        <v>0</v>
      </c>
      <c r="H234" s="3455">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69">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69">
        <f t="shared" si="127"/>
        <v>0</v>
      </c>
      <c r="AW234" s="1169">
        <f t="shared" si="128"/>
        <v>0</v>
      </c>
      <c r="AX234" s="1169">
        <f t="shared" si="129"/>
        <v>0</v>
      </c>
      <c r="AY234" s="1433">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69">
        <f t="shared" si="123"/>
        <v>0</v>
      </c>
      <c r="F235" s="1661"/>
      <c r="G235" s="4303">
        <f t="shared" si="124"/>
        <v>0</v>
      </c>
      <c r="H235" s="3455">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69">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69">
        <f t="shared" si="127"/>
        <v>0</v>
      </c>
      <c r="AW235" s="1169">
        <f t="shared" si="128"/>
        <v>0</v>
      </c>
      <c r="AX235" s="1169">
        <f t="shared" si="129"/>
        <v>0</v>
      </c>
      <c r="AY235" s="1433">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69">
        <f t="shared" si="123"/>
        <v>0</v>
      </c>
      <c r="F236" s="1661"/>
      <c r="G236" s="4303">
        <f t="shared" si="124"/>
        <v>0</v>
      </c>
      <c r="H236" s="3455">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69">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69">
        <f t="shared" si="127"/>
        <v>0</v>
      </c>
      <c r="AW236" s="1169">
        <f t="shared" si="128"/>
        <v>0</v>
      </c>
      <c r="AX236" s="1169">
        <f t="shared" si="129"/>
        <v>0</v>
      </c>
      <c r="AY236" s="1433">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69">
        <f t="shared" si="123"/>
        <v>0</v>
      </c>
      <c r="F237" s="1661"/>
      <c r="G237" s="4303">
        <f t="shared" si="124"/>
        <v>0</v>
      </c>
      <c r="H237" s="3455">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69">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69">
        <f t="shared" si="127"/>
        <v>0</v>
      </c>
      <c r="AW237" s="1169">
        <f t="shared" si="128"/>
        <v>0</v>
      </c>
      <c r="AX237" s="1169">
        <f t="shared" si="129"/>
        <v>0</v>
      </c>
      <c r="AY237" s="1433">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69">
        <f t="shared" si="123"/>
        <v>0</v>
      </c>
      <c r="F238" s="1661"/>
      <c r="G238" s="4303">
        <f t="shared" si="124"/>
        <v>0</v>
      </c>
      <c r="H238" s="3455">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69">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69">
        <f t="shared" si="127"/>
        <v>0</v>
      </c>
      <c r="AW238" s="1169">
        <f t="shared" si="128"/>
        <v>0</v>
      </c>
      <c r="AX238" s="1169">
        <f t="shared" si="129"/>
        <v>0</v>
      </c>
      <c r="AY238" s="1433">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69">
        <f t="shared" si="123"/>
        <v>0</v>
      </c>
      <c r="F239" s="1661"/>
      <c r="G239" s="4303">
        <f t="shared" si="124"/>
        <v>0</v>
      </c>
      <c r="H239" s="3455">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69">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69">
        <f t="shared" si="127"/>
        <v>0</v>
      </c>
      <c r="AW239" s="1169">
        <f t="shared" si="128"/>
        <v>0</v>
      </c>
      <c r="AX239" s="1169">
        <f t="shared" si="129"/>
        <v>0</v>
      </c>
      <c r="AY239" s="1433">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69">
        <f t="shared" si="123"/>
        <v>0</v>
      </c>
      <c r="F240" s="1661"/>
      <c r="G240" s="4303">
        <f t="shared" si="124"/>
        <v>0</v>
      </c>
      <c r="H240" s="3455">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69">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69">
        <f t="shared" si="127"/>
        <v>0</v>
      </c>
      <c r="AW240" s="1169">
        <f t="shared" si="128"/>
        <v>0</v>
      </c>
      <c r="AX240" s="1169">
        <f t="shared" si="129"/>
        <v>0</v>
      </c>
      <c r="AY240" s="1433">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69">
        <f t="shared" si="123"/>
        <v>0</v>
      </c>
      <c r="F241" s="1661"/>
      <c r="G241" s="4303">
        <f t="shared" si="124"/>
        <v>0</v>
      </c>
      <c r="H241" s="3455">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69">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69">
        <f t="shared" si="127"/>
        <v>0</v>
      </c>
      <c r="AW241" s="1169">
        <f t="shared" si="128"/>
        <v>0</v>
      </c>
      <c r="AX241" s="1169">
        <f t="shared" si="129"/>
        <v>0</v>
      </c>
      <c r="AY241" s="1433">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69">
        <f t="shared" si="123"/>
        <v>0</v>
      </c>
      <c r="F242" s="1661"/>
      <c r="G242" s="4303">
        <f t="shared" si="124"/>
        <v>0</v>
      </c>
      <c r="H242" s="3455">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69">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69">
        <f t="shared" si="127"/>
        <v>0</v>
      </c>
      <c r="AW242" s="1169">
        <f t="shared" si="128"/>
        <v>0</v>
      </c>
      <c r="AX242" s="1169">
        <f t="shared" si="129"/>
        <v>0</v>
      </c>
      <c r="AY242" s="1433">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69">
        <f t="shared" si="123"/>
        <v>0</v>
      </c>
      <c r="F243" s="1661"/>
      <c r="G243" s="4303">
        <f t="shared" si="124"/>
        <v>0</v>
      </c>
      <c r="H243" s="3455">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69">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69">
        <f t="shared" si="127"/>
        <v>0</v>
      </c>
      <c r="AW243" s="1169">
        <f t="shared" si="128"/>
        <v>0</v>
      </c>
      <c r="AX243" s="1169">
        <f t="shared" si="129"/>
        <v>0</v>
      </c>
      <c r="AY243" s="1433">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69">
        <f t="shared" si="123"/>
        <v>0</v>
      </c>
      <c r="F244" s="1661"/>
      <c r="G244" s="4303">
        <f t="shared" si="124"/>
        <v>0</v>
      </c>
      <c r="H244" s="3455">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69">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69">
        <f t="shared" si="127"/>
        <v>0</v>
      </c>
      <c r="AW244" s="1169">
        <f t="shared" si="128"/>
        <v>0</v>
      </c>
      <c r="AX244" s="1169">
        <f t="shared" si="129"/>
        <v>0</v>
      </c>
      <c r="AY244" s="1433">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69">
        <f t="shared" si="123"/>
        <v>0</v>
      </c>
      <c r="F245" s="1661"/>
      <c r="G245" s="4303">
        <f t="shared" si="124"/>
        <v>0</v>
      </c>
      <c r="H245" s="3455">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69">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69">
        <f t="shared" si="127"/>
        <v>0</v>
      </c>
      <c r="AW245" s="1169">
        <f t="shared" si="128"/>
        <v>0</v>
      </c>
      <c r="AX245" s="1169">
        <f t="shared" si="129"/>
        <v>0</v>
      </c>
      <c r="AY245" s="1433">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69">
        <f t="shared" si="123"/>
        <v>0</v>
      </c>
      <c r="F246" s="1661"/>
      <c r="G246" s="4303">
        <f t="shared" si="124"/>
        <v>0</v>
      </c>
      <c r="H246" s="3455">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69">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69">
        <f t="shared" si="127"/>
        <v>0</v>
      </c>
      <c r="AW246" s="1169">
        <f t="shared" si="128"/>
        <v>0</v>
      </c>
      <c r="AX246" s="1169">
        <f t="shared" si="129"/>
        <v>0</v>
      </c>
      <c r="AY246" s="1433">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69">
        <f t="shared" si="123"/>
        <v>0</v>
      </c>
      <c r="F247" s="1661"/>
      <c r="G247" s="4303">
        <f t="shared" si="124"/>
        <v>0</v>
      </c>
      <c r="H247" s="3455">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69">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69">
        <f t="shared" si="127"/>
        <v>0</v>
      </c>
      <c r="AW247" s="1169">
        <f t="shared" si="128"/>
        <v>0</v>
      </c>
      <c r="AX247" s="1169">
        <f t="shared" si="129"/>
        <v>0</v>
      </c>
      <c r="AY247" s="1433">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69">
        <f t="shared" si="123"/>
        <v>0</v>
      </c>
      <c r="F248" s="1661"/>
      <c r="G248" s="4303">
        <f t="shared" si="124"/>
        <v>0</v>
      </c>
      <c r="H248" s="3455">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69">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69">
        <f t="shared" si="127"/>
        <v>0</v>
      </c>
      <c r="AW248" s="1169">
        <f t="shared" si="128"/>
        <v>0</v>
      </c>
      <c r="AX248" s="1169">
        <f t="shared" si="129"/>
        <v>0</v>
      </c>
      <c r="AY248" s="1433">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69">
        <f t="shared" si="123"/>
        <v>0</v>
      </c>
      <c r="F249" s="1661"/>
      <c r="G249" s="4303">
        <f t="shared" si="124"/>
        <v>0</v>
      </c>
      <c r="H249" s="3455">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69">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69">
        <f t="shared" si="127"/>
        <v>0</v>
      </c>
      <c r="AW249" s="1169">
        <f t="shared" si="128"/>
        <v>0</v>
      </c>
      <c r="AX249" s="1169">
        <f t="shared" si="129"/>
        <v>0</v>
      </c>
      <c r="AY249" s="1433">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69">
        <f t="shared" si="123"/>
        <v>0</v>
      </c>
      <c r="F250" s="1661"/>
      <c r="G250" s="4303">
        <f t="shared" si="124"/>
        <v>0</v>
      </c>
      <c r="H250" s="3455">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69">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69">
        <f t="shared" si="127"/>
        <v>0</v>
      </c>
      <c r="AW250" s="1169">
        <f t="shared" si="128"/>
        <v>0</v>
      </c>
      <c r="AX250" s="1169">
        <f t="shared" si="129"/>
        <v>0</v>
      </c>
      <c r="AY250" s="1433">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69">
        <f t="shared" si="123"/>
        <v>0</v>
      </c>
      <c r="F251" s="1661"/>
      <c r="G251" s="4303">
        <f t="shared" si="124"/>
        <v>0</v>
      </c>
      <c r="H251" s="3455">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69">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69">
        <f t="shared" si="127"/>
        <v>0</v>
      </c>
      <c r="AW251" s="1169">
        <f t="shared" si="128"/>
        <v>0</v>
      </c>
      <c r="AX251" s="1169">
        <f t="shared" si="129"/>
        <v>0</v>
      </c>
      <c r="AY251" s="1433">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69">
        <f t="shared" si="123"/>
        <v>0</v>
      </c>
      <c r="F252" s="1661"/>
      <c r="G252" s="4303">
        <f t="shared" si="124"/>
        <v>0</v>
      </c>
      <c r="H252" s="3455">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69">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69">
        <f t="shared" si="127"/>
        <v>0</v>
      </c>
      <c r="AW252" s="1169">
        <f t="shared" si="128"/>
        <v>0</v>
      </c>
      <c r="AX252" s="1169">
        <f t="shared" si="129"/>
        <v>0</v>
      </c>
      <c r="AY252" s="1433">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69">
        <f t="shared" si="123"/>
        <v>0</v>
      </c>
      <c r="F253" s="1661"/>
      <c r="G253" s="4303">
        <f t="shared" si="124"/>
        <v>0</v>
      </c>
      <c r="H253" s="3455">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69">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69">
        <f t="shared" si="127"/>
        <v>0</v>
      </c>
      <c r="AW253" s="1169">
        <f t="shared" si="128"/>
        <v>0</v>
      </c>
      <c r="AX253" s="1169">
        <f t="shared" si="129"/>
        <v>0</v>
      </c>
      <c r="AY253" s="1433">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69">
        <f t="shared" si="123"/>
        <v>0</v>
      </c>
      <c r="F254" s="1661"/>
      <c r="G254" s="4303">
        <f t="shared" si="124"/>
        <v>0</v>
      </c>
      <c r="H254" s="3455">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69">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69">
        <f t="shared" si="127"/>
        <v>0</v>
      </c>
      <c r="AW254" s="1169">
        <f t="shared" si="128"/>
        <v>0</v>
      </c>
      <c r="AX254" s="1169">
        <f t="shared" si="129"/>
        <v>0</v>
      </c>
      <c r="AY254" s="1433">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69">
        <f t="shared" si="123"/>
        <v>0</v>
      </c>
      <c r="F255" s="1661"/>
      <c r="G255" s="4303">
        <f t="shared" si="124"/>
        <v>0</v>
      </c>
      <c r="H255" s="3455">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69">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69">
        <f t="shared" si="127"/>
        <v>0</v>
      </c>
      <c r="AW255" s="1169">
        <f t="shared" si="128"/>
        <v>0</v>
      </c>
      <c r="AX255" s="1169">
        <f t="shared" si="129"/>
        <v>0</v>
      </c>
      <c r="AY255" s="1433">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69">
        <f t="shared" si="123"/>
        <v>0</v>
      </c>
      <c r="F256" s="1661"/>
      <c r="G256" s="4303">
        <f t="shared" si="124"/>
        <v>0</v>
      </c>
      <c r="H256" s="3455">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69">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69">
        <f t="shared" si="127"/>
        <v>0</v>
      </c>
      <c r="AW256" s="1169">
        <f t="shared" si="128"/>
        <v>0</v>
      </c>
      <c r="AX256" s="1169">
        <f t="shared" si="129"/>
        <v>0</v>
      </c>
      <c r="AY256" s="1433">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69">
        <f t="shared" si="123"/>
        <v>0</v>
      </c>
      <c r="F257" s="1661"/>
      <c r="G257" s="4303">
        <f t="shared" si="124"/>
        <v>0</v>
      </c>
      <c r="H257" s="3455">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69">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69">
        <f t="shared" si="127"/>
        <v>0</v>
      </c>
      <c r="AW257" s="1169">
        <f t="shared" si="128"/>
        <v>0</v>
      </c>
      <c r="AX257" s="1169">
        <f t="shared" si="129"/>
        <v>0</v>
      </c>
      <c r="AY257" s="1433">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69">
        <f t="shared" si="123"/>
        <v>0</v>
      </c>
      <c r="F258" s="1661"/>
      <c r="G258" s="4303">
        <f t="shared" si="124"/>
        <v>0</v>
      </c>
      <c r="H258" s="3455">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69">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69">
        <f t="shared" si="127"/>
        <v>0</v>
      </c>
      <c r="AW258" s="1169">
        <f t="shared" si="128"/>
        <v>0</v>
      </c>
      <c r="AX258" s="1169">
        <f t="shared" si="129"/>
        <v>0</v>
      </c>
      <c r="AY258" s="1433">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69">
        <f t="shared" si="123"/>
        <v>0</v>
      </c>
      <c r="F259" s="1661"/>
      <c r="G259" s="4303">
        <f t="shared" si="124"/>
        <v>0</v>
      </c>
      <c r="H259" s="3455">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69">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69">
        <f t="shared" si="127"/>
        <v>0</v>
      </c>
      <c r="AW259" s="1169">
        <f t="shared" si="128"/>
        <v>0</v>
      </c>
      <c r="AX259" s="1169">
        <f t="shared" si="129"/>
        <v>0</v>
      </c>
      <c r="AY259" s="1433">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69">
        <f t="shared" si="123"/>
        <v>0</v>
      </c>
      <c r="F260" s="1661"/>
      <c r="G260" s="4303">
        <f t="shared" si="124"/>
        <v>0</v>
      </c>
      <c r="H260" s="3455">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69">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69">
        <f t="shared" si="127"/>
        <v>0</v>
      </c>
      <c r="AW260" s="1169">
        <f t="shared" si="128"/>
        <v>0</v>
      </c>
      <c r="AX260" s="1169">
        <f t="shared" si="129"/>
        <v>0</v>
      </c>
      <c r="AY260" s="1433">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69">
        <f t="shared" si="123"/>
        <v>0</v>
      </c>
      <c r="F261" s="1661"/>
      <c r="G261" s="4303">
        <f t="shared" si="124"/>
        <v>0</v>
      </c>
      <c r="H261" s="3455">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69">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69">
        <f t="shared" si="127"/>
        <v>0</v>
      </c>
      <c r="AW261" s="1169">
        <f t="shared" si="128"/>
        <v>0</v>
      </c>
      <c r="AX261" s="1169">
        <f t="shared" si="129"/>
        <v>0</v>
      </c>
      <c r="AY261" s="1433">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69">
        <f t="shared" si="123"/>
        <v>0</v>
      </c>
      <c r="F262" s="1661"/>
      <c r="G262" s="4303">
        <f t="shared" si="124"/>
        <v>0</v>
      </c>
      <c r="H262" s="3455">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69">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69">
        <f t="shared" si="127"/>
        <v>0</v>
      </c>
      <c r="AW262" s="1169">
        <f t="shared" si="128"/>
        <v>0</v>
      </c>
      <c r="AX262" s="1169">
        <f t="shared" si="129"/>
        <v>0</v>
      </c>
      <c r="AY262" s="1433">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69">
        <f t="shared" si="123"/>
        <v>0</v>
      </c>
      <c r="F263" s="1661"/>
      <c r="G263" s="4303">
        <f t="shared" si="124"/>
        <v>0</v>
      </c>
      <c r="H263" s="3455">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69">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69">
        <f t="shared" si="127"/>
        <v>0</v>
      </c>
      <c r="AW263" s="1169">
        <f t="shared" si="128"/>
        <v>0</v>
      </c>
      <c r="AX263" s="1169">
        <f t="shared" si="129"/>
        <v>0</v>
      </c>
      <c r="AY263" s="1433">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69">
        <f t="shared" si="123"/>
        <v>0</v>
      </c>
      <c r="F264" s="1661"/>
      <c r="G264" s="4303">
        <f t="shared" si="124"/>
        <v>0</v>
      </c>
      <c r="H264" s="3455">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69">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69">
        <f t="shared" si="127"/>
        <v>0</v>
      </c>
      <c r="AW264" s="1169">
        <f t="shared" si="128"/>
        <v>0</v>
      </c>
      <c r="AX264" s="1169">
        <f t="shared" si="129"/>
        <v>0</v>
      </c>
      <c r="AY264" s="1433">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69">
        <f t="shared" si="123"/>
        <v>0</v>
      </c>
      <c r="F265" s="1661"/>
      <c r="G265" s="4303">
        <f t="shared" si="124"/>
        <v>0</v>
      </c>
      <c r="H265" s="3455">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69">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69">
        <f t="shared" si="127"/>
        <v>0</v>
      </c>
      <c r="AW265" s="1169">
        <f t="shared" si="128"/>
        <v>0</v>
      </c>
      <c r="AX265" s="1169">
        <f t="shared" si="129"/>
        <v>0</v>
      </c>
      <c r="AY265" s="1433">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69">
        <f t="shared" si="123"/>
        <v>0</v>
      </c>
      <c r="F266" s="1661"/>
      <c r="G266" s="4303">
        <f t="shared" si="124"/>
        <v>0</v>
      </c>
      <c r="H266" s="3455">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69">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69">
        <f t="shared" si="127"/>
        <v>0</v>
      </c>
      <c r="AW266" s="1169">
        <f t="shared" si="128"/>
        <v>0</v>
      </c>
      <c r="AX266" s="1169">
        <f t="shared" si="129"/>
        <v>0</v>
      </c>
      <c r="AY266" s="1433">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69">
        <f t="shared" si="123"/>
        <v>0</v>
      </c>
      <c r="F267" s="1661"/>
      <c r="G267" s="4303">
        <f t="shared" si="124"/>
        <v>0</v>
      </c>
      <c r="H267" s="3455">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69">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69">
        <f t="shared" si="127"/>
        <v>0</v>
      </c>
      <c r="AW267" s="1169">
        <f t="shared" si="128"/>
        <v>0</v>
      </c>
      <c r="AX267" s="1169">
        <f t="shared" si="129"/>
        <v>0</v>
      </c>
      <c r="AY267" s="1433">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69">
        <f t="shared" si="123"/>
        <v>0</v>
      </c>
      <c r="F268" s="1661"/>
      <c r="G268" s="4303">
        <f t="shared" si="124"/>
        <v>0</v>
      </c>
      <c r="H268" s="3455">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69">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69">
        <f t="shared" si="127"/>
        <v>0</v>
      </c>
      <c r="AW268" s="1169">
        <f t="shared" si="128"/>
        <v>0</v>
      </c>
      <c r="AX268" s="1169">
        <f t="shared" si="129"/>
        <v>0</v>
      </c>
      <c r="AY268" s="1433">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69">
        <f t="shared" si="123"/>
        <v>0</v>
      </c>
      <c r="F269" s="1661"/>
      <c r="G269" s="4303">
        <f t="shared" si="124"/>
        <v>0</v>
      </c>
      <c r="H269" s="3455">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69">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69">
        <f t="shared" si="127"/>
        <v>0</v>
      </c>
      <c r="AW269" s="1169">
        <f t="shared" si="128"/>
        <v>0</v>
      </c>
      <c r="AX269" s="1169">
        <f t="shared" si="129"/>
        <v>0</v>
      </c>
      <c r="AY269" s="1433">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69">
        <f t="shared" si="123"/>
        <v>0</v>
      </c>
      <c r="F270" s="1661"/>
      <c r="G270" s="4303">
        <f t="shared" si="124"/>
        <v>0</v>
      </c>
      <c r="H270" s="3455">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69">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69">
        <f t="shared" si="127"/>
        <v>0</v>
      </c>
      <c r="AW270" s="1169">
        <f t="shared" si="128"/>
        <v>0</v>
      </c>
      <c r="AX270" s="1169">
        <f t="shared" si="129"/>
        <v>0</v>
      </c>
      <c r="AY270" s="1433">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69">
        <f t="shared" si="123"/>
        <v>0</v>
      </c>
      <c r="F271" s="1661"/>
      <c r="G271" s="4303">
        <f t="shared" si="124"/>
        <v>0</v>
      </c>
      <c r="H271" s="3455">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69">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69">
        <f t="shared" si="127"/>
        <v>0</v>
      </c>
      <c r="AW271" s="1169">
        <f t="shared" si="128"/>
        <v>0</v>
      </c>
      <c r="AX271" s="1169">
        <f t="shared" si="129"/>
        <v>0</v>
      </c>
      <c r="AY271" s="1433">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69">
        <f t="shared" si="123"/>
        <v>0</v>
      </c>
      <c r="F272" s="1661"/>
      <c r="G272" s="4303">
        <f t="shared" si="124"/>
        <v>0</v>
      </c>
      <c r="H272" s="3455">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69">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69">
        <f t="shared" si="127"/>
        <v>0</v>
      </c>
      <c r="AW272" s="1169">
        <f t="shared" si="128"/>
        <v>0</v>
      </c>
      <c r="AX272" s="1169">
        <f t="shared" si="129"/>
        <v>0</v>
      </c>
      <c r="AY272" s="1433">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69">
        <f t="shared" si="123"/>
        <v>0</v>
      </c>
      <c r="F273" s="1661"/>
      <c r="G273" s="4303">
        <f t="shared" si="124"/>
        <v>0</v>
      </c>
      <c r="H273" s="3455">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69">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69">
        <f t="shared" si="127"/>
        <v>0</v>
      </c>
      <c r="AW273" s="1169">
        <f t="shared" si="128"/>
        <v>0</v>
      </c>
      <c r="AX273" s="1169">
        <f t="shared" si="129"/>
        <v>0</v>
      </c>
      <c r="AY273" s="1433">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69">
        <f t="shared" si="123"/>
        <v>0</v>
      </c>
      <c r="F274" s="1661"/>
      <c r="G274" s="4303">
        <f t="shared" si="124"/>
        <v>0</v>
      </c>
      <c r="H274" s="3455">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69">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69">
        <f t="shared" si="127"/>
        <v>0</v>
      </c>
      <c r="AW274" s="1169">
        <f t="shared" si="128"/>
        <v>0</v>
      </c>
      <c r="AX274" s="1169">
        <f t="shared" si="129"/>
        <v>0</v>
      </c>
      <c r="AY274" s="1433">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69">
        <f t="shared" si="123"/>
        <v>0</v>
      </c>
      <c r="F275" s="1661"/>
      <c r="G275" s="4303">
        <f t="shared" si="124"/>
        <v>0</v>
      </c>
      <c r="H275" s="3455">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69">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69">
        <f t="shared" si="127"/>
        <v>0</v>
      </c>
      <c r="AW275" s="1169">
        <f t="shared" si="128"/>
        <v>0</v>
      </c>
      <c r="AX275" s="1169">
        <f t="shared" si="129"/>
        <v>0</v>
      </c>
      <c r="AY275" s="1433">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69">
        <f t="shared" si="123"/>
        <v>0</v>
      </c>
      <c r="F276" s="1661"/>
      <c r="G276" s="4303">
        <f t="shared" si="124"/>
        <v>0</v>
      </c>
      <c r="H276" s="3455">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69">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69">
        <f t="shared" si="127"/>
        <v>0</v>
      </c>
      <c r="AW276" s="1169">
        <f t="shared" si="128"/>
        <v>0</v>
      </c>
      <c r="AX276" s="1169">
        <f t="shared" si="129"/>
        <v>0</v>
      </c>
      <c r="AY276" s="1433">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69">
        <f t="shared" si="123"/>
        <v>0</v>
      </c>
      <c r="F277" s="1661"/>
      <c r="G277" s="4303">
        <f t="shared" si="124"/>
        <v>0</v>
      </c>
      <c r="H277" s="3455">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69">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69">
        <f t="shared" si="127"/>
        <v>0</v>
      </c>
      <c r="AW277" s="1169">
        <f t="shared" si="128"/>
        <v>0</v>
      </c>
      <c r="AX277" s="1169">
        <f t="shared" si="129"/>
        <v>0</v>
      </c>
      <c r="AY277" s="1433">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69">
        <f t="shared" si="123"/>
        <v>0</v>
      </c>
      <c r="F278" s="1661"/>
      <c r="G278" s="4303">
        <f t="shared" si="124"/>
        <v>0</v>
      </c>
      <c r="H278" s="3455">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69">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69">
        <f t="shared" si="127"/>
        <v>0</v>
      </c>
      <c r="AW278" s="1169">
        <f t="shared" si="128"/>
        <v>0</v>
      </c>
      <c r="AX278" s="1169">
        <f t="shared" si="129"/>
        <v>0</v>
      </c>
      <c r="AY278" s="1433">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69">
        <f t="shared" si="123"/>
        <v>0</v>
      </c>
      <c r="F279" s="1661"/>
      <c r="G279" s="4303">
        <f t="shared" si="124"/>
        <v>0</v>
      </c>
      <c r="H279" s="3455">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69">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69">
        <f t="shared" si="127"/>
        <v>0</v>
      </c>
      <c r="AW279" s="1169">
        <f t="shared" si="128"/>
        <v>0</v>
      </c>
      <c r="AX279" s="1169">
        <f t="shared" si="129"/>
        <v>0</v>
      </c>
      <c r="AY279" s="1433">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69">
        <f t="shared" si="123"/>
        <v>0</v>
      </c>
      <c r="F280" s="1661"/>
      <c r="G280" s="4303">
        <f t="shared" si="124"/>
        <v>0</v>
      </c>
      <c r="H280" s="3455">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69">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69">
        <f t="shared" si="127"/>
        <v>0</v>
      </c>
      <c r="AW280" s="1169">
        <f t="shared" si="128"/>
        <v>0</v>
      </c>
      <c r="AX280" s="1169">
        <f t="shared" si="129"/>
        <v>0</v>
      </c>
      <c r="AY280" s="1433">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69">
        <f t="shared" si="123"/>
        <v>0</v>
      </c>
      <c r="F281" s="1661"/>
      <c r="G281" s="4303">
        <f t="shared" si="124"/>
        <v>0</v>
      </c>
      <c r="H281" s="3455">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69">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69">
        <f t="shared" si="127"/>
        <v>0</v>
      </c>
      <c r="AW281" s="1169">
        <f t="shared" si="128"/>
        <v>0</v>
      </c>
      <c r="AX281" s="1169">
        <f t="shared" si="129"/>
        <v>0</v>
      </c>
      <c r="AY281" s="1433">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69">
        <f t="shared" si="123"/>
        <v>0</v>
      </c>
      <c r="F282" s="1661"/>
      <c r="G282" s="4303">
        <f t="shared" si="124"/>
        <v>0</v>
      </c>
      <c r="H282" s="3455">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69">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69">
        <f t="shared" si="127"/>
        <v>0</v>
      </c>
      <c r="AW282" s="1169">
        <f t="shared" si="128"/>
        <v>0</v>
      </c>
      <c r="AX282" s="1169">
        <f t="shared" si="129"/>
        <v>0</v>
      </c>
      <c r="AY282" s="1433">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69">
        <f t="shared" si="123"/>
        <v>0</v>
      </c>
      <c r="F283" s="1661"/>
      <c r="G283" s="4303">
        <f t="shared" si="124"/>
        <v>0</v>
      </c>
      <c r="H283" s="3455">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69">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69">
        <f t="shared" si="127"/>
        <v>0</v>
      </c>
      <c r="AW283" s="1169">
        <f t="shared" si="128"/>
        <v>0</v>
      </c>
      <c r="AX283" s="1169">
        <f t="shared" si="129"/>
        <v>0</v>
      </c>
      <c r="AY283" s="1433">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69">
        <f t="shared" si="123"/>
        <v>0</v>
      </c>
      <c r="F284" s="1661"/>
      <c r="G284" s="4303">
        <f t="shared" si="124"/>
        <v>0</v>
      </c>
      <c r="H284" s="3455">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69">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69">
        <f t="shared" si="127"/>
        <v>0</v>
      </c>
      <c r="AW284" s="1169">
        <f t="shared" si="128"/>
        <v>0</v>
      </c>
      <c r="AX284" s="1169">
        <f t="shared" si="129"/>
        <v>0</v>
      </c>
      <c r="AY284" s="1433">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69">
        <f t="shared" si="123"/>
        <v>0</v>
      </c>
      <c r="F285" s="1661"/>
      <c r="G285" s="4303">
        <f t="shared" si="124"/>
        <v>0</v>
      </c>
      <c r="H285" s="3455">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69">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69">
        <f t="shared" si="127"/>
        <v>0</v>
      </c>
      <c r="AW285" s="1169">
        <f t="shared" si="128"/>
        <v>0</v>
      </c>
      <c r="AX285" s="1169">
        <f t="shared" si="129"/>
        <v>0</v>
      </c>
      <c r="AY285" s="1433">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69">
        <f t="shared" si="123"/>
        <v>0</v>
      </c>
      <c r="F286" s="1661"/>
      <c r="G286" s="4303">
        <f t="shared" si="124"/>
        <v>0</v>
      </c>
      <c r="H286" s="3455">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69">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69">
        <f t="shared" si="127"/>
        <v>0</v>
      </c>
      <c r="AW286" s="1169">
        <f t="shared" si="128"/>
        <v>0</v>
      </c>
      <c r="AX286" s="1169">
        <f t="shared" si="129"/>
        <v>0</v>
      </c>
      <c r="AY286" s="1433">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69">
        <f t="shared" si="123"/>
        <v>0</v>
      </c>
      <c r="F287" s="1661"/>
      <c r="G287" s="4303">
        <f t="shared" si="124"/>
        <v>0</v>
      </c>
      <c r="H287" s="3455">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69">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69">
        <f t="shared" si="127"/>
        <v>0</v>
      </c>
      <c r="AW287" s="1169">
        <f t="shared" si="128"/>
        <v>0</v>
      </c>
      <c r="AX287" s="1169">
        <f t="shared" si="129"/>
        <v>0</v>
      </c>
      <c r="AY287" s="1433">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69">
        <f t="shared" si="123"/>
        <v>0</v>
      </c>
      <c r="F288" s="1661"/>
      <c r="G288" s="4303">
        <f t="shared" si="124"/>
        <v>0</v>
      </c>
      <c r="H288" s="3455">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69">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69">
        <f t="shared" si="127"/>
        <v>0</v>
      </c>
      <c r="AW288" s="1169">
        <f t="shared" si="128"/>
        <v>0</v>
      </c>
      <c r="AX288" s="1169">
        <f t="shared" si="129"/>
        <v>0</v>
      </c>
      <c r="AY288" s="1433">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69">
        <f t="shared" si="123"/>
        <v>0</v>
      </c>
      <c r="F289" s="1661"/>
      <c r="G289" s="4303">
        <f t="shared" si="124"/>
        <v>0</v>
      </c>
      <c r="H289" s="3455">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69">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69">
        <f t="shared" si="127"/>
        <v>0</v>
      </c>
      <c r="AW289" s="1169">
        <f t="shared" si="128"/>
        <v>0</v>
      </c>
      <c r="AX289" s="1169">
        <f t="shared" si="129"/>
        <v>0</v>
      </c>
      <c r="AY289" s="1433">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69">
        <f t="shared" si="123"/>
        <v>0</v>
      </c>
      <c r="F290" s="1661"/>
      <c r="G290" s="4303">
        <f t="shared" si="124"/>
        <v>0</v>
      </c>
      <c r="H290" s="3455">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69">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69">
        <f t="shared" si="127"/>
        <v>0</v>
      </c>
      <c r="AW290" s="1169">
        <f t="shared" si="128"/>
        <v>0</v>
      </c>
      <c r="AX290" s="1169">
        <f t="shared" si="129"/>
        <v>0</v>
      </c>
      <c r="AY290" s="1433">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69">
        <f t="shared" si="123"/>
        <v>0</v>
      </c>
      <c r="F291" s="1661"/>
      <c r="G291" s="4303">
        <f t="shared" si="124"/>
        <v>0</v>
      </c>
      <c r="H291" s="3455">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69">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69">
        <f t="shared" si="127"/>
        <v>0</v>
      </c>
      <c r="AW291" s="1169">
        <f t="shared" si="128"/>
        <v>0</v>
      </c>
      <c r="AX291" s="1169">
        <f t="shared" si="129"/>
        <v>0</v>
      </c>
      <c r="AY291" s="1433">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69">
        <f t="shared" si="123"/>
        <v>0</v>
      </c>
      <c r="F292" s="1661"/>
      <c r="G292" s="4303">
        <f t="shared" si="124"/>
        <v>0</v>
      </c>
      <c r="H292" s="3455">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69">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69">
        <f t="shared" si="127"/>
        <v>0</v>
      </c>
      <c r="AW292" s="1169">
        <f t="shared" si="128"/>
        <v>0</v>
      </c>
      <c r="AX292" s="1169">
        <f t="shared" si="129"/>
        <v>0</v>
      </c>
      <c r="AY292" s="1433">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69">
        <f t="shared" si="123"/>
        <v>0</v>
      </c>
      <c r="F293" s="1661"/>
      <c r="G293" s="4303">
        <f t="shared" si="124"/>
        <v>0</v>
      </c>
      <c r="H293" s="3455">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69">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69">
        <f t="shared" si="127"/>
        <v>0</v>
      </c>
      <c r="AW293" s="1169">
        <f t="shared" si="128"/>
        <v>0</v>
      </c>
      <c r="AX293" s="1169">
        <f t="shared" si="129"/>
        <v>0</v>
      </c>
      <c r="AY293" s="1433">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69">
        <f t="shared" si="123"/>
        <v>0</v>
      </c>
      <c r="F294" s="1661"/>
      <c r="G294" s="4303">
        <f t="shared" si="124"/>
        <v>0</v>
      </c>
      <c r="H294" s="3455">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69">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69">
        <f t="shared" si="127"/>
        <v>0</v>
      </c>
      <c r="AW294" s="1169">
        <f t="shared" si="128"/>
        <v>0</v>
      </c>
      <c r="AX294" s="1169">
        <f t="shared" si="129"/>
        <v>0</v>
      </c>
      <c r="AY294" s="1433">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69">
        <f t="shared" si="123"/>
        <v>0</v>
      </c>
      <c r="F295" s="1661"/>
      <c r="G295" s="4303">
        <f t="shared" si="124"/>
        <v>0</v>
      </c>
      <c r="H295" s="3455">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69">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69">
        <f t="shared" si="127"/>
        <v>0</v>
      </c>
      <c r="AW295" s="1169">
        <f t="shared" si="128"/>
        <v>0</v>
      </c>
      <c r="AX295" s="1169">
        <f t="shared" si="129"/>
        <v>0</v>
      </c>
      <c r="AY295" s="1433">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69">
        <f t="shared" si="123"/>
        <v>0</v>
      </c>
      <c r="F296" s="1661"/>
      <c r="G296" s="4303">
        <f t="shared" si="124"/>
        <v>0</v>
      </c>
      <c r="H296" s="3455">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69">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69">
        <f t="shared" si="127"/>
        <v>0</v>
      </c>
      <c r="AW296" s="1169">
        <f t="shared" si="128"/>
        <v>0</v>
      </c>
      <c r="AX296" s="1169">
        <f t="shared" si="129"/>
        <v>0</v>
      </c>
      <c r="AY296" s="1433">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69">
        <f t="shared" si="123"/>
        <v>0</v>
      </c>
      <c r="F297" s="1661"/>
      <c r="G297" s="4303">
        <f t="shared" si="124"/>
        <v>0</v>
      </c>
      <c r="H297" s="3455">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69">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69">
        <f t="shared" si="127"/>
        <v>0</v>
      </c>
      <c r="AW297" s="1169">
        <f t="shared" si="128"/>
        <v>0</v>
      </c>
      <c r="AX297" s="1169">
        <f t="shared" si="129"/>
        <v>0</v>
      </c>
      <c r="AY297" s="1433">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69">
        <f t="shared" si="123"/>
        <v>0</v>
      </c>
      <c r="F298" s="1661"/>
      <c r="G298" s="4303">
        <f t="shared" si="124"/>
        <v>0</v>
      </c>
      <c r="H298" s="3455">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69">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69">
        <f t="shared" si="127"/>
        <v>0</v>
      </c>
      <c r="AW298" s="1169">
        <f t="shared" si="128"/>
        <v>0</v>
      </c>
      <c r="AX298" s="1169">
        <f t="shared" si="129"/>
        <v>0</v>
      </c>
      <c r="AY298" s="1433">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69">
        <f t="shared" si="123"/>
        <v>0</v>
      </c>
      <c r="F299" s="1661"/>
      <c r="G299" s="4303">
        <f t="shared" si="124"/>
        <v>0</v>
      </c>
      <c r="H299" s="3455">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69">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69">
        <f t="shared" si="127"/>
        <v>0</v>
      </c>
      <c r="AW299" s="1169">
        <f t="shared" si="128"/>
        <v>0</v>
      </c>
      <c r="AX299" s="1169">
        <f t="shared" si="129"/>
        <v>0</v>
      </c>
      <c r="AY299" s="1433">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69">
        <f t="shared" si="123"/>
        <v>0</v>
      </c>
      <c r="F300" s="1648"/>
      <c r="G300" s="4303">
        <f t="shared" ref="G300:G331" si="152">H300+AC300+AT300</f>
        <v>0</v>
      </c>
      <c r="H300" s="3455">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69">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69">
        <f t="shared" si="127"/>
        <v>0</v>
      </c>
      <c r="AW300" s="1169">
        <f t="shared" si="128"/>
        <v>0</v>
      </c>
      <c r="AX300" s="1169">
        <f t="shared" si="129"/>
        <v>0</v>
      </c>
      <c r="AY300" s="1433">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69">
        <f t="shared" si="123"/>
        <v>0</v>
      </c>
      <c r="F301" s="1648"/>
      <c r="G301" s="4303">
        <f t="shared" si="152"/>
        <v>0</v>
      </c>
      <c r="H301" s="3455">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69">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69">
        <f t="shared" si="127"/>
        <v>0</v>
      </c>
      <c r="AW301" s="1169">
        <f t="shared" si="128"/>
        <v>0</v>
      </c>
      <c r="AX301" s="1169">
        <f t="shared" si="129"/>
        <v>0</v>
      </c>
      <c r="AY301" s="1433">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69">
        <f t="shared" si="123"/>
        <v>0</v>
      </c>
      <c r="F302" s="1648"/>
      <c r="G302" s="4303">
        <f t="shared" si="152"/>
        <v>0</v>
      </c>
      <c r="H302" s="3455">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69">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69">
        <f t="shared" si="127"/>
        <v>0</v>
      </c>
      <c r="AW302" s="1169">
        <f t="shared" si="128"/>
        <v>0</v>
      </c>
      <c r="AX302" s="1169">
        <f t="shared" si="129"/>
        <v>0</v>
      </c>
      <c r="AY302" s="1433">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69">
        <f t="shared" ref="E303:E334" si="177">IF($C$3="是",ROUND($A$3*G303/$B$3,2),ROUND($A$3*(G303-AT303)/$B$3,2))</f>
        <v>0</v>
      </c>
      <c r="F303" s="1661"/>
      <c r="G303" s="4303">
        <f t="shared" si="152"/>
        <v>0</v>
      </c>
      <c r="H303" s="3455">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69">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69">
        <f t="shared" ref="AV303:AV334" si="178">A303</f>
        <v>0</v>
      </c>
      <c r="AW303" s="1169">
        <f t="shared" ref="AW303:AW334" si="179">B303</f>
        <v>0</v>
      </c>
      <c r="AX303" s="1169">
        <f t="shared" ref="AX303:AX334" si="180">C303</f>
        <v>0</v>
      </c>
      <c r="AY303" s="1433">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69">
        <f t="shared" si="177"/>
        <v>0</v>
      </c>
      <c r="F304" s="1661"/>
      <c r="G304" s="4303">
        <f t="shared" si="152"/>
        <v>0</v>
      </c>
      <c r="H304" s="3455">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69">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69">
        <f t="shared" si="178"/>
        <v>0</v>
      </c>
      <c r="AW304" s="1169">
        <f t="shared" si="179"/>
        <v>0</v>
      </c>
      <c r="AX304" s="1169">
        <f t="shared" si="180"/>
        <v>0</v>
      </c>
      <c r="AY304" s="1433">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69">
        <f t="shared" si="177"/>
        <v>0</v>
      </c>
      <c r="F305" s="1661"/>
      <c r="G305" s="4303">
        <f t="shared" si="152"/>
        <v>0</v>
      </c>
      <c r="H305" s="3455">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69">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69">
        <f t="shared" si="178"/>
        <v>0</v>
      </c>
      <c r="AW305" s="1169">
        <f t="shared" si="179"/>
        <v>0</v>
      </c>
      <c r="AX305" s="1169">
        <f t="shared" si="180"/>
        <v>0</v>
      </c>
      <c r="AY305" s="1433">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69">
        <f t="shared" si="177"/>
        <v>0</v>
      </c>
      <c r="F306" s="1661"/>
      <c r="G306" s="4303">
        <f t="shared" si="152"/>
        <v>0</v>
      </c>
      <c r="H306" s="3455">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69">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69">
        <f t="shared" si="178"/>
        <v>0</v>
      </c>
      <c r="AW306" s="1169">
        <f t="shared" si="179"/>
        <v>0</v>
      </c>
      <c r="AX306" s="1169">
        <f t="shared" si="180"/>
        <v>0</v>
      </c>
      <c r="AY306" s="1433">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69">
        <f t="shared" si="177"/>
        <v>0</v>
      </c>
      <c r="F307" s="1661"/>
      <c r="G307" s="4303">
        <f t="shared" si="152"/>
        <v>0</v>
      </c>
      <c r="H307" s="3455">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69">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69">
        <f t="shared" si="178"/>
        <v>0</v>
      </c>
      <c r="AW307" s="1169">
        <f t="shared" si="179"/>
        <v>0</v>
      </c>
      <c r="AX307" s="1169">
        <f t="shared" si="180"/>
        <v>0</v>
      </c>
      <c r="AY307" s="1433">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69">
        <f t="shared" si="177"/>
        <v>0</v>
      </c>
      <c r="F308" s="1661"/>
      <c r="G308" s="4303">
        <f t="shared" si="152"/>
        <v>0</v>
      </c>
      <c r="H308" s="3455">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69">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69">
        <f t="shared" si="178"/>
        <v>0</v>
      </c>
      <c r="AW308" s="1169">
        <f t="shared" si="179"/>
        <v>0</v>
      </c>
      <c r="AX308" s="1169">
        <f t="shared" si="180"/>
        <v>0</v>
      </c>
      <c r="AY308" s="1433">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69">
        <f t="shared" si="177"/>
        <v>0</v>
      </c>
      <c r="F309" s="1661"/>
      <c r="G309" s="4303">
        <f t="shared" si="152"/>
        <v>0</v>
      </c>
      <c r="H309" s="3455">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69">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69">
        <f t="shared" si="178"/>
        <v>0</v>
      </c>
      <c r="AW309" s="1169">
        <f t="shared" si="179"/>
        <v>0</v>
      </c>
      <c r="AX309" s="1169">
        <f t="shared" si="180"/>
        <v>0</v>
      </c>
      <c r="AY309" s="1433">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69">
        <f t="shared" si="177"/>
        <v>0</v>
      </c>
      <c r="F310" s="1661"/>
      <c r="G310" s="4303">
        <f t="shared" si="152"/>
        <v>0</v>
      </c>
      <c r="H310" s="3455">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69">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69">
        <f t="shared" si="178"/>
        <v>0</v>
      </c>
      <c r="AW310" s="1169">
        <f t="shared" si="179"/>
        <v>0</v>
      </c>
      <c r="AX310" s="1169">
        <f t="shared" si="180"/>
        <v>0</v>
      </c>
      <c r="AY310" s="1433">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69">
        <f t="shared" si="177"/>
        <v>0</v>
      </c>
      <c r="F311" s="1661"/>
      <c r="G311" s="4303">
        <f t="shared" si="152"/>
        <v>0</v>
      </c>
      <c r="H311" s="3455">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69">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69">
        <f t="shared" si="178"/>
        <v>0</v>
      </c>
      <c r="AW311" s="1169">
        <f t="shared" si="179"/>
        <v>0</v>
      </c>
      <c r="AX311" s="1169">
        <f t="shared" si="180"/>
        <v>0</v>
      </c>
      <c r="AY311" s="1433">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69">
        <f t="shared" si="177"/>
        <v>0</v>
      </c>
      <c r="F312" s="1661"/>
      <c r="G312" s="4303">
        <f t="shared" si="152"/>
        <v>0</v>
      </c>
      <c r="H312" s="3455">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69">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69">
        <f t="shared" si="178"/>
        <v>0</v>
      </c>
      <c r="AW312" s="1169">
        <f t="shared" si="179"/>
        <v>0</v>
      </c>
      <c r="AX312" s="1169">
        <f t="shared" si="180"/>
        <v>0</v>
      </c>
      <c r="AY312" s="1433">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69">
        <f t="shared" si="177"/>
        <v>0</v>
      </c>
      <c r="F313" s="1661"/>
      <c r="G313" s="4303">
        <f t="shared" si="152"/>
        <v>0</v>
      </c>
      <c r="H313" s="3455">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69">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69">
        <f t="shared" si="178"/>
        <v>0</v>
      </c>
      <c r="AW313" s="1169">
        <f t="shared" si="179"/>
        <v>0</v>
      </c>
      <c r="AX313" s="1169">
        <f t="shared" si="180"/>
        <v>0</v>
      </c>
      <c r="AY313" s="1433">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69">
        <f t="shared" si="177"/>
        <v>0</v>
      </c>
      <c r="F314" s="1661"/>
      <c r="G314" s="4303">
        <f t="shared" si="152"/>
        <v>0</v>
      </c>
      <c r="H314" s="3455">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69">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69">
        <f t="shared" si="178"/>
        <v>0</v>
      </c>
      <c r="AW314" s="1169">
        <f t="shared" si="179"/>
        <v>0</v>
      </c>
      <c r="AX314" s="1169">
        <f t="shared" si="180"/>
        <v>0</v>
      </c>
      <c r="AY314" s="1433">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69">
        <f t="shared" si="177"/>
        <v>0</v>
      </c>
      <c r="F315" s="1661"/>
      <c r="G315" s="4303">
        <f t="shared" si="152"/>
        <v>0</v>
      </c>
      <c r="H315" s="3455">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69">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69">
        <f t="shared" si="178"/>
        <v>0</v>
      </c>
      <c r="AW315" s="1169">
        <f t="shared" si="179"/>
        <v>0</v>
      </c>
      <c r="AX315" s="1169">
        <f t="shared" si="180"/>
        <v>0</v>
      </c>
      <c r="AY315" s="1433">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69">
        <f t="shared" si="177"/>
        <v>0</v>
      </c>
      <c r="F316" s="1661"/>
      <c r="G316" s="4303">
        <f t="shared" si="152"/>
        <v>0</v>
      </c>
      <c r="H316" s="3455">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69">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69">
        <f t="shared" si="178"/>
        <v>0</v>
      </c>
      <c r="AW316" s="1169">
        <f t="shared" si="179"/>
        <v>0</v>
      </c>
      <c r="AX316" s="1169">
        <f t="shared" si="180"/>
        <v>0</v>
      </c>
      <c r="AY316" s="1433">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69">
        <f t="shared" si="177"/>
        <v>0</v>
      </c>
      <c r="F317" s="1661"/>
      <c r="G317" s="4303">
        <f t="shared" si="152"/>
        <v>0</v>
      </c>
      <c r="H317" s="3455">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69">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69">
        <f t="shared" si="178"/>
        <v>0</v>
      </c>
      <c r="AW317" s="1169">
        <f t="shared" si="179"/>
        <v>0</v>
      </c>
      <c r="AX317" s="1169">
        <f t="shared" si="180"/>
        <v>0</v>
      </c>
      <c r="AY317" s="1433">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69">
        <f t="shared" si="177"/>
        <v>0</v>
      </c>
      <c r="F318" s="1661"/>
      <c r="G318" s="4303">
        <f t="shared" si="152"/>
        <v>0</v>
      </c>
      <c r="H318" s="3455">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69">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69">
        <f t="shared" si="178"/>
        <v>0</v>
      </c>
      <c r="AW318" s="1169">
        <f t="shared" si="179"/>
        <v>0</v>
      </c>
      <c r="AX318" s="1169">
        <f t="shared" si="180"/>
        <v>0</v>
      </c>
      <c r="AY318" s="1433">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69">
        <f t="shared" si="177"/>
        <v>0</v>
      </c>
      <c r="F319" s="1661"/>
      <c r="G319" s="4303">
        <f t="shared" si="152"/>
        <v>0</v>
      </c>
      <c r="H319" s="3455">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69">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69">
        <f t="shared" si="178"/>
        <v>0</v>
      </c>
      <c r="AW319" s="1169">
        <f t="shared" si="179"/>
        <v>0</v>
      </c>
      <c r="AX319" s="1169">
        <f t="shared" si="180"/>
        <v>0</v>
      </c>
      <c r="AY319" s="1433">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69">
        <f t="shared" si="177"/>
        <v>0</v>
      </c>
      <c r="F320" s="1661"/>
      <c r="G320" s="4303">
        <f t="shared" si="152"/>
        <v>0</v>
      </c>
      <c r="H320" s="3455">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69">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69">
        <f t="shared" si="178"/>
        <v>0</v>
      </c>
      <c r="AW320" s="1169">
        <f t="shared" si="179"/>
        <v>0</v>
      </c>
      <c r="AX320" s="1169">
        <f t="shared" si="180"/>
        <v>0</v>
      </c>
      <c r="AY320" s="1433">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69">
        <f t="shared" si="177"/>
        <v>0</v>
      </c>
      <c r="F321" s="1661"/>
      <c r="G321" s="4303">
        <f t="shared" si="152"/>
        <v>0</v>
      </c>
      <c r="H321" s="3455">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69">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69">
        <f t="shared" si="178"/>
        <v>0</v>
      </c>
      <c r="AW321" s="1169">
        <f t="shared" si="179"/>
        <v>0</v>
      </c>
      <c r="AX321" s="1169">
        <f t="shared" si="180"/>
        <v>0</v>
      </c>
      <c r="AY321" s="1433">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69">
        <f t="shared" si="177"/>
        <v>0</v>
      </c>
      <c r="F322" s="1661"/>
      <c r="G322" s="4303">
        <f t="shared" si="152"/>
        <v>0</v>
      </c>
      <c r="H322" s="3455">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69">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69">
        <f t="shared" si="178"/>
        <v>0</v>
      </c>
      <c r="AW322" s="1169">
        <f t="shared" si="179"/>
        <v>0</v>
      </c>
      <c r="AX322" s="1169">
        <f t="shared" si="180"/>
        <v>0</v>
      </c>
      <c r="AY322" s="1433">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69">
        <f t="shared" si="177"/>
        <v>0</v>
      </c>
      <c r="F323" s="1661"/>
      <c r="G323" s="4303">
        <f t="shared" si="152"/>
        <v>0</v>
      </c>
      <c r="H323" s="3455">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69">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69">
        <f t="shared" si="178"/>
        <v>0</v>
      </c>
      <c r="AW323" s="1169">
        <f t="shared" si="179"/>
        <v>0</v>
      </c>
      <c r="AX323" s="1169">
        <f t="shared" si="180"/>
        <v>0</v>
      </c>
      <c r="AY323" s="1433">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69">
        <f t="shared" si="177"/>
        <v>0</v>
      </c>
      <c r="F324" s="1661"/>
      <c r="G324" s="4303">
        <f t="shared" si="152"/>
        <v>0</v>
      </c>
      <c r="H324" s="3455">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69">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69">
        <f t="shared" si="178"/>
        <v>0</v>
      </c>
      <c r="AW324" s="1169">
        <f t="shared" si="179"/>
        <v>0</v>
      </c>
      <c r="AX324" s="1169">
        <f t="shared" si="180"/>
        <v>0</v>
      </c>
      <c r="AY324" s="1433">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69">
        <f t="shared" si="177"/>
        <v>0</v>
      </c>
      <c r="F325" s="1661"/>
      <c r="G325" s="4303">
        <f t="shared" si="152"/>
        <v>0</v>
      </c>
      <c r="H325" s="3455">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69">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69">
        <f t="shared" si="178"/>
        <v>0</v>
      </c>
      <c r="AW325" s="1169">
        <f t="shared" si="179"/>
        <v>0</v>
      </c>
      <c r="AX325" s="1169">
        <f t="shared" si="180"/>
        <v>0</v>
      </c>
      <c r="AY325" s="1433">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69">
        <f t="shared" si="177"/>
        <v>0</v>
      </c>
      <c r="F326" s="1661"/>
      <c r="G326" s="4303">
        <f t="shared" si="152"/>
        <v>0</v>
      </c>
      <c r="H326" s="3455">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69">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69">
        <f t="shared" si="178"/>
        <v>0</v>
      </c>
      <c r="AW326" s="1169">
        <f t="shared" si="179"/>
        <v>0</v>
      </c>
      <c r="AX326" s="1169">
        <f t="shared" si="180"/>
        <v>0</v>
      </c>
      <c r="AY326" s="1433">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69">
        <f t="shared" si="177"/>
        <v>0</v>
      </c>
      <c r="F327" s="1661"/>
      <c r="G327" s="4303">
        <f t="shared" si="152"/>
        <v>0</v>
      </c>
      <c r="H327" s="3455">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69">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69">
        <f t="shared" si="178"/>
        <v>0</v>
      </c>
      <c r="AW327" s="1169">
        <f t="shared" si="179"/>
        <v>0</v>
      </c>
      <c r="AX327" s="1169">
        <f t="shared" si="180"/>
        <v>0</v>
      </c>
      <c r="AY327" s="1433">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69">
        <f t="shared" si="177"/>
        <v>0</v>
      </c>
      <c r="F328" s="1661"/>
      <c r="G328" s="4303">
        <f t="shared" si="152"/>
        <v>0</v>
      </c>
      <c r="H328" s="3455">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69">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69">
        <f t="shared" si="178"/>
        <v>0</v>
      </c>
      <c r="AW328" s="1169">
        <f t="shared" si="179"/>
        <v>0</v>
      </c>
      <c r="AX328" s="1169">
        <f t="shared" si="180"/>
        <v>0</v>
      </c>
      <c r="AY328" s="1433">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69">
        <f t="shared" si="177"/>
        <v>0</v>
      </c>
      <c r="F329" s="1661"/>
      <c r="G329" s="4303">
        <f t="shared" si="152"/>
        <v>0</v>
      </c>
      <c r="H329" s="3455">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69">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69">
        <f t="shared" si="178"/>
        <v>0</v>
      </c>
      <c r="AW329" s="1169">
        <f t="shared" si="179"/>
        <v>0</v>
      </c>
      <c r="AX329" s="1169">
        <f t="shared" si="180"/>
        <v>0</v>
      </c>
      <c r="AY329" s="1433">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69">
        <f t="shared" si="177"/>
        <v>0</v>
      </c>
      <c r="F330" s="1661"/>
      <c r="G330" s="4303">
        <f t="shared" si="152"/>
        <v>0</v>
      </c>
      <c r="H330" s="3455">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69">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69">
        <f t="shared" si="178"/>
        <v>0</v>
      </c>
      <c r="AW330" s="1169">
        <f t="shared" si="179"/>
        <v>0</v>
      </c>
      <c r="AX330" s="1169">
        <f t="shared" si="180"/>
        <v>0</v>
      </c>
      <c r="AY330" s="1433">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69">
        <f t="shared" si="177"/>
        <v>0</v>
      </c>
      <c r="F331" s="1661"/>
      <c r="G331" s="4303">
        <f t="shared" si="152"/>
        <v>0</v>
      </c>
      <c r="H331" s="3455">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69">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69">
        <f t="shared" si="178"/>
        <v>0</v>
      </c>
      <c r="AW331" s="1169">
        <f t="shared" si="179"/>
        <v>0</v>
      </c>
      <c r="AX331" s="1169">
        <f t="shared" si="180"/>
        <v>0</v>
      </c>
      <c r="AY331" s="1433">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69">
        <f t="shared" si="177"/>
        <v>0</v>
      </c>
      <c r="F332" s="1661"/>
      <c r="G332" s="4303">
        <f t="shared" ref="G332:G363" si="181">H332+AC332+AT332</f>
        <v>0</v>
      </c>
      <c r="H332" s="3455">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69">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69">
        <f t="shared" si="178"/>
        <v>0</v>
      </c>
      <c r="AW332" s="1169">
        <f t="shared" si="179"/>
        <v>0</v>
      </c>
      <c r="AX332" s="1169">
        <f t="shared" si="180"/>
        <v>0</v>
      </c>
      <c r="AY332" s="1433">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69">
        <f t="shared" si="177"/>
        <v>0</v>
      </c>
      <c r="F333" s="1661"/>
      <c r="G333" s="4303">
        <f t="shared" si="181"/>
        <v>0</v>
      </c>
      <c r="H333" s="3455">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69">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69">
        <f t="shared" si="178"/>
        <v>0</v>
      </c>
      <c r="AW333" s="1169">
        <f t="shared" si="179"/>
        <v>0</v>
      </c>
      <c r="AX333" s="1169">
        <f t="shared" si="180"/>
        <v>0</v>
      </c>
      <c r="AY333" s="1433">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69">
        <f t="shared" si="177"/>
        <v>0</v>
      </c>
      <c r="F334" s="1661"/>
      <c r="G334" s="4303">
        <f t="shared" si="181"/>
        <v>0</v>
      </c>
      <c r="H334" s="3455">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69">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69">
        <f t="shared" si="178"/>
        <v>0</v>
      </c>
      <c r="AW334" s="1169">
        <f t="shared" si="179"/>
        <v>0</v>
      </c>
      <c r="AX334" s="1169">
        <f t="shared" si="180"/>
        <v>0</v>
      </c>
      <c r="AY334" s="1433">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69">
        <f t="shared" ref="E335:E366" si="206">IF($C$3="是",ROUND($A$3*G335/$B$3,2),ROUND($A$3*(G335-AT335)/$B$3,2))</f>
        <v>0</v>
      </c>
      <c r="F335" s="1661"/>
      <c r="G335" s="4303">
        <f t="shared" si="181"/>
        <v>0</v>
      </c>
      <c r="H335" s="3455">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69">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69">
        <f t="shared" ref="AV335:AV366" si="207">A335</f>
        <v>0</v>
      </c>
      <c r="AW335" s="1169">
        <f t="shared" ref="AW335:AW366" si="208">B335</f>
        <v>0</v>
      </c>
      <c r="AX335" s="1169">
        <f t="shared" ref="AX335:AX366" si="209">C335</f>
        <v>0</v>
      </c>
      <c r="AY335" s="1433">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69">
        <f t="shared" si="206"/>
        <v>0</v>
      </c>
      <c r="F336" s="1661"/>
      <c r="G336" s="4303">
        <f t="shared" si="181"/>
        <v>0</v>
      </c>
      <c r="H336" s="3455">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69">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69">
        <f t="shared" si="207"/>
        <v>0</v>
      </c>
      <c r="AW336" s="1169">
        <f t="shared" si="208"/>
        <v>0</v>
      </c>
      <c r="AX336" s="1169">
        <f t="shared" si="209"/>
        <v>0</v>
      </c>
      <c r="AY336" s="1433">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69">
        <f t="shared" si="206"/>
        <v>0</v>
      </c>
      <c r="F337" s="1661"/>
      <c r="G337" s="4303">
        <f t="shared" si="181"/>
        <v>0</v>
      </c>
      <c r="H337" s="3455">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69">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69">
        <f t="shared" si="207"/>
        <v>0</v>
      </c>
      <c r="AW337" s="1169">
        <f t="shared" si="208"/>
        <v>0</v>
      </c>
      <c r="AX337" s="1169">
        <f t="shared" si="209"/>
        <v>0</v>
      </c>
      <c r="AY337" s="1433">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69">
        <f t="shared" si="206"/>
        <v>0</v>
      </c>
      <c r="F338" s="1661"/>
      <c r="G338" s="4303">
        <f t="shared" si="181"/>
        <v>0</v>
      </c>
      <c r="H338" s="3455">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69">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69">
        <f t="shared" si="207"/>
        <v>0</v>
      </c>
      <c r="AW338" s="1169">
        <f t="shared" si="208"/>
        <v>0</v>
      </c>
      <c r="AX338" s="1169">
        <f t="shared" si="209"/>
        <v>0</v>
      </c>
      <c r="AY338" s="1433">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69">
        <f t="shared" si="206"/>
        <v>0</v>
      </c>
      <c r="F339" s="1661"/>
      <c r="G339" s="4303">
        <f t="shared" si="181"/>
        <v>0</v>
      </c>
      <c r="H339" s="3455">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69">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69">
        <f t="shared" si="207"/>
        <v>0</v>
      </c>
      <c r="AW339" s="1169">
        <f t="shared" si="208"/>
        <v>0</v>
      </c>
      <c r="AX339" s="1169">
        <f t="shared" si="209"/>
        <v>0</v>
      </c>
      <c r="AY339" s="1433">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69">
        <f t="shared" si="206"/>
        <v>0</v>
      </c>
      <c r="F340" s="1661"/>
      <c r="G340" s="4303">
        <f t="shared" si="181"/>
        <v>0</v>
      </c>
      <c r="H340" s="3455">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69">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69">
        <f t="shared" si="207"/>
        <v>0</v>
      </c>
      <c r="AW340" s="1169">
        <f t="shared" si="208"/>
        <v>0</v>
      </c>
      <c r="AX340" s="1169">
        <f t="shared" si="209"/>
        <v>0</v>
      </c>
      <c r="AY340" s="1433">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69">
        <f t="shared" si="206"/>
        <v>0</v>
      </c>
      <c r="F341" s="1661"/>
      <c r="G341" s="4303">
        <f t="shared" si="181"/>
        <v>0</v>
      </c>
      <c r="H341" s="3455">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69">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69">
        <f t="shared" si="207"/>
        <v>0</v>
      </c>
      <c r="AW341" s="1169">
        <f t="shared" si="208"/>
        <v>0</v>
      </c>
      <c r="AX341" s="1169">
        <f t="shared" si="209"/>
        <v>0</v>
      </c>
      <c r="AY341" s="1433">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69">
        <f t="shared" si="206"/>
        <v>0</v>
      </c>
      <c r="F342" s="1661"/>
      <c r="G342" s="4303">
        <f t="shared" si="181"/>
        <v>0</v>
      </c>
      <c r="H342" s="3455">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69">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69">
        <f t="shared" si="207"/>
        <v>0</v>
      </c>
      <c r="AW342" s="1169">
        <f t="shared" si="208"/>
        <v>0</v>
      </c>
      <c r="AX342" s="1169">
        <f t="shared" si="209"/>
        <v>0</v>
      </c>
      <c r="AY342" s="1433">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69">
        <f t="shared" si="206"/>
        <v>0</v>
      </c>
      <c r="F343" s="1661"/>
      <c r="G343" s="4303">
        <f t="shared" si="181"/>
        <v>0</v>
      </c>
      <c r="H343" s="3455">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69">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69">
        <f t="shared" si="207"/>
        <v>0</v>
      </c>
      <c r="AW343" s="1169">
        <f t="shared" si="208"/>
        <v>0</v>
      </c>
      <c r="AX343" s="1169">
        <f t="shared" si="209"/>
        <v>0</v>
      </c>
      <c r="AY343" s="1433">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69">
        <f t="shared" si="206"/>
        <v>0</v>
      </c>
      <c r="F344" s="1661"/>
      <c r="G344" s="4303">
        <f t="shared" si="181"/>
        <v>0</v>
      </c>
      <c r="H344" s="3455">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69">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69">
        <f t="shared" si="207"/>
        <v>0</v>
      </c>
      <c r="AW344" s="1169">
        <f t="shared" si="208"/>
        <v>0</v>
      </c>
      <c r="AX344" s="1169">
        <f t="shared" si="209"/>
        <v>0</v>
      </c>
      <c r="AY344" s="1433">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69">
        <f t="shared" si="206"/>
        <v>0</v>
      </c>
      <c r="F345" s="1661"/>
      <c r="G345" s="4303">
        <f t="shared" si="181"/>
        <v>0</v>
      </c>
      <c r="H345" s="3455">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69">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69">
        <f t="shared" si="207"/>
        <v>0</v>
      </c>
      <c r="AW345" s="1169">
        <f t="shared" si="208"/>
        <v>0</v>
      </c>
      <c r="AX345" s="1169">
        <f t="shared" si="209"/>
        <v>0</v>
      </c>
      <c r="AY345" s="1433">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69">
        <f t="shared" si="206"/>
        <v>0</v>
      </c>
      <c r="F346" s="1661"/>
      <c r="G346" s="4303">
        <f t="shared" si="181"/>
        <v>0</v>
      </c>
      <c r="H346" s="3455">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69">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69">
        <f t="shared" si="207"/>
        <v>0</v>
      </c>
      <c r="AW346" s="1169">
        <f t="shared" si="208"/>
        <v>0</v>
      </c>
      <c r="AX346" s="1169">
        <f t="shared" si="209"/>
        <v>0</v>
      </c>
      <c r="AY346" s="1433">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69">
        <f t="shared" si="206"/>
        <v>0</v>
      </c>
      <c r="F347" s="1661"/>
      <c r="G347" s="4303">
        <f t="shared" si="181"/>
        <v>0</v>
      </c>
      <c r="H347" s="3455">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69">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69">
        <f t="shared" si="207"/>
        <v>0</v>
      </c>
      <c r="AW347" s="1169">
        <f t="shared" si="208"/>
        <v>0</v>
      </c>
      <c r="AX347" s="1169">
        <f t="shared" si="209"/>
        <v>0</v>
      </c>
      <c r="AY347" s="1433">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69">
        <f t="shared" si="206"/>
        <v>0</v>
      </c>
      <c r="F348" s="1661"/>
      <c r="G348" s="4303">
        <f t="shared" si="181"/>
        <v>0</v>
      </c>
      <c r="H348" s="3455">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69">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69">
        <f t="shared" si="207"/>
        <v>0</v>
      </c>
      <c r="AW348" s="1169">
        <f t="shared" si="208"/>
        <v>0</v>
      </c>
      <c r="AX348" s="1169">
        <f t="shared" si="209"/>
        <v>0</v>
      </c>
      <c r="AY348" s="1433">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69">
        <f t="shared" si="206"/>
        <v>0</v>
      </c>
      <c r="F349" s="1661"/>
      <c r="G349" s="4303">
        <f t="shared" si="181"/>
        <v>0</v>
      </c>
      <c r="H349" s="3455">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69">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69">
        <f t="shared" si="207"/>
        <v>0</v>
      </c>
      <c r="AW349" s="1169">
        <f t="shared" si="208"/>
        <v>0</v>
      </c>
      <c r="AX349" s="1169">
        <f t="shared" si="209"/>
        <v>0</v>
      </c>
      <c r="AY349" s="1433">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69">
        <f t="shared" si="206"/>
        <v>0</v>
      </c>
      <c r="F350" s="1661"/>
      <c r="G350" s="4303">
        <f t="shared" si="181"/>
        <v>0</v>
      </c>
      <c r="H350" s="3455">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69">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69">
        <f t="shared" si="207"/>
        <v>0</v>
      </c>
      <c r="AW350" s="1169">
        <f t="shared" si="208"/>
        <v>0</v>
      </c>
      <c r="AX350" s="1169">
        <f t="shared" si="209"/>
        <v>0</v>
      </c>
      <c r="AY350" s="1433">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69">
        <f t="shared" si="206"/>
        <v>0</v>
      </c>
      <c r="F351" s="1661"/>
      <c r="G351" s="4303">
        <f t="shared" si="181"/>
        <v>0</v>
      </c>
      <c r="H351" s="3455">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69">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69">
        <f t="shared" si="207"/>
        <v>0</v>
      </c>
      <c r="AW351" s="1169">
        <f t="shared" si="208"/>
        <v>0</v>
      </c>
      <c r="AX351" s="1169">
        <f t="shared" si="209"/>
        <v>0</v>
      </c>
      <c r="AY351" s="1433">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69">
        <f t="shared" si="206"/>
        <v>0</v>
      </c>
      <c r="F352" s="1661"/>
      <c r="G352" s="4303">
        <f t="shared" si="181"/>
        <v>0</v>
      </c>
      <c r="H352" s="3455">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69">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69">
        <f t="shared" si="207"/>
        <v>0</v>
      </c>
      <c r="AW352" s="1169">
        <f t="shared" si="208"/>
        <v>0</v>
      </c>
      <c r="AX352" s="1169">
        <f t="shared" si="209"/>
        <v>0</v>
      </c>
      <c r="AY352" s="1433">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69">
        <f t="shared" si="206"/>
        <v>0</v>
      </c>
      <c r="F353" s="1661"/>
      <c r="G353" s="4303">
        <f t="shared" si="181"/>
        <v>0</v>
      </c>
      <c r="H353" s="3455">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69">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69">
        <f t="shared" si="207"/>
        <v>0</v>
      </c>
      <c r="AW353" s="1169">
        <f t="shared" si="208"/>
        <v>0</v>
      </c>
      <c r="AX353" s="1169">
        <f t="shared" si="209"/>
        <v>0</v>
      </c>
      <c r="AY353" s="1433">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69">
        <f t="shared" si="206"/>
        <v>0</v>
      </c>
      <c r="F354" s="1661"/>
      <c r="G354" s="4303">
        <f t="shared" si="181"/>
        <v>0</v>
      </c>
      <c r="H354" s="3455">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69">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69">
        <f t="shared" si="207"/>
        <v>0</v>
      </c>
      <c r="AW354" s="1169">
        <f t="shared" si="208"/>
        <v>0</v>
      </c>
      <c r="AX354" s="1169">
        <f t="shared" si="209"/>
        <v>0</v>
      </c>
      <c r="AY354" s="1433">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69">
        <f t="shared" si="206"/>
        <v>0</v>
      </c>
      <c r="F355" s="1661"/>
      <c r="G355" s="4303">
        <f t="shared" si="181"/>
        <v>0</v>
      </c>
      <c r="H355" s="3455">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69">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69">
        <f t="shared" si="207"/>
        <v>0</v>
      </c>
      <c r="AW355" s="1169">
        <f t="shared" si="208"/>
        <v>0</v>
      </c>
      <c r="AX355" s="1169">
        <f t="shared" si="209"/>
        <v>0</v>
      </c>
      <c r="AY355" s="1433">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69">
        <f t="shared" si="206"/>
        <v>0</v>
      </c>
      <c r="F356" s="1661"/>
      <c r="G356" s="4303">
        <f t="shared" si="181"/>
        <v>0</v>
      </c>
      <c r="H356" s="3455">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69">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69">
        <f t="shared" si="207"/>
        <v>0</v>
      </c>
      <c r="AW356" s="1169">
        <f t="shared" si="208"/>
        <v>0</v>
      </c>
      <c r="AX356" s="1169">
        <f t="shared" si="209"/>
        <v>0</v>
      </c>
      <c r="AY356" s="1433">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69">
        <f t="shared" si="206"/>
        <v>0</v>
      </c>
      <c r="F357" s="1661"/>
      <c r="G357" s="4303">
        <f t="shared" si="181"/>
        <v>0</v>
      </c>
      <c r="H357" s="3455">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69">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69">
        <f t="shared" si="207"/>
        <v>0</v>
      </c>
      <c r="AW357" s="1169">
        <f t="shared" si="208"/>
        <v>0</v>
      </c>
      <c r="AX357" s="1169">
        <f t="shared" si="209"/>
        <v>0</v>
      </c>
      <c r="AY357" s="1433">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69">
        <f t="shared" si="206"/>
        <v>0</v>
      </c>
      <c r="F358" s="1661"/>
      <c r="G358" s="4303">
        <f t="shared" si="181"/>
        <v>0</v>
      </c>
      <c r="H358" s="3455">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69">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69">
        <f t="shared" si="207"/>
        <v>0</v>
      </c>
      <c r="AW358" s="1169">
        <f t="shared" si="208"/>
        <v>0</v>
      </c>
      <c r="AX358" s="1169">
        <f t="shared" si="209"/>
        <v>0</v>
      </c>
      <c r="AY358" s="1433">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69">
        <f t="shared" si="206"/>
        <v>0</v>
      </c>
      <c r="F359" s="1661"/>
      <c r="G359" s="4303">
        <f t="shared" si="181"/>
        <v>0</v>
      </c>
      <c r="H359" s="3455">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69">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69">
        <f t="shared" si="207"/>
        <v>0</v>
      </c>
      <c r="AW359" s="1169">
        <f t="shared" si="208"/>
        <v>0</v>
      </c>
      <c r="AX359" s="1169">
        <f t="shared" si="209"/>
        <v>0</v>
      </c>
      <c r="AY359" s="1433">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69">
        <f t="shared" si="206"/>
        <v>0</v>
      </c>
      <c r="F360" s="1661"/>
      <c r="G360" s="4303">
        <f t="shared" si="181"/>
        <v>0</v>
      </c>
      <c r="H360" s="3455">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69">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69">
        <f t="shared" si="207"/>
        <v>0</v>
      </c>
      <c r="AW360" s="1169">
        <f t="shared" si="208"/>
        <v>0</v>
      </c>
      <c r="AX360" s="1169">
        <f t="shared" si="209"/>
        <v>0</v>
      </c>
      <c r="AY360" s="1433">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69">
        <f t="shared" si="206"/>
        <v>0</v>
      </c>
      <c r="F361" s="1661"/>
      <c r="G361" s="4303">
        <f t="shared" si="181"/>
        <v>0</v>
      </c>
      <c r="H361" s="3455">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69">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69">
        <f t="shared" si="207"/>
        <v>0</v>
      </c>
      <c r="AW361" s="1169">
        <f t="shared" si="208"/>
        <v>0</v>
      </c>
      <c r="AX361" s="1169">
        <f t="shared" si="209"/>
        <v>0</v>
      </c>
      <c r="AY361" s="1433">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69">
        <f t="shared" si="206"/>
        <v>0</v>
      </c>
      <c r="F362" s="1661"/>
      <c r="G362" s="4303">
        <f t="shared" si="181"/>
        <v>0</v>
      </c>
      <c r="H362" s="3455">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69">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69">
        <f t="shared" si="207"/>
        <v>0</v>
      </c>
      <c r="AW362" s="1169">
        <f t="shared" si="208"/>
        <v>0</v>
      </c>
      <c r="AX362" s="1169">
        <f t="shared" si="209"/>
        <v>0</v>
      </c>
      <c r="AY362" s="1433">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69">
        <f t="shared" si="206"/>
        <v>0</v>
      </c>
      <c r="F363" s="1661"/>
      <c r="G363" s="4303">
        <f t="shared" si="181"/>
        <v>0</v>
      </c>
      <c r="H363" s="3455">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69">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69">
        <f t="shared" si="207"/>
        <v>0</v>
      </c>
      <c r="AW363" s="1169">
        <f t="shared" si="208"/>
        <v>0</v>
      </c>
      <c r="AX363" s="1169">
        <f t="shared" si="209"/>
        <v>0</v>
      </c>
      <c r="AY363" s="1433">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69">
        <f t="shared" si="206"/>
        <v>0</v>
      </c>
      <c r="F364" s="1661"/>
      <c r="G364" s="4303">
        <f t="shared" ref="G364:G397" si="210">H364+AC364+AT364</f>
        <v>0</v>
      </c>
      <c r="H364" s="3455">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69">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69">
        <f t="shared" si="207"/>
        <v>0</v>
      </c>
      <c r="AW364" s="1169">
        <f t="shared" si="208"/>
        <v>0</v>
      </c>
      <c r="AX364" s="1169">
        <f t="shared" si="209"/>
        <v>0</v>
      </c>
      <c r="AY364" s="1433">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69">
        <f t="shared" si="206"/>
        <v>0</v>
      </c>
      <c r="F365" s="1661"/>
      <c r="G365" s="4303">
        <f t="shared" si="210"/>
        <v>0</v>
      </c>
      <c r="H365" s="3455">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69">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69">
        <f t="shared" si="207"/>
        <v>0</v>
      </c>
      <c r="AW365" s="1169">
        <f t="shared" si="208"/>
        <v>0</v>
      </c>
      <c r="AX365" s="1169">
        <f t="shared" si="209"/>
        <v>0</v>
      </c>
      <c r="AY365" s="1433">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69">
        <f t="shared" si="206"/>
        <v>0</v>
      </c>
      <c r="F366" s="1661"/>
      <c r="G366" s="4303">
        <f t="shared" si="210"/>
        <v>0</v>
      </c>
      <c r="H366" s="3455">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69">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69">
        <f t="shared" si="207"/>
        <v>0</v>
      </c>
      <c r="AW366" s="1169">
        <f t="shared" si="208"/>
        <v>0</v>
      </c>
      <c r="AX366" s="1169">
        <f t="shared" si="209"/>
        <v>0</v>
      </c>
      <c r="AY366" s="1433">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69">
        <f t="shared" ref="E367:E397" si="235">IF($C$3="是",ROUND($A$3*G367/$B$3,2),ROUND($A$3*(G367-AT367)/$B$3,2))</f>
        <v>0</v>
      </c>
      <c r="F367" s="1661"/>
      <c r="G367" s="4303">
        <f t="shared" si="210"/>
        <v>0</v>
      </c>
      <c r="H367" s="3455">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69">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69">
        <f t="shared" ref="AV367:AV397" si="236">A367</f>
        <v>0</v>
      </c>
      <c r="AW367" s="1169">
        <f t="shared" ref="AW367:AW397" si="237">B367</f>
        <v>0</v>
      </c>
      <c r="AX367" s="1169">
        <f t="shared" ref="AX367:AX397" si="238">C367</f>
        <v>0</v>
      </c>
      <c r="AY367" s="1433">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69">
        <f t="shared" si="235"/>
        <v>0</v>
      </c>
      <c r="F368" s="1661"/>
      <c r="G368" s="4303">
        <f t="shared" si="210"/>
        <v>0</v>
      </c>
      <c r="H368" s="3455">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69">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69">
        <f t="shared" si="236"/>
        <v>0</v>
      </c>
      <c r="AW368" s="1169">
        <f t="shared" si="237"/>
        <v>0</v>
      </c>
      <c r="AX368" s="1169">
        <f t="shared" si="238"/>
        <v>0</v>
      </c>
      <c r="AY368" s="1433">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69">
        <f t="shared" si="235"/>
        <v>0</v>
      </c>
      <c r="F369" s="1661"/>
      <c r="G369" s="4303">
        <f t="shared" si="210"/>
        <v>0</v>
      </c>
      <c r="H369" s="3455">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69">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69">
        <f t="shared" si="236"/>
        <v>0</v>
      </c>
      <c r="AW369" s="1169">
        <f t="shared" si="237"/>
        <v>0</v>
      </c>
      <c r="AX369" s="1169">
        <f t="shared" si="238"/>
        <v>0</v>
      </c>
      <c r="AY369" s="1433">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69">
        <f t="shared" si="235"/>
        <v>0</v>
      </c>
      <c r="F370" s="1661"/>
      <c r="G370" s="4303">
        <f t="shared" si="210"/>
        <v>0</v>
      </c>
      <c r="H370" s="3455">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69">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69">
        <f t="shared" si="236"/>
        <v>0</v>
      </c>
      <c r="AW370" s="1169">
        <f t="shared" si="237"/>
        <v>0</v>
      </c>
      <c r="AX370" s="1169">
        <f t="shared" si="238"/>
        <v>0</v>
      </c>
      <c r="AY370" s="1433">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69">
        <f t="shared" si="235"/>
        <v>0</v>
      </c>
      <c r="F371" s="1661"/>
      <c r="G371" s="4303">
        <f t="shared" si="210"/>
        <v>0</v>
      </c>
      <c r="H371" s="3455">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69">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69">
        <f t="shared" si="236"/>
        <v>0</v>
      </c>
      <c r="AW371" s="1169">
        <f t="shared" si="237"/>
        <v>0</v>
      </c>
      <c r="AX371" s="1169">
        <f t="shared" si="238"/>
        <v>0</v>
      </c>
      <c r="AY371" s="1433">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69">
        <f t="shared" si="235"/>
        <v>0</v>
      </c>
      <c r="F372" s="1661"/>
      <c r="G372" s="4303">
        <f t="shared" si="210"/>
        <v>0</v>
      </c>
      <c r="H372" s="3455">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69">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69">
        <f t="shared" si="236"/>
        <v>0</v>
      </c>
      <c r="AW372" s="1169">
        <f t="shared" si="237"/>
        <v>0</v>
      </c>
      <c r="AX372" s="1169">
        <f t="shared" si="238"/>
        <v>0</v>
      </c>
      <c r="AY372" s="1433">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69">
        <f t="shared" si="235"/>
        <v>0</v>
      </c>
      <c r="F373" s="1661"/>
      <c r="G373" s="4303">
        <f t="shared" si="210"/>
        <v>0</v>
      </c>
      <c r="H373" s="3455">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69">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69">
        <f t="shared" si="236"/>
        <v>0</v>
      </c>
      <c r="AW373" s="1169">
        <f t="shared" si="237"/>
        <v>0</v>
      </c>
      <c r="AX373" s="1169">
        <f t="shared" si="238"/>
        <v>0</v>
      </c>
      <c r="AY373" s="1433">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69">
        <f t="shared" si="235"/>
        <v>0</v>
      </c>
      <c r="F374" s="1661"/>
      <c r="G374" s="4303">
        <f t="shared" si="210"/>
        <v>0</v>
      </c>
      <c r="H374" s="3455">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69">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69">
        <f t="shared" si="236"/>
        <v>0</v>
      </c>
      <c r="AW374" s="1169">
        <f t="shared" si="237"/>
        <v>0</v>
      </c>
      <c r="AX374" s="1169">
        <f t="shared" si="238"/>
        <v>0</v>
      </c>
      <c r="AY374" s="1433">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69">
        <f t="shared" si="235"/>
        <v>0</v>
      </c>
      <c r="F375" s="1661"/>
      <c r="G375" s="4303">
        <f t="shared" si="210"/>
        <v>0</v>
      </c>
      <c r="H375" s="3455">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69">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69">
        <f t="shared" si="236"/>
        <v>0</v>
      </c>
      <c r="AW375" s="1169">
        <f t="shared" si="237"/>
        <v>0</v>
      </c>
      <c r="AX375" s="1169">
        <f t="shared" si="238"/>
        <v>0</v>
      </c>
      <c r="AY375" s="1433">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69">
        <f t="shared" si="235"/>
        <v>0</v>
      </c>
      <c r="F376" s="1661"/>
      <c r="G376" s="4303">
        <f t="shared" si="210"/>
        <v>0</v>
      </c>
      <c r="H376" s="3455">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69">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69">
        <f t="shared" si="236"/>
        <v>0</v>
      </c>
      <c r="AW376" s="1169">
        <f t="shared" si="237"/>
        <v>0</v>
      </c>
      <c r="AX376" s="1169">
        <f t="shared" si="238"/>
        <v>0</v>
      </c>
      <c r="AY376" s="1433">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69">
        <f t="shared" si="235"/>
        <v>0</v>
      </c>
      <c r="F377" s="1661"/>
      <c r="G377" s="4303">
        <f t="shared" si="210"/>
        <v>0</v>
      </c>
      <c r="H377" s="3455">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69">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69">
        <f t="shared" si="236"/>
        <v>0</v>
      </c>
      <c r="AW377" s="1169">
        <f t="shared" si="237"/>
        <v>0</v>
      </c>
      <c r="AX377" s="1169">
        <f t="shared" si="238"/>
        <v>0</v>
      </c>
      <c r="AY377" s="1433">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69">
        <f t="shared" si="235"/>
        <v>0</v>
      </c>
      <c r="F378" s="1661"/>
      <c r="G378" s="4303">
        <f t="shared" si="210"/>
        <v>0</v>
      </c>
      <c r="H378" s="3455">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69">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69">
        <f t="shared" si="236"/>
        <v>0</v>
      </c>
      <c r="AW378" s="1169">
        <f t="shared" si="237"/>
        <v>0</v>
      </c>
      <c r="AX378" s="1169">
        <f t="shared" si="238"/>
        <v>0</v>
      </c>
      <c r="AY378" s="1433">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69">
        <f t="shared" si="235"/>
        <v>0</v>
      </c>
      <c r="F379" s="1661"/>
      <c r="G379" s="4303">
        <f t="shared" si="210"/>
        <v>0</v>
      </c>
      <c r="H379" s="3455">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69">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69">
        <f t="shared" si="236"/>
        <v>0</v>
      </c>
      <c r="AW379" s="1169">
        <f t="shared" si="237"/>
        <v>0</v>
      </c>
      <c r="AX379" s="1169">
        <f t="shared" si="238"/>
        <v>0</v>
      </c>
      <c r="AY379" s="1433">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69">
        <f t="shared" si="235"/>
        <v>0</v>
      </c>
      <c r="F380" s="1661"/>
      <c r="G380" s="4303">
        <f t="shared" si="210"/>
        <v>0</v>
      </c>
      <c r="H380" s="3455">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69">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69">
        <f t="shared" si="236"/>
        <v>0</v>
      </c>
      <c r="AW380" s="1169">
        <f t="shared" si="237"/>
        <v>0</v>
      </c>
      <c r="AX380" s="1169">
        <f t="shared" si="238"/>
        <v>0</v>
      </c>
      <c r="AY380" s="1433">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69">
        <f t="shared" si="235"/>
        <v>0</v>
      </c>
      <c r="F381" s="1661"/>
      <c r="G381" s="4303">
        <f t="shared" si="210"/>
        <v>0</v>
      </c>
      <c r="H381" s="3455">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69">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69">
        <f t="shared" si="236"/>
        <v>0</v>
      </c>
      <c r="AW381" s="1169">
        <f t="shared" si="237"/>
        <v>0</v>
      </c>
      <c r="AX381" s="1169">
        <f t="shared" si="238"/>
        <v>0</v>
      </c>
      <c r="AY381" s="1433">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69">
        <f t="shared" si="235"/>
        <v>0</v>
      </c>
      <c r="F382" s="1661"/>
      <c r="G382" s="4303">
        <f t="shared" si="210"/>
        <v>0</v>
      </c>
      <c r="H382" s="3455">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69">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69">
        <f t="shared" si="236"/>
        <v>0</v>
      </c>
      <c r="AW382" s="1169">
        <f t="shared" si="237"/>
        <v>0</v>
      </c>
      <c r="AX382" s="1169">
        <f t="shared" si="238"/>
        <v>0</v>
      </c>
      <c r="AY382" s="1433">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69">
        <f t="shared" si="235"/>
        <v>0</v>
      </c>
      <c r="F383" s="1661"/>
      <c r="G383" s="4303">
        <f t="shared" si="210"/>
        <v>0</v>
      </c>
      <c r="H383" s="3455">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69">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69">
        <f t="shared" si="236"/>
        <v>0</v>
      </c>
      <c r="AW383" s="1169">
        <f t="shared" si="237"/>
        <v>0</v>
      </c>
      <c r="AX383" s="1169">
        <f t="shared" si="238"/>
        <v>0</v>
      </c>
      <c r="AY383" s="1433">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69">
        <f t="shared" si="235"/>
        <v>0</v>
      </c>
      <c r="F384" s="1661"/>
      <c r="G384" s="4303">
        <f t="shared" si="210"/>
        <v>0</v>
      </c>
      <c r="H384" s="3455">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69">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69">
        <f t="shared" si="236"/>
        <v>0</v>
      </c>
      <c r="AW384" s="1169">
        <f t="shared" si="237"/>
        <v>0</v>
      </c>
      <c r="AX384" s="1169">
        <f t="shared" si="238"/>
        <v>0</v>
      </c>
      <c r="AY384" s="1433">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69">
        <f t="shared" si="235"/>
        <v>0</v>
      </c>
      <c r="F385" s="1661"/>
      <c r="G385" s="4303">
        <f t="shared" si="210"/>
        <v>0</v>
      </c>
      <c r="H385" s="3455">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69">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69">
        <f t="shared" si="236"/>
        <v>0</v>
      </c>
      <c r="AW385" s="1169">
        <f t="shared" si="237"/>
        <v>0</v>
      </c>
      <c r="AX385" s="1169">
        <f t="shared" si="238"/>
        <v>0</v>
      </c>
      <c r="AY385" s="1433">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69">
        <f t="shared" si="235"/>
        <v>0</v>
      </c>
      <c r="F386" s="1661"/>
      <c r="G386" s="4303">
        <f t="shared" si="210"/>
        <v>0</v>
      </c>
      <c r="H386" s="3455">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69">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69">
        <f t="shared" si="236"/>
        <v>0</v>
      </c>
      <c r="AW386" s="1169">
        <f t="shared" si="237"/>
        <v>0</v>
      </c>
      <c r="AX386" s="1169">
        <f t="shared" si="238"/>
        <v>0</v>
      </c>
      <c r="AY386" s="1433">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69">
        <f t="shared" si="235"/>
        <v>0</v>
      </c>
      <c r="F387" s="1661"/>
      <c r="G387" s="4303">
        <f t="shared" si="210"/>
        <v>0</v>
      </c>
      <c r="H387" s="3455">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69">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69">
        <f t="shared" si="236"/>
        <v>0</v>
      </c>
      <c r="AW387" s="1169">
        <f t="shared" si="237"/>
        <v>0</v>
      </c>
      <c r="AX387" s="1169">
        <f t="shared" si="238"/>
        <v>0</v>
      </c>
      <c r="AY387" s="1433">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69">
        <f t="shared" si="235"/>
        <v>0</v>
      </c>
      <c r="F388" s="1661"/>
      <c r="G388" s="4303">
        <f t="shared" si="210"/>
        <v>0</v>
      </c>
      <c r="H388" s="3455">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69">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69">
        <f t="shared" si="236"/>
        <v>0</v>
      </c>
      <c r="AW388" s="1169">
        <f t="shared" si="237"/>
        <v>0</v>
      </c>
      <c r="AX388" s="1169">
        <f t="shared" si="238"/>
        <v>0</v>
      </c>
      <c r="AY388" s="1433">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69">
        <f t="shared" si="235"/>
        <v>0</v>
      </c>
      <c r="F389" s="1661"/>
      <c r="G389" s="4303">
        <f t="shared" si="210"/>
        <v>0</v>
      </c>
      <c r="H389" s="3455">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69">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69">
        <f t="shared" si="236"/>
        <v>0</v>
      </c>
      <c r="AW389" s="1169">
        <f t="shared" si="237"/>
        <v>0</v>
      </c>
      <c r="AX389" s="1169">
        <f t="shared" si="238"/>
        <v>0</v>
      </c>
      <c r="AY389" s="1433">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69">
        <f t="shared" si="235"/>
        <v>0</v>
      </c>
      <c r="F390" s="1661"/>
      <c r="G390" s="4303">
        <f t="shared" si="210"/>
        <v>0</v>
      </c>
      <c r="H390" s="3455">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69">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69">
        <f t="shared" si="236"/>
        <v>0</v>
      </c>
      <c r="AW390" s="1169">
        <f t="shared" si="237"/>
        <v>0</v>
      </c>
      <c r="AX390" s="1169">
        <f t="shared" si="238"/>
        <v>0</v>
      </c>
      <c r="AY390" s="1433">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69">
        <f t="shared" si="235"/>
        <v>0</v>
      </c>
      <c r="F391" s="1661"/>
      <c r="G391" s="4303">
        <f t="shared" si="210"/>
        <v>0</v>
      </c>
      <c r="H391" s="3455">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69">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69">
        <f t="shared" si="236"/>
        <v>0</v>
      </c>
      <c r="AW391" s="1169">
        <f t="shared" si="237"/>
        <v>0</v>
      </c>
      <c r="AX391" s="1169">
        <f t="shared" si="238"/>
        <v>0</v>
      </c>
      <c r="AY391" s="1433">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69">
        <f t="shared" si="235"/>
        <v>0</v>
      </c>
      <c r="F392" s="1661"/>
      <c r="G392" s="4303">
        <f t="shared" si="210"/>
        <v>0</v>
      </c>
      <c r="H392" s="3455">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69">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69">
        <f t="shared" si="236"/>
        <v>0</v>
      </c>
      <c r="AW392" s="1169">
        <f t="shared" si="237"/>
        <v>0</v>
      </c>
      <c r="AX392" s="1169">
        <f t="shared" si="238"/>
        <v>0</v>
      </c>
      <c r="AY392" s="1433">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69">
        <f t="shared" si="235"/>
        <v>0</v>
      </c>
      <c r="F393" s="1661"/>
      <c r="G393" s="4303">
        <f t="shared" si="210"/>
        <v>0</v>
      </c>
      <c r="H393" s="3455">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69">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69">
        <f t="shared" si="236"/>
        <v>0</v>
      </c>
      <c r="AW393" s="1169">
        <f t="shared" si="237"/>
        <v>0</v>
      </c>
      <c r="AX393" s="1169">
        <f t="shared" si="238"/>
        <v>0</v>
      </c>
      <c r="AY393" s="1433">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69">
        <f t="shared" si="235"/>
        <v>0</v>
      </c>
      <c r="F394" s="1661"/>
      <c r="G394" s="4303">
        <f t="shared" si="210"/>
        <v>0</v>
      </c>
      <c r="H394" s="3455">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69">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69">
        <f t="shared" si="236"/>
        <v>0</v>
      </c>
      <c r="AW394" s="1169">
        <f t="shared" si="237"/>
        <v>0</v>
      </c>
      <c r="AX394" s="1169">
        <f t="shared" si="238"/>
        <v>0</v>
      </c>
      <c r="AY394" s="1433">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69">
        <f t="shared" si="235"/>
        <v>0</v>
      </c>
      <c r="F395" s="1648"/>
      <c r="G395" s="4303">
        <f t="shared" si="210"/>
        <v>0</v>
      </c>
      <c r="H395" s="3455">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69">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69">
        <f t="shared" si="236"/>
        <v>0</v>
      </c>
      <c r="AW395" s="1169">
        <f t="shared" si="237"/>
        <v>0</v>
      </c>
      <c r="AX395" s="1169">
        <f t="shared" si="238"/>
        <v>0</v>
      </c>
      <c r="AY395" s="1433">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69">
        <f t="shared" si="235"/>
        <v>0</v>
      </c>
      <c r="F396" s="1648"/>
      <c r="G396" s="4303">
        <f t="shared" si="210"/>
        <v>0</v>
      </c>
      <c r="H396" s="3455">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69">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69">
        <f t="shared" si="236"/>
        <v>0</v>
      </c>
      <c r="AW396" s="1169">
        <f t="shared" si="237"/>
        <v>0</v>
      </c>
      <c r="AX396" s="1169">
        <f t="shared" si="238"/>
        <v>0</v>
      </c>
      <c r="AY396" s="1433">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69">
        <f t="shared" si="235"/>
        <v>0</v>
      </c>
      <c r="F397" s="1648"/>
      <c r="G397" s="4303">
        <f t="shared" si="210"/>
        <v>0</v>
      </c>
      <c r="H397" s="3455">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69">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69">
        <f t="shared" si="236"/>
        <v>0</v>
      </c>
      <c r="AW397" s="1169">
        <f t="shared" si="237"/>
        <v>0</v>
      </c>
      <c r="AX397" s="1169">
        <f t="shared" si="238"/>
        <v>0</v>
      </c>
      <c r="AY397" s="1433">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69">
        <f t="shared" ref="E398:E492" si="239">IF($C$3="是",ROUND($A$3*G398/$B$3,2),ROUND($A$3*(G398-AT398)/$B$3,2))</f>
        <v>0</v>
      </c>
      <c r="F398" s="1661"/>
      <c r="G398" s="4303">
        <f t="shared" ref="G398:G489" si="240">H398+AC398+AT398</f>
        <v>0</v>
      </c>
      <c r="H398" s="3455">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69">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69">
        <f t="shared" ref="AV398:AV492" si="243">A398</f>
        <v>0</v>
      </c>
      <c r="AW398" s="1169">
        <f t="shared" ref="AW398:AW492" si="244">B398</f>
        <v>0</v>
      </c>
      <c r="AX398" s="1169">
        <f t="shared" ref="AX398:AX492" si="245">C398</f>
        <v>0</v>
      </c>
      <c r="AY398" s="1433">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69">
        <f t="shared" si="239"/>
        <v>0</v>
      </c>
      <c r="F399" s="1661"/>
      <c r="G399" s="4303">
        <f t="shared" si="240"/>
        <v>0</v>
      </c>
      <c r="H399" s="3455">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69">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69">
        <f t="shared" si="243"/>
        <v>0</v>
      </c>
      <c r="AW399" s="1169">
        <f t="shared" si="244"/>
        <v>0</v>
      </c>
      <c r="AX399" s="1169">
        <f t="shared" si="245"/>
        <v>0</v>
      </c>
      <c r="AY399" s="1433">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69">
        <f t="shared" si="239"/>
        <v>0</v>
      </c>
      <c r="F400" s="1661"/>
      <c r="G400" s="4303">
        <f t="shared" si="240"/>
        <v>0</v>
      </c>
      <c r="H400" s="3455">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69">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69">
        <f t="shared" si="243"/>
        <v>0</v>
      </c>
      <c r="AW400" s="1169">
        <f t="shared" si="244"/>
        <v>0</v>
      </c>
      <c r="AX400" s="1169">
        <f t="shared" si="245"/>
        <v>0</v>
      </c>
      <c r="AY400" s="1433">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69">
        <f t="shared" si="239"/>
        <v>0</v>
      </c>
      <c r="F401" s="1661"/>
      <c r="G401" s="4303">
        <f t="shared" si="240"/>
        <v>0</v>
      </c>
      <c r="H401" s="3455">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69">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69">
        <f t="shared" si="243"/>
        <v>0</v>
      </c>
      <c r="AW401" s="1169">
        <f t="shared" si="244"/>
        <v>0</v>
      </c>
      <c r="AX401" s="1169">
        <f t="shared" si="245"/>
        <v>0</v>
      </c>
      <c r="AY401" s="1433">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69">
        <f t="shared" si="239"/>
        <v>0</v>
      </c>
      <c r="F402" s="1661"/>
      <c r="G402" s="4303">
        <f t="shared" si="240"/>
        <v>0</v>
      </c>
      <c r="H402" s="3455">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69">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69">
        <f t="shared" si="243"/>
        <v>0</v>
      </c>
      <c r="AW402" s="1169">
        <f t="shared" si="244"/>
        <v>0</v>
      </c>
      <c r="AX402" s="1169">
        <f t="shared" si="245"/>
        <v>0</v>
      </c>
      <c r="AY402" s="1433">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69">
        <f t="shared" si="239"/>
        <v>0</v>
      </c>
      <c r="F403" s="1661"/>
      <c r="G403" s="4303">
        <f t="shared" si="240"/>
        <v>0</v>
      </c>
      <c r="H403" s="3455">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69">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69">
        <f t="shared" si="243"/>
        <v>0</v>
      </c>
      <c r="AW403" s="1169">
        <f t="shared" si="244"/>
        <v>0</v>
      </c>
      <c r="AX403" s="1169">
        <f t="shared" si="245"/>
        <v>0</v>
      </c>
      <c r="AY403" s="1433">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69">
        <f t="shared" si="239"/>
        <v>0</v>
      </c>
      <c r="F404" s="1661"/>
      <c r="G404" s="4303">
        <f t="shared" si="240"/>
        <v>0</v>
      </c>
      <c r="H404" s="3455">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69">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69">
        <f t="shared" si="243"/>
        <v>0</v>
      </c>
      <c r="AW404" s="1169">
        <f t="shared" si="244"/>
        <v>0</v>
      </c>
      <c r="AX404" s="1169">
        <f t="shared" si="245"/>
        <v>0</v>
      </c>
      <c r="AY404" s="1433">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69">
        <f t="shared" si="239"/>
        <v>0</v>
      </c>
      <c r="F405" s="1661"/>
      <c r="G405" s="4303">
        <f t="shared" si="240"/>
        <v>0</v>
      </c>
      <c r="H405" s="3455">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69">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69">
        <f t="shared" si="243"/>
        <v>0</v>
      </c>
      <c r="AW405" s="1169">
        <f t="shared" si="244"/>
        <v>0</v>
      </c>
      <c r="AX405" s="1169">
        <f t="shared" si="245"/>
        <v>0</v>
      </c>
      <c r="AY405" s="1433">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69">
        <f t="shared" si="239"/>
        <v>0</v>
      </c>
      <c r="F406" s="1661"/>
      <c r="G406" s="4303">
        <f t="shared" si="240"/>
        <v>0</v>
      </c>
      <c r="H406" s="3455">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69">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69">
        <f t="shared" si="243"/>
        <v>0</v>
      </c>
      <c r="AW406" s="1169">
        <f t="shared" si="244"/>
        <v>0</v>
      </c>
      <c r="AX406" s="1169">
        <f t="shared" si="245"/>
        <v>0</v>
      </c>
      <c r="AY406" s="1433">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69">
        <f t="shared" si="239"/>
        <v>0</v>
      </c>
      <c r="F407" s="1661"/>
      <c r="G407" s="4303">
        <f t="shared" si="240"/>
        <v>0</v>
      </c>
      <c r="H407" s="3455">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69">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69">
        <f t="shared" si="243"/>
        <v>0</v>
      </c>
      <c r="AW407" s="1169">
        <f t="shared" si="244"/>
        <v>0</v>
      </c>
      <c r="AX407" s="1169">
        <f t="shared" si="245"/>
        <v>0</v>
      </c>
      <c r="AY407" s="1433">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69">
        <f t="shared" si="239"/>
        <v>0</v>
      </c>
      <c r="F408" s="1661"/>
      <c r="G408" s="4303">
        <f t="shared" si="240"/>
        <v>0</v>
      </c>
      <c r="H408" s="3455">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69">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69">
        <f t="shared" si="243"/>
        <v>0</v>
      </c>
      <c r="AW408" s="1169">
        <f t="shared" si="244"/>
        <v>0</v>
      </c>
      <c r="AX408" s="1169">
        <f t="shared" si="245"/>
        <v>0</v>
      </c>
      <c r="AY408" s="1433">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69">
        <f t="shared" si="239"/>
        <v>0</v>
      </c>
      <c r="F409" s="1661"/>
      <c r="G409" s="4303">
        <f t="shared" si="240"/>
        <v>0</v>
      </c>
      <c r="H409" s="3455">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69">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69">
        <f t="shared" si="243"/>
        <v>0</v>
      </c>
      <c r="AW409" s="1169">
        <f t="shared" si="244"/>
        <v>0</v>
      </c>
      <c r="AX409" s="1169">
        <f t="shared" si="245"/>
        <v>0</v>
      </c>
      <c r="AY409" s="1433">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69">
        <f t="shared" si="239"/>
        <v>0</v>
      </c>
      <c r="F410" s="1661"/>
      <c r="G410" s="4303">
        <f t="shared" si="240"/>
        <v>0</v>
      </c>
      <c r="H410" s="3455">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69">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69">
        <f t="shared" si="243"/>
        <v>0</v>
      </c>
      <c r="AW410" s="1169">
        <f t="shared" si="244"/>
        <v>0</v>
      </c>
      <c r="AX410" s="1169">
        <f t="shared" si="245"/>
        <v>0</v>
      </c>
      <c r="AY410" s="1433">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69">
        <f t="shared" si="239"/>
        <v>0</v>
      </c>
      <c r="F411" s="1661"/>
      <c r="G411" s="4303">
        <f t="shared" si="240"/>
        <v>0</v>
      </c>
      <c r="H411" s="3455">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69">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69">
        <f t="shared" si="243"/>
        <v>0</v>
      </c>
      <c r="AW411" s="1169">
        <f t="shared" si="244"/>
        <v>0</v>
      </c>
      <c r="AX411" s="1169">
        <f t="shared" si="245"/>
        <v>0</v>
      </c>
      <c r="AY411" s="1433">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69">
        <f t="shared" si="239"/>
        <v>0</v>
      </c>
      <c r="F412" s="1661"/>
      <c r="G412" s="4303">
        <f t="shared" si="240"/>
        <v>0</v>
      </c>
      <c r="H412" s="3455">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69">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69">
        <f t="shared" si="243"/>
        <v>0</v>
      </c>
      <c r="AW412" s="1169">
        <f t="shared" si="244"/>
        <v>0</v>
      </c>
      <c r="AX412" s="1169">
        <f t="shared" si="245"/>
        <v>0</v>
      </c>
      <c r="AY412" s="1433">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69">
        <f t="shared" si="239"/>
        <v>0</v>
      </c>
      <c r="F413" s="1661"/>
      <c r="G413" s="4303">
        <f t="shared" si="240"/>
        <v>0</v>
      </c>
      <c r="H413" s="3455">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69">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69">
        <f t="shared" si="243"/>
        <v>0</v>
      </c>
      <c r="AW413" s="1169">
        <f t="shared" si="244"/>
        <v>0</v>
      </c>
      <c r="AX413" s="1169">
        <f t="shared" si="245"/>
        <v>0</v>
      </c>
      <c r="AY413" s="1433">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69">
        <f t="shared" si="239"/>
        <v>0</v>
      </c>
      <c r="F414" s="1661"/>
      <c r="G414" s="4303">
        <f t="shared" si="240"/>
        <v>0</v>
      </c>
      <c r="H414" s="3455">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69">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69">
        <f t="shared" si="243"/>
        <v>0</v>
      </c>
      <c r="AW414" s="1169">
        <f t="shared" si="244"/>
        <v>0</v>
      </c>
      <c r="AX414" s="1169">
        <f t="shared" si="245"/>
        <v>0</v>
      </c>
      <c r="AY414" s="1433">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69">
        <f t="shared" si="239"/>
        <v>0</v>
      </c>
      <c r="F415" s="1661"/>
      <c r="G415" s="4303">
        <f t="shared" si="240"/>
        <v>0</v>
      </c>
      <c r="H415" s="3455">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69">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69">
        <f t="shared" si="243"/>
        <v>0</v>
      </c>
      <c r="AW415" s="1169">
        <f t="shared" si="244"/>
        <v>0</v>
      </c>
      <c r="AX415" s="1169">
        <f t="shared" si="245"/>
        <v>0</v>
      </c>
      <c r="AY415" s="1433">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69">
        <f t="shared" si="239"/>
        <v>0</v>
      </c>
      <c r="F416" s="1661"/>
      <c r="G416" s="4303">
        <f t="shared" si="240"/>
        <v>0</v>
      </c>
      <c r="H416" s="3455">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69">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69">
        <f t="shared" si="243"/>
        <v>0</v>
      </c>
      <c r="AW416" s="1169">
        <f t="shared" si="244"/>
        <v>0</v>
      </c>
      <c r="AX416" s="1169">
        <f t="shared" si="245"/>
        <v>0</v>
      </c>
      <c r="AY416" s="1433">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69">
        <f t="shared" si="239"/>
        <v>0</v>
      </c>
      <c r="F417" s="1661"/>
      <c r="G417" s="4303">
        <f t="shared" si="240"/>
        <v>0</v>
      </c>
      <c r="H417" s="3455">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69">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69">
        <f t="shared" si="243"/>
        <v>0</v>
      </c>
      <c r="AW417" s="1169">
        <f t="shared" si="244"/>
        <v>0</v>
      </c>
      <c r="AX417" s="1169">
        <f t="shared" si="245"/>
        <v>0</v>
      </c>
      <c r="AY417" s="1433">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69">
        <f t="shared" si="239"/>
        <v>0</v>
      </c>
      <c r="F418" s="1661"/>
      <c r="G418" s="4303">
        <f t="shared" si="240"/>
        <v>0</v>
      </c>
      <c r="H418" s="3455">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69">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69">
        <f t="shared" si="243"/>
        <v>0</v>
      </c>
      <c r="AW418" s="1169">
        <f t="shared" si="244"/>
        <v>0</v>
      </c>
      <c r="AX418" s="1169">
        <f t="shared" si="245"/>
        <v>0</v>
      </c>
      <c r="AY418" s="1433">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69">
        <f t="shared" si="239"/>
        <v>0</v>
      </c>
      <c r="F419" s="1661"/>
      <c r="G419" s="4303">
        <f t="shared" si="240"/>
        <v>0</v>
      </c>
      <c r="H419" s="3455">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69">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69">
        <f t="shared" si="243"/>
        <v>0</v>
      </c>
      <c r="AW419" s="1169">
        <f t="shared" si="244"/>
        <v>0</v>
      </c>
      <c r="AX419" s="1169">
        <f t="shared" si="245"/>
        <v>0</v>
      </c>
      <c r="AY419" s="1433">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69">
        <f t="shared" si="239"/>
        <v>0</v>
      </c>
      <c r="F420" s="1661"/>
      <c r="G420" s="4303">
        <f t="shared" si="240"/>
        <v>0</v>
      </c>
      <c r="H420" s="3455">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69">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69">
        <f t="shared" si="243"/>
        <v>0</v>
      </c>
      <c r="AW420" s="1169">
        <f t="shared" si="244"/>
        <v>0</v>
      </c>
      <c r="AX420" s="1169">
        <f t="shared" si="245"/>
        <v>0</v>
      </c>
      <c r="AY420" s="1433">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69">
        <f t="shared" si="239"/>
        <v>0</v>
      </c>
      <c r="F421" s="1661"/>
      <c r="G421" s="4303">
        <f t="shared" si="240"/>
        <v>0</v>
      </c>
      <c r="H421" s="3455">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69">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69">
        <f t="shared" si="243"/>
        <v>0</v>
      </c>
      <c r="AW421" s="1169">
        <f t="shared" si="244"/>
        <v>0</v>
      </c>
      <c r="AX421" s="1169">
        <f t="shared" si="245"/>
        <v>0</v>
      </c>
      <c r="AY421" s="1433">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69">
        <f t="shared" si="239"/>
        <v>0</v>
      </c>
      <c r="F422" s="1661"/>
      <c r="G422" s="4303">
        <f t="shared" si="240"/>
        <v>0</v>
      </c>
      <c r="H422" s="3455">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69">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69">
        <f t="shared" si="243"/>
        <v>0</v>
      </c>
      <c r="AW422" s="1169">
        <f t="shared" si="244"/>
        <v>0</v>
      </c>
      <c r="AX422" s="1169">
        <f t="shared" si="245"/>
        <v>0</v>
      </c>
      <c r="AY422" s="1433">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69">
        <f t="shared" si="239"/>
        <v>0</v>
      </c>
      <c r="F423" s="1661"/>
      <c r="G423" s="4303">
        <f t="shared" si="240"/>
        <v>0</v>
      </c>
      <c r="H423" s="3455">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69">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69">
        <f t="shared" si="243"/>
        <v>0</v>
      </c>
      <c r="AW423" s="1169">
        <f t="shared" si="244"/>
        <v>0</v>
      </c>
      <c r="AX423" s="1169">
        <f t="shared" si="245"/>
        <v>0</v>
      </c>
      <c r="AY423" s="1433">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69">
        <f t="shared" si="239"/>
        <v>0</v>
      </c>
      <c r="F424" s="1661"/>
      <c r="G424" s="4303">
        <f t="shared" si="240"/>
        <v>0</v>
      </c>
      <c r="H424" s="3455">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69">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69">
        <f t="shared" si="243"/>
        <v>0</v>
      </c>
      <c r="AW424" s="1169">
        <f t="shared" si="244"/>
        <v>0</v>
      </c>
      <c r="AX424" s="1169">
        <f t="shared" si="245"/>
        <v>0</v>
      </c>
      <c r="AY424" s="1433">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69">
        <f t="shared" si="239"/>
        <v>0</v>
      </c>
      <c r="F425" s="1661"/>
      <c r="G425" s="4303">
        <f t="shared" si="240"/>
        <v>0</v>
      </c>
      <c r="H425" s="3455">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69">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69">
        <f t="shared" si="243"/>
        <v>0</v>
      </c>
      <c r="AW425" s="1169">
        <f t="shared" si="244"/>
        <v>0</v>
      </c>
      <c r="AX425" s="1169">
        <f t="shared" si="245"/>
        <v>0</v>
      </c>
      <c r="AY425" s="1433">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69">
        <f t="shared" si="239"/>
        <v>0</v>
      </c>
      <c r="F426" s="1661"/>
      <c r="G426" s="4303">
        <f t="shared" si="240"/>
        <v>0</v>
      </c>
      <c r="H426" s="3455">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69">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69">
        <f t="shared" si="243"/>
        <v>0</v>
      </c>
      <c r="AW426" s="1169">
        <f t="shared" si="244"/>
        <v>0</v>
      </c>
      <c r="AX426" s="1169">
        <f t="shared" si="245"/>
        <v>0</v>
      </c>
      <c r="AY426" s="1433">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69">
        <f t="shared" si="239"/>
        <v>0</v>
      </c>
      <c r="F427" s="1661"/>
      <c r="G427" s="4303">
        <f t="shared" si="240"/>
        <v>0</v>
      </c>
      <c r="H427" s="3455">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69">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69">
        <f t="shared" si="243"/>
        <v>0</v>
      </c>
      <c r="AW427" s="1169">
        <f t="shared" si="244"/>
        <v>0</v>
      </c>
      <c r="AX427" s="1169">
        <f t="shared" si="245"/>
        <v>0</v>
      </c>
      <c r="AY427" s="1433">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69">
        <f t="shared" si="239"/>
        <v>0</v>
      </c>
      <c r="F428" s="1661"/>
      <c r="G428" s="4303">
        <f t="shared" si="240"/>
        <v>0</v>
      </c>
      <c r="H428" s="3455">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69">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69">
        <f t="shared" si="243"/>
        <v>0</v>
      </c>
      <c r="AW428" s="1169">
        <f t="shared" si="244"/>
        <v>0</v>
      </c>
      <c r="AX428" s="1169">
        <f t="shared" si="245"/>
        <v>0</v>
      </c>
      <c r="AY428" s="1433">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69">
        <f t="shared" si="239"/>
        <v>0</v>
      </c>
      <c r="F429" s="1661"/>
      <c r="G429" s="4303">
        <f t="shared" si="240"/>
        <v>0</v>
      </c>
      <c r="H429" s="3455">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69">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69">
        <f t="shared" si="243"/>
        <v>0</v>
      </c>
      <c r="AW429" s="1169">
        <f t="shared" si="244"/>
        <v>0</v>
      </c>
      <c r="AX429" s="1169">
        <f t="shared" si="245"/>
        <v>0</v>
      </c>
      <c r="AY429" s="1433">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69">
        <f t="shared" si="239"/>
        <v>0</v>
      </c>
      <c r="F430" s="1661"/>
      <c r="G430" s="4303">
        <f t="shared" si="240"/>
        <v>0</v>
      </c>
      <c r="H430" s="3455">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69">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69">
        <f t="shared" si="243"/>
        <v>0</v>
      </c>
      <c r="AW430" s="1169">
        <f t="shared" si="244"/>
        <v>0</v>
      </c>
      <c r="AX430" s="1169">
        <f t="shared" si="245"/>
        <v>0</v>
      </c>
      <c r="AY430" s="1433">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69">
        <f t="shared" si="239"/>
        <v>0</v>
      </c>
      <c r="F431" s="1661"/>
      <c r="G431" s="4303">
        <f t="shared" si="240"/>
        <v>0</v>
      </c>
      <c r="H431" s="3455">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69">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69">
        <f t="shared" si="243"/>
        <v>0</v>
      </c>
      <c r="AW431" s="1169">
        <f t="shared" si="244"/>
        <v>0</v>
      </c>
      <c r="AX431" s="1169">
        <f t="shared" si="245"/>
        <v>0</v>
      </c>
      <c r="AY431" s="1433">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69">
        <f t="shared" si="239"/>
        <v>0</v>
      </c>
      <c r="F432" s="1661"/>
      <c r="G432" s="4303">
        <f t="shared" si="240"/>
        <v>0</v>
      </c>
      <c r="H432" s="3455">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69">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69">
        <f t="shared" si="243"/>
        <v>0</v>
      </c>
      <c r="AW432" s="1169">
        <f t="shared" si="244"/>
        <v>0</v>
      </c>
      <c r="AX432" s="1169">
        <f t="shared" si="245"/>
        <v>0</v>
      </c>
      <c r="AY432" s="1433">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69">
        <f t="shared" si="239"/>
        <v>0</v>
      </c>
      <c r="F433" s="1661"/>
      <c r="G433" s="4303">
        <f t="shared" si="240"/>
        <v>0</v>
      </c>
      <c r="H433" s="3455">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69">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69">
        <f t="shared" si="243"/>
        <v>0</v>
      </c>
      <c r="AW433" s="1169">
        <f t="shared" si="244"/>
        <v>0</v>
      </c>
      <c r="AX433" s="1169">
        <f t="shared" si="245"/>
        <v>0</v>
      </c>
      <c r="AY433" s="1433">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69">
        <f t="shared" si="239"/>
        <v>0</v>
      </c>
      <c r="F434" s="1661"/>
      <c r="G434" s="4303">
        <f t="shared" si="240"/>
        <v>0</v>
      </c>
      <c r="H434" s="3455">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69">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69">
        <f t="shared" si="243"/>
        <v>0</v>
      </c>
      <c r="AW434" s="1169">
        <f t="shared" si="244"/>
        <v>0</v>
      </c>
      <c r="AX434" s="1169">
        <f t="shared" si="245"/>
        <v>0</v>
      </c>
      <c r="AY434" s="1433">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69">
        <f t="shared" si="239"/>
        <v>0</v>
      </c>
      <c r="F435" s="1661"/>
      <c r="G435" s="4303">
        <f t="shared" si="240"/>
        <v>0</v>
      </c>
      <c r="H435" s="3455">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69">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69">
        <f t="shared" si="243"/>
        <v>0</v>
      </c>
      <c r="AW435" s="1169">
        <f t="shared" si="244"/>
        <v>0</v>
      </c>
      <c r="AX435" s="1169">
        <f t="shared" si="245"/>
        <v>0</v>
      </c>
      <c r="AY435" s="1433">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69">
        <f t="shared" si="239"/>
        <v>0</v>
      </c>
      <c r="F436" s="1661"/>
      <c r="G436" s="4303">
        <f t="shared" si="240"/>
        <v>0</v>
      </c>
      <c r="H436" s="3455">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69">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69">
        <f t="shared" si="243"/>
        <v>0</v>
      </c>
      <c r="AW436" s="1169">
        <f t="shared" si="244"/>
        <v>0</v>
      </c>
      <c r="AX436" s="1169">
        <f t="shared" si="245"/>
        <v>0</v>
      </c>
      <c r="AY436" s="1433">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69">
        <f t="shared" si="239"/>
        <v>0</v>
      </c>
      <c r="F437" s="1661"/>
      <c r="G437" s="4303">
        <f t="shared" si="240"/>
        <v>0</v>
      </c>
      <c r="H437" s="3455">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69">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69">
        <f t="shared" si="243"/>
        <v>0</v>
      </c>
      <c r="AW437" s="1169">
        <f t="shared" si="244"/>
        <v>0</v>
      </c>
      <c r="AX437" s="1169">
        <f t="shared" si="245"/>
        <v>0</v>
      </c>
      <c r="AY437" s="1433">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69">
        <f t="shared" si="239"/>
        <v>0</v>
      </c>
      <c r="F438" s="1661"/>
      <c r="G438" s="4303">
        <f t="shared" si="240"/>
        <v>0</v>
      </c>
      <c r="H438" s="3455">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69">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69">
        <f t="shared" si="243"/>
        <v>0</v>
      </c>
      <c r="AW438" s="1169">
        <f t="shared" si="244"/>
        <v>0</v>
      </c>
      <c r="AX438" s="1169">
        <f t="shared" si="245"/>
        <v>0</v>
      </c>
      <c r="AY438" s="1433">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69">
        <f t="shared" si="239"/>
        <v>0</v>
      </c>
      <c r="F439" s="1661"/>
      <c r="G439" s="4303">
        <f t="shared" si="240"/>
        <v>0</v>
      </c>
      <c r="H439" s="3455">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69">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69">
        <f t="shared" si="243"/>
        <v>0</v>
      </c>
      <c r="AW439" s="1169">
        <f t="shared" si="244"/>
        <v>0</v>
      </c>
      <c r="AX439" s="1169">
        <f t="shared" si="245"/>
        <v>0</v>
      </c>
      <c r="AY439" s="1433">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69">
        <f t="shared" si="239"/>
        <v>0</v>
      </c>
      <c r="F440" s="1661"/>
      <c r="G440" s="4303">
        <f t="shared" si="240"/>
        <v>0</v>
      </c>
      <c r="H440" s="3455">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69">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69">
        <f t="shared" si="243"/>
        <v>0</v>
      </c>
      <c r="AW440" s="1169">
        <f t="shared" si="244"/>
        <v>0</v>
      </c>
      <c r="AX440" s="1169">
        <f t="shared" si="245"/>
        <v>0</v>
      </c>
      <c r="AY440" s="1433">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69">
        <f t="shared" si="239"/>
        <v>0</v>
      </c>
      <c r="F441" s="1661"/>
      <c r="G441" s="4303">
        <f t="shared" si="240"/>
        <v>0</v>
      </c>
      <c r="H441" s="3455">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69">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69">
        <f t="shared" si="243"/>
        <v>0</v>
      </c>
      <c r="AW441" s="1169">
        <f t="shared" si="244"/>
        <v>0</v>
      </c>
      <c r="AX441" s="1169">
        <f t="shared" si="245"/>
        <v>0</v>
      </c>
      <c r="AY441" s="1433">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69">
        <f t="shared" si="239"/>
        <v>0</v>
      </c>
      <c r="F442" s="1661"/>
      <c r="G442" s="4303">
        <f t="shared" si="240"/>
        <v>0</v>
      </c>
      <c r="H442" s="3455">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69">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69">
        <f t="shared" si="243"/>
        <v>0</v>
      </c>
      <c r="AW442" s="1169">
        <f t="shared" si="244"/>
        <v>0</v>
      </c>
      <c r="AX442" s="1169">
        <f t="shared" si="245"/>
        <v>0</v>
      </c>
      <c r="AY442" s="1433">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69">
        <f t="shared" si="239"/>
        <v>0</v>
      </c>
      <c r="F443" s="1661"/>
      <c r="G443" s="4303">
        <f t="shared" si="240"/>
        <v>0</v>
      </c>
      <c r="H443" s="3455">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69">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69">
        <f t="shared" si="243"/>
        <v>0</v>
      </c>
      <c r="AW443" s="1169">
        <f t="shared" si="244"/>
        <v>0</v>
      </c>
      <c r="AX443" s="1169">
        <f t="shared" si="245"/>
        <v>0</v>
      </c>
      <c r="AY443" s="1433">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69">
        <f t="shared" si="239"/>
        <v>0</v>
      </c>
      <c r="F444" s="1661"/>
      <c r="G444" s="4303">
        <f t="shared" si="240"/>
        <v>0</v>
      </c>
      <c r="H444" s="3455">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69">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69">
        <f t="shared" si="243"/>
        <v>0</v>
      </c>
      <c r="AW444" s="1169">
        <f t="shared" si="244"/>
        <v>0</v>
      </c>
      <c r="AX444" s="1169">
        <f t="shared" si="245"/>
        <v>0</v>
      </c>
      <c r="AY444" s="1433">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69">
        <f t="shared" si="239"/>
        <v>0</v>
      </c>
      <c r="F445" s="1661"/>
      <c r="G445" s="4303">
        <f t="shared" si="240"/>
        <v>0</v>
      </c>
      <c r="H445" s="3455">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69">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69">
        <f t="shared" si="243"/>
        <v>0</v>
      </c>
      <c r="AW445" s="1169">
        <f t="shared" si="244"/>
        <v>0</v>
      </c>
      <c r="AX445" s="1169">
        <f t="shared" si="245"/>
        <v>0</v>
      </c>
      <c r="AY445" s="1433">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69">
        <f t="shared" si="239"/>
        <v>0</v>
      </c>
      <c r="F446" s="1661"/>
      <c r="G446" s="4303">
        <f t="shared" si="240"/>
        <v>0</v>
      </c>
      <c r="H446" s="3455">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69">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69">
        <f t="shared" si="243"/>
        <v>0</v>
      </c>
      <c r="AW446" s="1169">
        <f t="shared" si="244"/>
        <v>0</v>
      </c>
      <c r="AX446" s="1169">
        <f t="shared" si="245"/>
        <v>0</v>
      </c>
      <c r="AY446" s="1433">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69">
        <f t="shared" si="239"/>
        <v>0</v>
      </c>
      <c r="F447" s="1661"/>
      <c r="G447" s="4303">
        <f t="shared" si="240"/>
        <v>0</v>
      </c>
      <c r="H447" s="3455">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69">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69">
        <f t="shared" si="243"/>
        <v>0</v>
      </c>
      <c r="AW447" s="1169">
        <f t="shared" si="244"/>
        <v>0</v>
      </c>
      <c r="AX447" s="1169">
        <f t="shared" si="245"/>
        <v>0</v>
      </c>
      <c r="AY447" s="1433">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69">
        <f t="shared" si="239"/>
        <v>0</v>
      </c>
      <c r="F448" s="1661"/>
      <c r="G448" s="4303">
        <f t="shared" si="240"/>
        <v>0</v>
      </c>
      <c r="H448" s="3455">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69">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69">
        <f t="shared" si="243"/>
        <v>0</v>
      </c>
      <c r="AW448" s="1169">
        <f t="shared" si="244"/>
        <v>0</v>
      </c>
      <c r="AX448" s="1169">
        <f t="shared" si="245"/>
        <v>0</v>
      </c>
      <c r="AY448" s="1433">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69">
        <f t="shared" si="239"/>
        <v>0</v>
      </c>
      <c r="F449" s="1661"/>
      <c r="G449" s="4303">
        <f t="shared" si="240"/>
        <v>0</v>
      </c>
      <c r="H449" s="3455">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69">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69">
        <f t="shared" si="243"/>
        <v>0</v>
      </c>
      <c r="AW449" s="1169">
        <f t="shared" si="244"/>
        <v>0</v>
      </c>
      <c r="AX449" s="1169">
        <f t="shared" si="245"/>
        <v>0</v>
      </c>
      <c r="AY449" s="1433">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69">
        <f t="shared" si="239"/>
        <v>0</v>
      </c>
      <c r="F450" s="1661"/>
      <c r="G450" s="4303">
        <f t="shared" si="240"/>
        <v>0</v>
      </c>
      <c r="H450" s="3455">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69">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69">
        <f t="shared" si="243"/>
        <v>0</v>
      </c>
      <c r="AW450" s="1169">
        <f t="shared" si="244"/>
        <v>0</v>
      </c>
      <c r="AX450" s="1169">
        <f t="shared" si="245"/>
        <v>0</v>
      </c>
      <c r="AY450" s="1433">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69">
        <f t="shared" si="239"/>
        <v>0</v>
      </c>
      <c r="F451" s="1661"/>
      <c r="G451" s="4303">
        <f t="shared" si="240"/>
        <v>0</v>
      </c>
      <c r="H451" s="3455">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69">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69">
        <f t="shared" si="243"/>
        <v>0</v>
      </c>
      <c r="AW451" s="1169">
        <f t="shared" si="244"/>
        <v>0</v>
      </c>
      <c r="AX451" s="1169">
        <f t="shared" si="245"/>
        <v>0</v>
      </c>
      <c r="AY451" s="1433">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69">
        <f t="shared" si="239"/>
        <v>0</v>
      </c>
      <c r="F452" s="1661"/>
      <c r="G452" s="4303">
        <f t="shared" si="240"/>
        <v>0</v>
      </c>
      <c r="H452" s="3455">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69">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69">
        <f t="shared" si="243"/>
        <v>0</v>
      </c>
      <c r="AW452" s="1169">
        <f t="shared" si="244"/>
        <v>0</v>
      </c>
      <c r="AX452" s="1169">
        <f t="shared" si="245"/>
        <v>0</v>
      </c>
      <c r="AY452" s="1433">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69">
        <f t="shared" si="239"/>
        <v>0</v>
      </c>
      <c r="F453" s="1661"/>
      <c r="G453" s="4303">
        <f t="shared" si="240"/>
        <v>0</v>
      </c>
      <c r="H453" s="3455">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69">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69">
        <f t="shared" si="243"/>
        <v>0</v>
      </c>
      <c r="AW453" s="1169">
        <f t="shared" si="244"/>
        <v>0</v>
      </c>
      <c r="AX453" s="1169">
        <f t="shared" si="245"/>
        <v>0</v>
      </c>
      <c r="AY453" s="1433">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69">
        <f t="shared" si="239"/>
        <v>0</v>
      </c>
      <c r="F454" s="1661"/>
      <c r="G454" s="4303">
        <f t="shared" si="240"/>
        <v>0</v>
      </c>
      <c r="H454" s="3455">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69">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69">
        <f t="shared" si="243"/>
        <v>0</v>
      </c>
      <c r="AW454" s="1169">
        <f t="shared" si="244"/>
        <v>0</v>
      </c>
      <c r="AX454" s="1169">
        <f t="shared" si="245"/>
        <v>0</v>
      </c>
      <c r="AY454" s="1433">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69">
        <f t="shared" si="239"/>
        <v>0</v>
      </c>
      <c r="F455" s="1661"/>
      <c r="G455" s="4303">
        <f t="shared" si="240"/>
        <v>0</v>
      </c>
      <c r="H455" s="3455">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69">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69">
        <f t="shared" si="243"/>
        <v>0</v>
      </c>
      <c r="AW455" s="1169">
        <f t="shared" si="244"/>
        <v>0</v>
      </c>
      <c r="AX455" s="1169">
        <f t="shared" si="245"/>
        <v>0</v>
      </c>
      <c r="AY455" s="1433">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69">
        <f t="shared" si="239"/>
        <v>0</v>
      </c>
      <c r="F456" s="1661"/>
      <c r="G456" s="4303">
        <f t="shared" si="240"/>
        <v>0</v>
      </c>
      <c r="H456" s="3455">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69">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69">
        <f t="shared" si="243"/>
        <v>0</v>
      </c>
      <c r="AW456" s="1169">
        <f t="shared" si="244"/>
        <v>0</v>
      </c>
      <c r="AX456" s="1169">
        <f t="shared" si="245"/>
        <v>0</v>
      </c>
      <c r="AY456" s="1433">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69">
        <f t="shared" si="239"/>
        <v>0</v>
      </c>
      <c r="F457" s="1661"/>
      <c r="G457" s="4303">
        <f t="shared" si="240"/>
        <v>0</v>
      </c>
      <c r="H457" s="3455">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69">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69">
        <f t="shared" si="243"/>
        <v>0</v>
      </c>
      <c r="AW457" s="1169">
        <f t="shared" si="244"/>
        <v>0</v>
      </c>
      <c r="AX457" s="1169">
        <f t="shared" si="245"/>
        <v>0</v>
      </c>
      <c r="AY457" s="1433">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69">
        <f t="shared" si="239"/>
        <v>0</v>
      </c>
      <c r="F458" s="1661"/>
      <c r="G458" s="4303">
        <f t="shared" si="240"/>
        <v>0</v>
      </c>
      <c r="H458" s="3455">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69">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69">
        <f t="shared" si="243"/>
        <v>0</v>
      </c>
      <c r="AW458" s="1169">
        <f t="shared" si="244"/>
        <v>0</v>
      </c>
      <c r="AX458" s="1169">
        <f t="shared" si="245"/>
        <v>0</v>
      </c>
      <c r="AY458" s="1433">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69">
        <f t="shared" si="239"/>
        <v>0</v>
      </c>
      <c r="F459" s="1661"/>
      <c r="G459" s="4303">
        <f t="shared" si="240"/>
        <v>0</v>
      </c>
      <c r="H459" s="3455">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69">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69">
        <f t="shared" si="243"/>
        <v>0</v>
      </c>
      <c r="AW459" s="1169">
        <f t="shared" si="244"/>
        <v>0</v>
      </c>
      <c r="AX459" s="1169">
        <f t="shared" si="245"/>
        <v>0</v>
      </c>
      <c r="AY459" s="1433">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69">
        <f t="shared" si="239"/>
        <v>0</v>
      </c>
      <c r="F460" s="1661"/>
      <c r="G460" s="4303">
        <f t="shared" si="240"/>
        <v>0</v>
      </c>
      <c r="H460" s="3455">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69">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69">
        <f t="shared" si="243"/>
        <v>0</v>
      </c>
      <c r="AW460" s="1169">
        <f t="shared" si="244"/>
        <v>0</v>
      </c>
      <c r="AX460" s="1169">
        <f t="shared" si="245"/>
        <v>0</v>
      </c>
      <c r="AY460" s="1433">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69">
        <f t="shared" si="239"/>
        <v>0</v>
      </c>
      <c r="F461" s="1661"/>
      <c r="G461" s="4303">
        <f t="shared" si="240"/>
        <v>0</v>
      </c>
      <c r="H461" s="3455">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69">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69">
        <f t="shared" si="243"/>
        <v>0</v>
      </c>
      <c r="AW461" s="1169">
        <f t="shared" si="244"/>
        <v>0</v>
      </c>
      <c r="AX461" s="1169">
        <f t="shared" si="245"/>
        <v>0</v>
      </c>
      <c r="AY461" s="1433">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69">
        <f t="shared" si="239"/>
        <v>0</v>
      </c>
      <c r="F462" s="1661"/>
      <c r="G462" s="4303">
        <f t="shared" si="240"/>
        <v>0</v>
      </c>
      <c r="H462" s="3455">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69">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69">
        <f t="shared" si="243"/>
        <v>0</v>
      </c>
      <c r="AW462" s="1169">
        <f t="shared" si="244"/>
        <v>0</v>
      </c>
      <c r="AX462" s="1169">
        <f t="shared" si="245"/>
        <v>0</v>
      </c>
      <c r="AY462" s="1433">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69">
        <f t="shared" si="239"/>
        <v>0</v>
      </c>
      <c r="F463" s="1661"/>
      <c r="G463" s="4303">
        <f t="shared" si="240"/>
        <v>0</v>
      </c>
      <c r="H463" s="3455">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69">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69">
        <f t="shared" si="243"/>
        <v>0</v>
      </c>
      <c r="AW463" s="1169">
        <f t="shared" si="244"/>
        <v>0</v>
      </c>
      <c r="AX463" s="1169">
        <f t="shared" si="245"/>
        <v>0</v>
      </c>
      <c r="AY463" s="1433">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69">
        <f t="shared" si="239"/>
        <v>0</v>
      </c>
      <c r="F464" s="1661"/>
      <c r="G464" s="4303">
        <f t="shared" si="240"/>
        <v>0</v>
      </c>
      <c r="H464" s="3455">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69">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69">
        <f t="shared" si="243"/>
        <v>0</v>
      </c>
      <c r="AW464" s="1169">
        <f t="shared" si="244"/>
        <v>0</v>
      </c>
      <c r="AX464" s="1169">
        <f t="shared" si="245"/>
        <v>0</v>
      </c>
      <c r="AY464" s="1433">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69">
        <f t="shared" si="239"/>
        <v>0</v>
      </c>
      <c r="F465" s="1661"/>
      <c r="G465" s="4303">
        <f t="shared" si="240"/>
        <v>0</v>
      </c>
      <c r="H465" s="3455">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69">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69">
        <f t="shared" si="243"/>
        <v>0</v>
      </c>
      <c r="AW465" s="1169">
        <f t="shared" si="244"/>
        <v>0</v>
      </c>
      <c r="AX465" s="1169">
        <f t="shared" si="245"/>
        <v>0</v>
      </c>
      <c r="AY465" s="1433">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69">
        <f t="shared" si="239"/>
        <v>0</v>
      </c>
      <c r="F466" s="1661"/>
      <c r="G466" s="4303">
        <f t="shared" si="240"/>
        <v>0</v>
      </c>
      <c r="H466" s="3455">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69">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69">
        <f t="shared" si="243"/>
        <v>0</v>
      </c>
      <c r="AW466" s="1169">
        <f t="shared" si="244"/>
        <v>0</v>
      </c>
      <c r="AX466" s="1169">
        <f t="shared" si="245"/>
        <v>0</v>
      </c>
      <c r="AY466" s="1433">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69">
        <f t="shared" si="239"/>
        <v>0</v>
      </c>
      <c r="F467" s="1661"/>
      <c r="G467" s="4303">
        <f t="shared" si="240"/>
        <v>0</v>
      </c>
      <c r="H467" s="3455">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69">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69">
        <f t="shared" si="243"/>
        <v>0</v>
      </c>
      <c r="AW467" s="1169">
        <f t="shared" si="244"/>
        <v>0</v>
      </c>
      <c r="AX467" s="1169">
        <f t="shared" si="245"/>
        <v>0</v>
      </c>
      <c r="AY467" s="1433">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69">
        <f t="shared" si="239"/>
        <v>0</v>
      </c>
      <c r="F468" s="1661"/>
      <c r="G468" s="4303">
        <f t="shared" si="240"/>
        <v>0</v>
      </c>
      <c r="H468" s="3455">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69">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69">
        <f t="shared" si="243"/>
        <v>0</v>
      </c>
      <c r="AW468" s="1169">
        <f t="shared" si="244"/>
        <v>0</v>
      </c>
      <c r="AX468" s="1169">
        <f t="shared" si="245"/>
        <v>0</v>
      </c>
      <c r="AY468" s="1433">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69">
        <f t="shared" si="239"/>
        <v>0</v>
      </c>
      <c r="F469" s="1661"/>
      <c r="G469" s="4303">
        <f t="shared" si="240"/>
        <v>0</v>
      </c>
      <c r="H469" s="3455">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69">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69">
        <f t="shared" si="243"/>
        <v>0</v>
      </c>
      <c r="AW469" s="1169">
        <f t="shared" si="244"/>
        <v>0</v>
      </c>
      <c r="AX469" s="1169">
        <f t="shared" si="245"/>
        <v>0</v>
      </c>
      <c r="AY469" s="1433">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69">
        <f t="shared" si="239"/>
        <v>0</v>
      </c>
      <c r="F470" s="1661"/>
      <c r="G470" s="4303">
        <f t="shared" si="240"/>
        <v>0</v>
      </c>
      <c r="H470" s="3455">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69">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69">
        <f t="shared" si="243"/>
        <v>0</v>
      </c>
      <c r="AW470" s="1169">
        <f t="shared" si="244"/>
        <v>0</v>
      </c>
      <c r="AX470" s="1169">
        <f t="shared" si="245"/>
        <v>0</v>
      </c>
      <c r="AY470" s="1433">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69">
        <f t="shared" si="239"/>
        <v>0</v>
      </c>
      <c r="F471" s="1661"/>
      <c r="G471" s="4303">
        <f t="shared" si="240"/>
        <v>0</v>
      </c>
      <c r="H471" s="3455">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69">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69">
        <f t="shared" si="243"/>
        <v>0</v>
      </c>
      <c r="AW471" s="1169">
        <f t="shared" si="244"/>
        <v>0</v>
      </c>
      <c r="AX471" s="1169">
        <f t="shared" si="245"/>
        <v>0</v>
      </c>
      <c r="AY471" s="1433">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69">
        <f t="shared" si="239"/>
        <v>0</v>
      </c>
      <c r="F472" s="1661"/>
      <c r="G472" s="4303">
        <f t="shared" si="240"/>
        <v>0</v>
      </c>
      <c r="H472" s="3455">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69">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69">
        <f t="shared" si="243"/>
        <v>0</v>
      </c>
      <c r="AW472" s="1169">
        <f t="shared" si="244"/>
        <v>0</v>
      </c>
      <c r="AX472" s="1169">
        <f t="shared" si="245"/>
        <v>0</v>
      </c>
      <c r="AY472" s="1433">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69">
        <f t="shared" si="239"/>
        <v>0</v>
      </c>
      <c r="F473" s="1661"/>
      <c r="G473" s="4303">
        <f t="shared" si="240"/>
        <v>0</v>
      </c>
      <c r="H473" s="3455">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69">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69">
        <f t="shared" si="243"/>
        <v>0</v>
      </c>
      <c r="AW473" s="1169">
        <f t="shared" si="244"/>
        <v>0</v>
      </c>
      <c r="AX473" s="1169">
        <f t="shared" si="245"/>
        <v>0</v>
      </c>
      <c r="AY473" s="1433">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69">
        <f t="shared" si="239"/>
        <v>0</v>
      </c>
      <c r="F474" s="1661"/>
      <c r="G474" s="4303">
        <f t="shared" si="240"/>
        <v>0</v>
      </c>
      <c r="H474" s="3455">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69">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69">
        <f t="shared" si="243"/>
        <v>0</v>
      </c>
      <c r="AW474" s="1169">
        <f t="shared" si="244"/>
        <v>0</v>
      </c>
      <c r="AX474" s="1169">
        <f t="shared" si="245"/>
        <v>0</v>
      </c>
      <c r="AY474" s="1433">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69">
        <f t="shared" si="239"/>
        <v>0</v>
      </c>
      <c r="F475" s="1661"/>
      <c r="G475" s="4303">
        <f t="shared" si="240"/>
        <v>0</v>
      </c>
      <c r="H475" s="3455">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69">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69">
        <f t="shared" si="243"/>
        <v>0</v>
      </c>
      <c r="AW475" s="1169">
        <f t="shared" si="244"/>
        <v>0</v>
      </c>
      <c r="AX475" s="1169">
        <f t="shared" si="245"/>
        <v>0</v>
      </c>
      <c r="AY475" s="1433">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69">
        <f t="shared" si="239"/>
        <v>0</v>
      </c>
      <c r="F476" s="1661"/>
      <c r="G476" s="4303">
        <f t="shared" si="240"/>
        <v>0</v>
      </c>
      <c r="H476" s="3455">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69">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69">
        <f t="shared" si="243"/>
        <v>0</v>
      </c>
      <c r="AW476" s="1169">
        <f t="shared" si="244"/>
        <v>0</v>
      </c>
      <c r="AX476" s="1169">
        <f t="shared" si="245"/>
        <v>0</v>
      </c>
      <c r="AY476" s="1433">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69">
        <f t="shared" si="239"/>
        <v>0</v>
      </c>
      <c r="F477" s="1661"/>
      <c r="G477" s="4303">
        <f t="shared" si="240"/>
        <v>0</v>
      </c>
      <c r="H477" s="3455">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69">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69">
        <f t="shared" si="243"/>
        <v>0</v>
      </c>
      <c r="AW477" s="1169">
        <f t="shared" si="244"/>
        <v>0</v>
      </c>
      <c r="AX477" s="1169">
        <f t="shared" si="245"/>
        <v>0</v>
      </c>
      <c r="AY477" s="1433">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69">
        <f t="shared" si="239"/>
        <v>0</v>
      </c>
      <c r="F478" s="1661"/>
      <c r="G478" s="4303">
        <f t="shared" si="240"/>
        <v>0</v>
      </c>
      <c r="H478" s="3455">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69">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69">
        <f t="shared" si="243"/>
        <v>0</v>
      </c>
      <c r="AW478" s="1169">
        <f t="shared" si="244"/>
        <v>0</v>
      </c>
      <c r="AX478" s="1169">
        <f t="shared" si="245"/>
        <v>0</v>
      </c>
      <c r="AY478" s="1433">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69">
        <f t="shared" si="239"/>
        <v>0</v>
      </c>
      <c r="F479" s="1661"/>
      <c r="G479" s="4303">
        <f t="shared" si="240"/>
        <v>0</v>
      </c>
      <c r="H479" s="3455">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69">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69">
        <f t="shared" si="243"/>
        <v>0</v>
      </c>
      <c r="AW479" s="1169">
        <f t="shared" si="244"/>
        <v>0</v>
      </c>
      <c r="AX479" s="1169">
        <f t="shared" si="245"/>
        <v>0</v>
      </c>
      <c r="AY479" s="1433">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69">
        <f t="shared" si="239"/>
        <v>0</v>
      </c>
      <c r="F480" s="1661"/>
      <c r="G480" s="4303">
        <f t="shared" si="240"/>
        <v>0</v>
      </c>
      <c r="H480" s="3455">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69">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69">
        <f t="shared" si="243"/>
        <v>0</v>
      </c>
      <c r="AW480" s="1169">
        <f t="shared" si="244"/>
        <v>0</v>
      </c>
      <c r="AX480" s="1169">
        <f t="shared" si="245"/>
        <v>0</v>
      </c>
      <c r="AY480" s="1433">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69">
        <f t="shared" si="239"/>
        <v>0</v>
      </c>
      <c r="F481" s="1661"/>
      <c r="G481" s="4303">
        <f t="shared" si="240"/>
        <v>0</v>
      </c>
      <c r="H481" s="3455">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69">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69">
        <f t="shared" si="243"/>
        <v>0</v>
      </c>
      <c r="AW481" s="1169">
        <f t="shared" si="244"/>
        <v>0</v>
      </c>
      <c r="AX481" s="1169">
        <f t="shared" si="245"/>
        <v>0</v>
      </c>
      <c r="AY481" s="1433">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69">
        <f t="shared" si="239"/>
        <v>0</v>
      </c>
      <c r="F482" s="1661"/>
      <c r="G482" s="4303">
        <f t="shared" si="240"/>
        <v>0</v>
      </c>
      <c r="H482" s="3455">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69">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69">
        <f t="shared" si="243"/>
        <v>0</v>
      </c>
      <c r="AW482" s="1169">
        <f t="shared" si="244"/>
        <v>0</v>
      </c>
      <c r="AX482" s="1169">
        <f t="shared" si="245"/>
        <v>0</v>
      </c>
      <c r="AY482" s="1433">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69">
        <f t="shared" si="239"/>
        <v>0</v>
      </c>
      <c r="F483" s="1661"/>
      <c r="G483" s="4303">
        <f t="shared" si="240"/>
        <v>0</v>
      </c>
      <c r="H483" s="3455">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69">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69">
        <f t="shared" si="243"/>
        <v>0</v>
      </c>
      <c r="AW483" s="1169">
        <f t="shared" si="244"/>
        <v>0</v>
      </c>
      <c r="AX483" s="1169">
        <f t="shared" si="245"/>
        <v>0</v>
      </c>
      <c r="AY483" s="1433">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69">
        <f t="shared" si="239"/>
        <v>0</v>
      </c>
      <c r="F484" s="1661"/>
      <c r="G484" s="4303">
        <f t="shared" si="240"/>
        <v>0</v>
      </c>
      <c r="H484" s="3455">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69">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69">
        <f t="shared" si="243"/>
        <v>0</v>
      </c>
      <c r="AW484" s="1169">
        <f t="shared" si="244"/>
        <v>0</v>
      </c>
      <c r="AX484" s="1169">
        <f t="shared" si="245"/>
        <v>0</v>
      </c>
      <c r="AY484" s="1433">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69">
        <f t="shared" si="239"/>
        <v>0</v>
      </c>
      <c r="F485" s="1661"/>
      <c r="G485" s="4303">
        <f t="shared" si="240"/>
        <v>0</v>
      </c>
      <c r="H485" s="3455">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69">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69">
        <f t="shared" si="243"/>
        <v>0</v>
      </c>
      <c r="AW485" s="1169">
        <f t="shared" si="244"/>
        <v>0</v>
      </c>
      <c r="AX485" s="1169">
        <f t="shared" si="245"/>
        <v>0</v>
      </c>
      <c r="AY485" s="1433">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69">
        <f t="shared" si="239"/>
        <v>0</v>
      </c>
      <c r="F486" s="1661"/>
      <c r="G486" s="4303">
        <f t="shared" si="240"/>
        <v>0</v>
      </c>
      <c r="H486" s="3455">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69">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69">
        <f t="shared" si="243"/>
        <v>0</v>
      </c>
      <c r="AW486" s="1169">
        <f t="shared" si="244"/>
        <v>0</v>
      </c>
      <c r="AX486" s="1169">
        <f t="shared" si="245"/>
        <v>0</v>
      </c>
      <c r="AY486" s="1433">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69">
        <f t="shared" si="239"/>
        <v>0</v>
      </c>
      <c r="F487" s="1661"/>
      <c r="G487" s="4303">
        <f t="shared" si="240"/>
        <v>0</v>
      </c>
      <c r="H487" s="3455">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69">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69">
        <f t="shared" si="243"/>
        <v>0</v>
      </c>
      <c r="AW487" s="1169">
        <f t="shared" si="244"/>
        <v>0</v>
      </c>
      <c r="AX487" s="1169">
        <f t="shared" si="245"/>
        <v>0</v>
      </c>
      <c r="AY487" s="1433">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69">
        <f t="shared" si="239"/>
        <v>0</v>
      </c>
      <c r="F488" s="1661"/>
      <c r="G488" s="4303">
        <f t="shared" si="240"/>
        <v>0</v>
      </c>
      <c r="H488" s="3455">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69">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69">
        <f t="shared" si="243"/>
        <v>0</v>
      </c>
      <c r="AW488" s="1169">
        <f t="shared" si="244"/>
        <v>0</v>
      </c>
      <c r="AX488" s="1169">
        <f t="shared" si="245"/>
        <v>0</v>
      </c>
      <c r="AY488" s="1433">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69">
        <f t="shared" si="239"/>
        <v>0</v>
      </c>
      <c r="F489" s="1661"/>
      <c r="G489" s="4303">
        <f t="shared" si="240"/>
        <v>0</v>
      </c>
      <c r="H489" s="3455">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69">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69">
        <f t="shared" si="243"/>
        <v>0</v>
      </c>
      <c r="AW489" s="1169">
        <f t="shared" si="244"/>
        <v>0</v>
      </c>
      <c r="AX489" s="1169">
        <f t="shared" si="245"/>
        <v>0</v>
      </c>
      <c r="AY489" s="1433">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69">
        <f t="shared" si="239"/>
        <v>0</v>
      </c>
      <c r="F490" s="1648"/>
      <c r="G490" s="4303">
        <f t="shared" ref="G490:G521" si="268">H490+AC490+AT490</f>
        <v>0</v>
      </c>
      <c r="H490" s="3455">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69">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69">
        <f t="shared" si="243"/>
        <v>0</v>
      </c>
      <c r="AW490" s="1169">
        <f t="shared" si="244"/>
        <v>0</v>
      </c>
      <c r="AX490" s="1169">
        <f t="shared" si="245"/>
        <v>0</v>
      </c>
      <c r="AY490" s="1433">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69">
        <f t="shared" si="239"/>
        <v>0</v>
      </c>
      <c r="F491" s="1648"/>
      <c r="G491" s="4303">
        <f t="shared" si="268"/>
        <v>0</v>
      </c>
      <c r="H491" s="3455">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69">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69">
        <f t="shared" si="243"/>
        <v>0</v>
      </c>
      <c r="AW491" s="1169">
        <f t="shared" si="244"/>
        <v>0</v>
      </c>
      <c r="AX491" s="1169">
        <f t="shared" si="245"/>
        <v>0</v>
      </c>
      <c r="AY491" s="1433">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69">
        <f t="shared" si="239"/>
        <v>0</v>
      </c>
      <c r="F492" s="1648"/>
      <c r="G492" s="4303">
        <f t="shared" si="268"/>
        <v>0</v>
      </c>
      <c r="H492" s="3455">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69">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69">
        <f t="shared" si="243"/>
        <v>0</v>
      </c>
      <c r="AW492" s="1169">
        <f t="shared" si="244"/>
        <v>0</v>
      </c>
      <c r="AX492" s="1169">
        <f t="shared" si="245"/>
        <v>0</v>
      </c>
      <c r="AY492" s="1433">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69">
        <f t="shared" ref="E493:E519" si="293">IF($C$3="是",ROUND($A$3*G493/$B$3,2),ROUND($A$3*(G493-AT493)/$B$3,2))</f>
        <v>0</v>
      </c>
      <c r="F493" s="1661"/>
      <c r="G493" s="4303">
        <f t="shared" si="268"/>
        <v>0</v>
      </c>
      <c r="H493" s="3455">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69">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69">
        <f t="shared" ref="AV493:AV520" si="294">A493</f>
        <v>0</v>
      </c>
      <c r="AW493" s="1169">
        <f t="shared" ref="AW493:AW520" si="295">B493</f>
        <v>0</v>
      </c>
      <c r="AX493" s="1169">
        <f t="shared" ref="AX493:AX520" si="296">C493</f>
        <v>0</v>
      </c>
      <c r="AY493" s="1433">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69">
        <f t="shared" si="293"/>
        <v>0</v>
      </c>
      <c r="F494" s="1661"/>
      <c r="G494" s="4303">
        <f t="shared" si="268"/>
        <v>0</v>
      </c>
      <c r="H494" s="3455">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69">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69">
        <f t="shared" si="294"/>
        <v>0</v>
      </c>
      <c r="AW494" s="1169">
        <f t="shared" si="295"/>
        <v>0</v>
      </c>
      <c r="AX494" s="1169">
        <f t="shared" si="296"/>
        <v>0</v>
      </c>
      <c r="AY494" s="1433">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69">
        <f t="shared" si="293"/>
        <v>0</v>
      </c>
      <c r="F495" s="1661"/>
      <c r="G495" s="4303">
        <f t="shared" si="268"/>
        <v>0</v>
      </c>
      <c r="H495" s="3455">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69">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69">
        <f t="shared" si="294"/>
        <v>0</v>
      </c>
      <c r="AW495" s="1169">
        <f t="shared" si="295"/>
        <v>0</v>
      </c>
      <c r="AX495" s="1169">
        <f t="shared" si="296"/>
        <v>0</v>
      </c>
      <c r="AY495" s="1433">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69">
        <f t="shared" si="293"/>
        <v>0</v>
      </c>
      <c r="F496" s="1661"/>
      <c r="G496" s="4303">
        <f t="shared" si="268"/>
        <v>0</v>
      </c>
      <c r="H496" s="3455">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69">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69">
        <f t="shared" si="294"/>
        <v>0</v>
      </c>
      <c r="AW496" s="1169">
        <f t="shared" si="295"/>
        <v>0</v>
      </c>
      <c r="AX496" s="1169">
        <f t="shared" si="296"/>
        <v>0</v>
      </c>
      <c r="AY496" s="1433">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69">
        <f t="shared" si="293"/>
        <v>0</v>
      </c>
      <c r="F497" s="1661"/>
      <c r="G497" s="4303">
        <f t="shared" si="268"/>
        <v>0</v>
      </c>
      <c r="H497" s="3455">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69">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69">
        <f t="shared" si="294"/>
        <v>0</v>
      </c>
      <c r="AW497" s="1169">
        <f t="shared" si="295"/>
        <v>0</v>
      </c>
      <c r="AX497" s="1169">
        <f t="shared" si="296"/>
        <v>0</v>
      </c>
      <c r="AY497" s="1433">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69">
        <f t="shared" si="293"/>
        <v>0</v>
      </c>
      <c r="F498" s="1661"/>
      <c r="G498" s="4303">
        <f t="shared" si="268"/>
        <v>0</v>
      </c>
      <c r="H498" s="3455">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69">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69">
        <f t="shared" si="294"/>
        <v>0</v>
      </c>
      <c r="AW498" s="1169">
        <f t="shared" si="295"/>
        <v>0</v>
      </c>
      <c r="AX498" s="1169">
        <f t="shared" si="296"/>
        <v>0</v>
      </c>
      <c r="AY498" s="1433">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69">
        <f t="shared" si="293"/>
        <v>0</v>
      </c>
      <c r="F499" s="1661"/>
      <c r="G499" s="4303">
        <f t="shared" si="268"/>
        <v>0</v>
      </c>
      <c r="H499" s="3455">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69">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69">
        <f t="shared" si="294"/>
        <v>0</v>
      </c>
      <c r="AW499" s="1169">
        <f t="shared" si="295"/>
        <v>0</v>
      </c>
      <c r="AX499" s="1169">
        <f t="shared" si="296"/>
        <v>0</v>
      </c>
      <c r="AY499" s="1433">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69">
        <f t="shared" si="293"/>
        <v>0</v>
      </c>
      <c r="F500" s="1661"/>
      <c r="G500" s="4303">
        <f t="shared" si="268"/>
        <v>0</v>
      </c>
      <c r="H500" s="3455">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69">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69">
        <f t="shared" si="294"/>
        <v>0</v>
      </c>
      <c r="AW500" s="1169">
        <f t="shared" si="295"/>
        <v>0</v>
      </c>
      <c r="AX500" s="1169">
        <f t="shared" si="296"/>
        <v>0</v>
      </c>
      <c r="AY500" s="1433">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69">
        <f t="shared" si="293"/>
        <v>0</v>
      </c>
      <c r="F501" s="1661"/>
      <c r="G501" s="4303">
        <f t="shared" si="268"/>
        <v>0</v>
      </c>
      <c r="H501" s="3455">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69">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69">
        <f t="shared" si="294"/>
        <v>0</v>
      </c>
      <c r="AW501" s="1169">
        <f t="shared" si="295"/>
        <v>0</v>
      </c>
      <c r="AX501" s="1169">
        <f t="shared" si="296"/>
        <v>0</v>
      </c>
      <c r="AY501" s="1433">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69">
        <f t="shared" si="293"/>
        <v>0</v>
      </c>
      <c r="F502" s="1661"/>
      <c r="G502" s="4303">
        <f t="shared" si="268"/>
        <v>0</v>
      </c>
      <c r="H502" s="3455">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69">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69">
        <f t="shared" si="294"/>
        <v>0</v>
      </c>
      <c r="AW502" s="1169">
        <f t="shared" si="295"/>
        <v>0</v>
      </c>
      <c r="AX502" s="1169">
        <f t="shared" si="296"/>
        <v>0</v>
      </c>
      <c r="AY502" s="1433">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69">
        <f t="shared" si="293"/>
        <v>0</v>
      </c>
      <c r="F503" s="1661"/>
      <c r="G503" s="4303">
        <f t="shared" si="268"/>
        <v>0</v>
      </c>
      <c r="H503" s="3455">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69">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69">
        <f t="shared" si="294"/>
        <v>0</v>
      </c>
      <c r="AW503" s="1169">
        <f t="shared" si="295"/>
        <v>0</v>
      </c>
      <c r="AX503" s="1169">
        <f t="shared" si="296"/>
        <v>0</v>
      </c>
      <c r="AY503" s="1433">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69">
        <f t="shared" si="293"/>
        <v>0</v>
      </c>
      <c r="F504" s="1661"/>
      <c r="G504" s="4303">
        <f t="shared" si="268"/>
        <v>0</v>
      </c>
      <c r="H504" s="3455">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69">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69">
        <f t="shared" si="294"/>
        <v>0</v>
      </c>
      <c r="AW504" s="1169">
        <f t="shared" si="295"/>
        <v>0</v>
      </c>
      <c r="AX504" s="1169">
        <f t="shared" si="296"/>
        <v>0</v>
      </c>
      <c r="AY504" s="1433">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69">
        <f t="shared" si="293"/>
        <v>0</v>
      </c>
      <c r="F505" s="1661"/>
      <c r="G505" s="4303">
        <f t="shared" si="268"/>
        <v>0</v>
      </c>
      <c r="H505" s="3455">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69">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69">
        <f t="shared" si="294"/>
        <v>0</v>
      </c>
      <c r="AW505" s="1169">
        <f t="shared" si="295"/>
        <v>0</v>
      </c>
      <c r="AX505" s="1169">
        <f t="shared" si="296"/>
        <v>0</v>
      </c>
      <c r="AY505" s="1433">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69">
        <f t="shared" si="293"/>
        <v>0</v>
      </c>
      <c r="F506" s="1661"/>
      <c r="G506" s="4303">
        <f t="shared" si="268"/>
        <v>0</v>
      </c>
      <c r="H506" s="3455">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69">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69">
        <f t="shared" si="294"/>
        <v>0</v>
      </c>
      <c r="AW506" s="1169">
        <f t="shared" si="295"/>
        <v>0</v>
      </c>
      <c r="AX506" s="1169">
        <f t="shared" si="296"/>
        <v>0</v>
      </c>
      <c r="AY506" s="1433">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69">
        <f t="shared" si="293"/>
        <v>0</v>
      </c>
      <c r="F507" s="1661"/>
      <c r="G507" s="4303">
        <f t="shared" si="268"/>
        <v>0</v>
      </c>
      <c r="H507" s="3455">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69">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69">
        <f t="shared" si="294"/>
        <v>0</v>
      </c>
      <c r="AW507" s="1169">
        <f t="shared" si="295"/>
        <v>0</v>
      </c>
      <c r="AX507" s="1169">
        <f t="shared" si="296"/>
        <v>0</v>
      </c>
      <c r="AY507" s="1433">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69">
        <f t="shared" si="293"/>
        <v>0</v>
      </c>
      <c r="F508" s="1661"/>
      <c r="G508" s="4303">
        <f t="shared" si="268"/>
        <v>0</v>
      </c>
      <c r="H508" s="3455">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69">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69">
        <f t="shared" si="294"/>
        <v>0</v>
      </c>
      <c r="AW508" s="1169">
        <f t="shared" si="295"/>
        <v>0</v>
      </c>
      <c r="AX508" s="1169">
        <f t="shared" si="296"/>
        <v>0</v>
      </c>
      <c r="AY508" s="1433">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69">
        <f t="shared" si="293"/>
        <v>0</v>
      </c>
      <c r="F509" s="1661"/>
      <c r="G509" s="4303">
        <f t="shared" si="268"/>
        <v>0</v>
      </c>
      <c r="H509" s="3455">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69">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69">
        <f t="shared" si="294"/>
        <v>0</v>
      </c>
      <c r="AW509" s="1169">
        <f t="shared" si="295"/>
        <v>0</v>
      </c>
      <c r="AX509" s="1169">
        <f t="shared" si="296"/>
        <v>0</v>
      </c>
      <c r="AY509" s="1433">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69">
        <f t="shared" si="293"/>
        <v>0</v>
      </c>
      <c r="F510" s="1661"/>
      <c r="G510" s="4303">
        <f t="shared" si="268"/>
        <v>0</v>
      </c>
      <c r="H510" s="3455">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69">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69">
        <f t="shared" si="294"/>
        <v>0</v>
      </c>
      <c r="AW510" s="1169">
        <f t="shared" si="295"/>
        <v>0</v>
      </c>
      <c r="AX510" s="1169">
        <f t="shared" si="296"/>
        <v>0</v>
      </c>
      <c r="AY510" s="1433">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69">
        <f t="shared" si="293"/>
        <v>0</v>
      </c>
      <c r="F511" s="1661"/>
      <c r="G511" s="4303">
        <f t="shared" si="268"/>
        <v>0</v>
      </c>
      <c r="H511" s="3455">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69">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69">
        <f t="shared" si="294"/>
        <v>0</v>
      </c>
      <c r="AW511" s="1169">
        <f t="shared" si="295"/>
        <v>0</v>
      </c>
      <c r="AX511" s="1169">
        <f t="shared" si="296"/>
        <v>0</v>
      </c>
      <c r="AY511" s="1433">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69">
        <f t="shared" si="293"/>
        <v>0</v>
      </c>
      <c r="F512" s="1661"/>
      <c r="G512" s="4303">
        <f t="shared" si="268"/>
        <v>0</v>
      </c>
      <c r="H512" s="3455">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69">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69">
        <f t="shared" si="294"/>
        <v>0</v>
      </c>
      <c r="AW512" s="1169">
        <f t="shared" si="295"/>
        <v>0</v>
      </c>
      <c r="AX512" s="1169">
        <f t="shared" si="296"/>
        <v>0</v>
      </c>
      <c r="AY512" s="1433">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69">
        <f t="shared" si="293"/>
        <v>0</v>
      </c>
      <c r="F513" s="1661"/>
      <c r="G513" s="4303">
        <f t="shared" si="268"/>
        <v>0</v>
      </c>
      <c r="H513" s="3455">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69">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69">
        <f t="shared" si="294"/>
        <v>0</v>
      </c>
      <c r="AW513" s="1169">
        <f t="shared" si="295"/>
        <v>0</v>
      </c>
      <c r="AX513" s="1169">
        <f t="shared" si="296"/>
        <v>0</v>
      </c>
      <c r="AY513" s="1433">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69">
        <f t="shared" si="293"/>
        <v>0</v>
      </c>
      <c r="F514" s="1661"/>
      <c r="G514" s="4303">
        <f t="shared" si="268"/>
        <v>0</v>
      </c>
      <c r="H514" s="3455">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69">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69">
        <f t="shared" si="294"/>
        <v>0</v>
      </c>
      <c r="AW514" s="1169">
        <f t="shared" si="295"/>
        <v>0</v>
      </c>
      <c r="AX514" s="1169">
        <f t="shared" si="296"/>
        <v>0</v>
      </c>
      <c r="AY514" s="1433">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69">
        <f t="shared" si="293"/>
        <v>0</v>
      </c>
      <c r="F515" s="1661"/>
      <c r="G515" s="4303">
        <f t="shared" si="268"/>
        <v>0</v>
      </c>
      <c r="H515" s="3455">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69">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69">
        <f t="shared" si="294"/>
        <v>0</v>
      </c>
      <c r="AW515" s="1169">
        <f t="shared" si="295"/>
        <v>0</v>
      </c>
      <c r="AX515" s="1169">
        <f t="shared" si="296"/>
        <v>0</v>
      </c>
      <c r="AY515" s="1433">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69">
        <f t="shared" si="293"/>
        <v>0</v>
      </c>
      <c r="F516" s="1661"/>
      <c r="G516" s="4303">
        <f t="shared" si="268"/>
        <v>0</v>
      </c>
      <c r="H516" s="3455">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69">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69">
        <f t="shared" si="294"/>
        <v>0</v>
      </c>
      <c r="AW516" s="1169">
        <f t="shared" si="295"/>
        <v>0</v>
      </c>
      <c r="AX516" s="1169">
        <f t="shared" si="296"/>
        <v>0</v>
      </c>
      <c r="AY516" s="1433">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69">
        <f t="shared" si="293"/>
        <v>0</v>
      </c>
      <c r="F517" s="1661"/>
      <c r="G517" s="4303">
        <f t="shared" si="268"/>
        <v>0</v>
      </c>
      <c r="H517" s="3455">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69">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69">
        <f t="shared" si="294"/>
        <v>0</v>
      </c>
      <c r="AW517" s="1169">
        <f t="shared" si="295"/>
        <v>0</v>
      </c>
      <c r="AX517" s="1169">
        <f t="shared" si="296"/>
        <v>0</v>
      </c>
      <c r="AY517" s="1433">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69">
        <f t="shared" si="293"/>
        <v>0</v>
      </c>
      <c r="F518" s="1661"/>
      <c r="G518" s="4303">
        <f t="shared" si="268"/>
        <v>0</v>
      </c>
      <c r="H518" s="3455">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69">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69">
        <f t="shared" si="294"/>
        <v>0</v>
      </c>
      <c r="AW518" s="1169">
        <f t="shared" si="295"/>
        <v>0</v>
      </c>
      <c r="AX518" s="1169">
        <f t="shared" si="296"/>
        <v>0</v>
      </c>
      <c r="AY518" s="1433">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69">
        <f t="shared" si="293"/>
        <v>0</v>
      </c>
      <c r="F519" s="1661"/>
      <c r="G519" s="4303">
        <f t="shared" si="268"/>
        <v>0</v>
      </c>
      <c r="H519" s="3455">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69">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69">
        <f t="shared" si="294"/>
        <v>0</v>
      </c>
      <c r="AW519" s="1169">
        <f t="shared" si="295"/>
        <v>0</v>
      </c>
      <c r="AX519" s="1169">
        <f t="shared" si="296"/>
        <v>0</v>
      </c>
      <c r="AY519" s="1433">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69">
        <f t="shared" ref="E520:E551" si="297">IF($C$3="是",ROUND($A$3*G520/$B$3,2),ROUND($A$3*(G520-AT520)/$B$3,2))</f>
        <v>0</v>
      </c>
      <c r="F520" s="1661"/>
      <c r="G520" s="4303">
        <f t="shared" si="268"/>
        <v>0</v>
      </c>
      <c r="H520" s="3455">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69">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69">
        <f t="shared" si="294"/>
        <v>0</v>
      </c>
      <c r="AW520" s="1169">
        <f t="shared" si="295"/>
        <v>0</v>
      </c>
      <c r="AX520" s="1169">
        <f t="shared" si="296"/>
        <v>0</v>
      </c>
      <c r="AY520" s="1433">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69">
        <f t="shared" si="297"/>
        <v>0</v>
      </c>
      <c r="F521" s="1661"/>
      <c r="G521" s="4303">
        <f t="shared" si="268"/>
        <v>0</v>
      </c>
      <c r="H521" s="3455">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69">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69">
        <f t="shared" ref="AV521:AV552" si="298">A521</f>
        <v>0</v>
      </c>
      <c r="AW521" s="1169">
        <f t="shared" ref="AW521:AW552" si="299">B521</f>
        <v>0</v>
      </c>
      <c r="AX521" s="1169">
        <f t="shared" ref="AX521:AX552" si="300">C521</f>
        <v>0</v>
      </c>
      <c r="AY521" s="1433">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69">
        <f t="shared" si="297"/>
        <v>0</v>
      </c>
      <c r="F522" s="1661"/>
      <c r="G522" s="4303">
        <f t="shared" ref="G522:G552" si="301">H522+AC522+AT522</f>
        <v>0</v>
      </c>
      <c r="H522" s="3455">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69">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69">
        <f t="shared" si="298"/>
        <v>0</v>
      </c>
      <c r="AW522" s="1169">
        <f t="shared" si="299"/>
        <v>0</v>
      </c>
      <c r="AX522" s="1169">
        <f t="shared" si="300"/>
        <v>0</v>
      </c>
      <c r="AY522" s="1433">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69">
        <f t="shared" si="297"/>
        <v>0</v>
      </c>
      <c r="F523" s="1661"/>
      <c r="G523" s="4303">
        <f t="shared" si="301"/>
        <v>0</v>
      </c>
      <c r="H523" s="3455">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69">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69">
        <f t="shared" si="298"/>
        <v>0</v>
      </c>
      <c r="AW523" s="1169">
        <f t="shared" si="299"/>
        <v>0</v>
      </c>
      <c r="AX523" s="1169">
        <f t="shared" si="300"/>
        <v>0</v>
      </c>
      <c r="AY523" s="1433">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69">
        <f t="shared" si="297"/>
        <v>0</v>
      </c>
      <c r="F524" s="1661"/>
      <c r="G524" s="4303">
        <f t="shared" si="301"/>
        <v>0</v>
      </c>
      <c r="H524" s="3455">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69">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69">
        <f t="shared" si="298"/>
        <v>0</v>
      </c>
      <c r="AW524" s="1169">
        <f t="shared" si="299"/>
        <v>0</v>
      </c>
      <c r="AX524" s="1169">
        <f t="shared" si="300"/>
        <v>0</v>
      </c>
      <c r="AY524" s="1433">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69">
        <f t="shared" si="297"/>
        <v>0</v>
      </c>
      <c r="F525" s="1661"/>
      <c r="G525" s="4303">
        <f t="shared" si="301"/>
        <v>0</v>
      </c>
      <c r="H525" s="3455">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69">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69">
        <f t="shared" si="298"/>
        <v>0</v>
      </c>
      <c r="AW525" s="1169">
        <f t="shared" si="299"/>
        <v>0</v>
      </c>
      <c r="AX525" s="1169">
        <f t="shared" si="300"/>
        <v>0</v>
      </c>
      <c r="AY525" s="1433">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69">
        <f t="shared" si="297"/>
        <v>0</v>
      </c>
      <c r="F526" s="1661"/>
      <c r="G526" s="4303">
        <f t="shared" si="301"/>
        <v>0</v>
      </c>
      <c r="H526" s="3455">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69">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69">
        <f t="shared" si="298"/>
        <v>0</v>
      </c>
      <c r="AW526" s="1169">
        <f t="shared" si="299"/>
        <v>0</v>
      </c>
      <c r="AX526" s="1169">
        <f t="shared" si="300"/>
        <v>0</v>
      </c>
      <c r="AY526" s="1433">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69">
        <f t="shared" si="297"/>
        <v>0</v>
      </c>
      <c r="F527" s="1661"/>
      <c r="G527" s="4303">
        <f t="shared" si="301"/>
        <v>0</v>
      </c>
      <c r="H527" s="3455">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69">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69">
        <f t="shared" si="298"/>
        <v>0</v>
      </c>
      <c r="AW527" s="1169">
        <f t="shared" si="299"/>
        <v>0</v>
      </c>
      <c r="AX527" s="1169">
        <f t="shared" si="300"/>
        <v>0</v>
      </c>
      <c r="AY527" s="1433">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69">
        <f t="shared" si="297"/>
        <v>0</v>
      </c>
      <c r="F528" s="1661"/>
      <c r="G528" s="4303">
        <f t="shared" si="301"/>
        <v>0</v>
      </c>
      <c r="H528" s="3455">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69">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69">
        <f t="shared" si="298"/>
        <v>0</v>
      </c>
      <c r="AW528" s="1169">
        <f t="shared" si="299"/>
        <v>0</v>
      </c>
      <c r="AX528" s="1169">
        <f t="shared" si="300"/>
        <v>0</v>
      </c>
      <c r="AY528" s="1433">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69">
        <f t="shared" si="297"/>
        <v>0</v>
      </c>
      <c r="F529" s="1661"/>
      <c r="G529" s="4303">
        <f t="shared" si="301"/>
        <v>0</v>
      </c>
      <c r="H529" s="3455">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69">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69">
        <f t="shared" si="298"/>
        <v>0</v>
      </c>
      <c r="AW529" s="1169">
        <f t="shared" si="299"/>
        <v>0</v>
      </c>
      <c r="AX529" s="1169">
        <f t="shared" si="300"/>
        <v>0</v>
      </c>
      <c r="AY529" s="1433">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69">
        <f t="shared" si="297"/>
        <v>0</v>
      </c>
      <c r="F530" s="1661"/>
      <c r="G530" s="4303">
        <f t="shared" si="301"/>
        <v>0</v>
      </c>
      <c r="H530" s="3455">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69">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69">
        <f t="shared" si="298"/>
        <v>0</v>
      </c>
      <c r="AW530" s="1169">
        <f t="shared" si="299"/>
        <v>0</v>
      </c>
      <c r="AX530" s="1169">
        <f t="shared" si="300"/>
        <v>0</v>
      </c>
      <c r="AY530" s="1433">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69">
        <f t="shared" si="297"/>
        <v>0</v>
      </c>
      <c r="F531" s="1661"/>
      <c r="G531" s="4303">
        <f t="shared" si="301"/>
        <v>0</v>
      </c>
      <c r="H531" s="3455">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69">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69">
        <f t="shared" si="298"/>
        <v>0</v>
      </c>
      <c r="AW531" s="1169">
        <f t="shared" si="299"/>
        <v>0</v>
      </c>
      <c r="AX531" s="1169">
        <f t="shared" si="300"/>
        <v>0</v>
      </c>
      <c r="AY531" s="1433">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69">
        <f t="shared" si="297"/>
        <v>0</v>
      </c>
      <c r="F532" s="1661"/>
      <c r="G532" s="4303">
        <f t="shared" si="301"/>
        <v>0</v>
      </c>
      <c r="H532" s="3455">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69">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69">
        <f t="shared" si="298"/>
        <v>0</v>
      </c>
      <c r="AW532" s="1169">
        <f t="shared" si="299"/>
        <v>0</v>
      </c>
      <c r="AX532" s="1169">
        <f t="shared" si="300"/>
        <v>0</v>
      </c>
      <c r="AY532" s="1433">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69">
        <f t="shared" si="297"/>
        <v>0</v>
      </c>
      <c r="F533" s="1661"/>
      <c r="G533" s="4303">
        <f t="shared" si="301"/>
        <v>0</v>
      </c>
      <c r="H533" s="3455">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69">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69">
        <f t="shared" si="298"/>
        <v>0</v>
      </c>
      <c r="AW533" s="1169">
        <f t="shared" si="299"/>
        <v>0</v>
      </c>
      <c r="AX533" s="1169">
        <f t="shared" si="300"/>
        <v>0</v>
      </c>
      <c r="AY533" s="1433">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69">
        <f t="shared" si="297"/>
        <v>0</v>
      </c>
      <c r="F534" s="1661"/>
      <c r="G534" s="4303">
        <f t="shared" si="301"/>
        <v>0</v>
      </c>
      <c r="H534" s="3455">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69">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69">
        <f t="shared" si="298"/>
        <v>0</v>
      </c>
      <c r="AW534" s="1169">
        <f t="shared" si="299"/>
        <v>0</v>
      </c>
      <c r="AX534" s="1169">
        <f t="shared" si="300"/>
        <v>0</v>
      </c>
      <c r="AY534" s="1433">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69">
        <f t="shared" si="297"/>
        <v>0</v>
      </c>
      <c r="F535" s="1661"/>
      <c r="G535" s="4303">
        <f t="shared" si="301"/>
        <v>0</v>
      </c>
      <c r="H535" s="3455">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69">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69">
        <f t="shared" si="298"/>
        <v>0</v>
      </c>
      <c r="AW535" s="1169">
        <f t="shared" si="299"/>
        <v>0</v>
      </c>
      <c r="AX535" s="1169">
        <f t="shared" si="300"/>
        <v>0</v>
      </c>
      <c r="AY535" s="1433">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69">
        <f t="shared" si="297"/>
        <v>0</v>
      </c>
      <c r="F536" s="1661"/>
      <c r="G536" s="4303">
        <f t="shared" si="301"/>
        <v>0</v>
      </c>
      <c r="H536" s="3455">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69">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69">
        <f t="shared" si="298"/>
        <v>0</v>
      </c>
      <c r="AW536" s="1169">
        <f t="shared" si="299"/>
        <v>0</v>
      </c>
      <c r="AX536" s="1169">
        <f t="shared" si="300"/>
        <v>0</v>
      </c>
      <c r="AY536" s="1433">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69">
        <f t="shared" si="297"/>
        <v>0</v>
      </c>
      <c r="F537" s="1661"/>
      <c r="G537" s="4303">
        <f t="shared" si="301"/>
        <v>0</v>
      </c>
      <c r="H537" s="3455">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69">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69">
        <f t="shared" si="298"/>
        <v>0</v>
      </c>
      <c r="AW537" s="1169">
        <f t="shared" si="299"/>
        <v>0</v>
      </c>
      <c r="AX537" s="1169">
        <f t="shared" si="300"/>
        <v>0</v>
      </c>
      <c r="AY537" s="1433">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69">
        <f t="shared" si="297"/>
        <v>0</v>
      </c>
      <c r="F538" s="1661"/>
      <c r="G538" s="4303">
        <f t="shared" si="301"/>
        <v>0</v>
      </c>
      <c r="H538" s="3455">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69">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69">
        <f t="shared" si="298"/>
        <v>0</v>
      </c>
      <c r="AW538" s="1169">
        <f t="shared" si="299"/>
        <v>0</v>
      </c>
      <c r="AX538" s="1169">
        <f t="shared" si="300"/>
        <v>0</v>
      </c>
      <c r="AY538" s="1433">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69">
        <f t="shared" si="297"/>
        <v>0</v>
      </c>
      <c r="F539" s="1661"/>
      <c r="G539" s="4303">
        <f t="shared" si="301"/>
        <v>0</v>
      </c>
      <c r="H539" s="3455">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69">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69">
        <f t="shared" si="298"/>
        <v>0</v>
      </c>
      <c r="AW539" s="1169">
        <f t="shared" si="299"/>
        <v>0</v>
      </c>
      <c r="AX539" s="1169">
        <f t="shared" si="300"/>
        <v>0</v>
      </c>
      <c r="AY539" s="1433">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69">
        <f t="shared" si="297"/>
        <v>0</v>
      </c>
      <c r="F540" s="1661"/>
      <c r="G540" s="4303">
        <f t="shared" si="301"/>
        <v>0</v>
      </c>
      <c r="H540" s="3455">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69">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69">
        <f t="shared" si="298"/>
        <v>0</v>
      </c>
      <c r="AW540" s="1169">
        <f t="shared" si="299"/>
        <v>0</v>
      </c>
      <c r="AX540" s="1169">
        <f t="shared" si="300"/>
        <v>0</v>
      </c>
      <c r="AY540" s="1433">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69">
        <f t="shared" si="297"/>
        <v>0</v>
      </c>
      <c r="F541" s="1661"/>
      <c r="G541" s="4303">
        <f t="shared" si="301"/>
        <v>0</v>
      </c>
      <c r="H541" s="3455">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69">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69">
        <f t="shared" si="298"/>
        <v>0</v>
      </c>
      <c r="AW541" s="1169">
        <f t="shared" si="299"/>
        <v>0</v>
      </c>
      <c r="AX541" s="1169">
        <f t="shared" si="300"/>
        <v>0</v>
      </c>
      <c r="AY541" s="1433">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69">
        <f t="shared" si="297"/>
        <v>0</v>
      </c>
      <c r="F542" s="1661"/>
      <c r="G542" s="4303">
        <f t="shared" si="301"/>
        <v>0</v>
      </c>
      <c r="H542" s="3455">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69">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69">
        <f t="shared" si="298"/>
        <v>0</v>
      </c>
      <c r="AW542" s="1169">
        <f t="shared" si="299"/>
        <v>0</v>
      </c>
      <c r="AX542" s="1169">
        <f t="shared" si="300"/>
        <v>0</v>
      </c>
      <c r="AY542" s="1433">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69">
        <f t="shared" si="297"/>
        <v>0</v>
      </c>
      <c r="F543" s="1661"/>
      <c r="G543" s="4303">
        <f t="shared" si="301"/>
        <v>0</v>
      </c>
      <c r="H543" s="3455">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69">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69">
        <f t="shared" si="298"/>
        <v>0</v>
      </c>
      <c r="AW543" s="1169">
        <f t="shared" si="299"/>
        <v>0</v>
      </c>
      <c r="AX543" s="1169">
        <f t="shared" si="300"/>
        <v>0</v>
      </c>
      <c r="AY543" s="1433">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69">
        <f t="shared" si="297"/>
        <v>0</v>
      </c>
      <c r="F544" s="1661"/>
      <c r="G544" s="4303">
        <f t="shared" si="301"/>
        <v>0</v>
      </c>
      <c r="H544" s="3455">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69">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69">
        <f t="shared" si="298"/>
        <v>0</v>
      </c>
      <c r="AW544" s="1169">
        <f t="shared" si="299"/>
        <v>0</v>
      </c>
      <c r="AX544" s="1169">
        <f t="shared" si="300"/>
        <v>0</v>
      </c>
      <c r="AY544" s="1433">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69">
        <f t="shared" si="297"/>
        <v>0</v>
      </c>
      <c r="F545" s="1661"/>
      <c r="G545" s="4303">
        <f t="shared" si="301"/>
        <v>0</v>
      </c>
      <c r="H545" s="3455">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69">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69">
        <f t="shared" si="298"/>
        <v>0</v>
      </c>
      <c r="AW545" s="1169">
        <f t="shared" si="299"/>
        <v>0</v>
      </c>
      <c r="AX545" s="1169">
        <f t="shared" si="300"/>
        <v>0</v>
      </c>
      <c r="AY545" s="1433">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69">
        <f t="shared" si="297"/>
        <v>0</v>
      </c>
      <c r="F546" s="1661"/>
      <c r="G546" s="4303">
        <f t="shared" si="301"/>
        <v>0</v>
      </c>
      <c r="H546" s="3455">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69">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69">
        <f t="shared" si="298"/>
        <v>0</v>
      </c>
      <c r="AW546" s="1169">
        <f t="shared" si="299"/>
        <v>0</v>
      </c>
      <c r="AX546" s="1169">
        <f t="shared" si="300"/>
        <v>0</v>
      </c>
      <c r="AY546" s="1433">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69">
        <f t="shared" si="297"/>
        <v>0</v>
      </c>
      <c r="F547" s="1661"/>
      <c r="G547" s="4303">
        <f t="shared" si="301"/>
        <v>0</v>
      </c>
      <c r="H547" s="3455">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69">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69">
        <f t="shared" si="298"/>
        <v>0</v>
      </c>
      <c r="AW547" s="1169">
        <f t="shared" si="299"/>
        <v>0</v>
      </c>
      <c r="AX547" s="1169">
        <f t="shared" si="300"/>
        <v>0</v>
      </c>
      <c r="AY547" s="1433">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69">
        <f t="shared" si="297"/>
        <v>0</v>
      </c>
      <c r="F548" s="1661"/>
      <c r="G548" s="4303">
        <f t="shared" si="301"/>
        <v>0</v>
      </c>
      <c r="H548" s="3455">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69">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69">
        <f t="shared" si="298"/>
        <v>0</v>
      </c>
      <c r="AW548" s="1169">
        <f t="shared" si="299"/>
        <v>0</v>
      </c>
      <c r="AX548" s="1169">
        <f t="shared" si="300"/>
        <v>0</v>
      </c>
      <c r="AY548" s="1433">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69">
        <f t="shared" si="297"/>
        <v>0</v>
      </c>
      <c r="F549" s="1661"/>
      <c r="G549" s="4303">
        <f t="shared" si="301"/>
        <v>0</v>
      </c>
      <c r="H549" s="3455">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69">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69">
        <f t="shared" si="298"/>
        <v>0</v>
      </c>
      <c r="AW549" s="1169">
        <f t="shared" si="299"/>
        <v>0</v>
      </c>
      <c r="AX549" s="1169">
        <f t="shared" si="300"/>
        <v>0</v>
      </c>
      <c r="AY549" s="1433">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69">
        <f t="shared" si="297"/>
        <v>0</v>
      </c>
      <c r="F550" s="1661"/>
      <c r="G550" s="4303">
        <f t="shared" si="301"/>
        <v>0</v>
      </c>
      <c r="H550" s="3455">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69">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69">
        <f t="shared" si="298"/>
        <v>0</v>
      </c>
      <c r="AW550" s="1169">
        <f t="shared" si="299"/>
        <v>0</v>
      </c>
      <c r="AX550" s="1169">
        <f t="shared" si="300"/>
        <v>0</v>
      </c>
      <c r="AY550" s="1433">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69">
        <f t="shared" si="297"/>
        <v>0</v>
      </c>
      <c r="F551" s="1661"/>
      <c r="G551" s="4303">
        <f t="shared" si="301"/>
        <v>0</v>
      </c>
      <c r="H551" s="3455">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69">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69">
        <f t="shared" si="298"/>
        <v>0</v>
      </c>
      <c r="AW551" s="1169">
        <f t="shared" si="299"/>
        <v>0</v>
      </c>
      <c r="AX551" s="1169">
        <f t="shared" si="300"/>
        <v>0</v>
      </c>
      <c r="AY551" s="1433">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69">
        <f t="shared" ref="E552:E587" si="326">IF($C$3="是",ROUND($A$3*G552/$B$3,2),ROUND($A$3*(G552-AT552)/$B$3,2))</f>
        <v>0</v>
      </c>
      <c r="F552" s="1661"/>
      <c r="G552" s="4303">
        <f t="shared" si="301"/>
        <v>0</v>
      </c>
      <c r="H552" s="3455">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69">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69">
        <f t="shared" si="298"/>
        <v>0</v>
      </c>
      <c r="AW552" s="1169">
        <f t="shared" si="299"/>
        <v>0</v>
      </c>
      <c r="AX552" s="1169">
        <f t="shared" si="300"/>
        <v>0</v>
      </c>
      <c r="AY552" s="1433">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69">
        <f t="shared" si="326"/>
        <v>0</v>
      </c>
      <c r="F553" s="1661"/>
      <c r="G553" s="4303">
        <f t="shared" ref="G553:G587" si="327">H553+AC553+AT553</f>
        <v>0</v>
      </c>
      <c r="H553" s="3455">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69">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69">
        <f t="shared" ref="AV553:AV587" si="330">A553</f>
        <v>0</v>
      </c>
      <c r="AW553" s="1169">
        <f t="shared" ref="AW553:AW587" si="331">B553</f>
        <v>0</v>
      </c>
      <c r="AX553" s="1169">
        <f t="shared" ref="AX553:AX587" si="332">C553</f>
        <v>0</v>
      </c>
      <c r="AY553" s="1433">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69">
        <f t="shared" si="326"/>
        <v>0</v>
      </c>
      <c r="F554" s="1661"/>
      <c r="G554" s="4303">
        <f t="shared" si="327"/>
        <v>0</v>
      </c>
      <c r="H554" s="3455">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69">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69">
        <f t="shared" si="330"/>
        <v>0</v>
      </c>
      <c r="AW554" s="1169">
        <f t="shared" si="331"/>
        <v>0</v>
      </c>
      <c r="AX554" s="1169">
        <f t="shared" si="332"/>
        <v>0</v>
      </c>
      <c r="AY554" s="1433">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69">
        <f t="shared" si="326"/>
        <v>0</v>
      </c>
      <c r="F555" s="1661"/>
      <c r="G555" s="4303">
        <f t="shared" si="327"/>
        <v>0</v>
      </c>
      <c r="H555" s="3455">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69">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69">
        <f t="shared" si="330"/>
        <v>0</v>
      </c>
      <c r="AW555" s="1169">
        <f t="shared" si="331"/>
        <v>0</v>
      </c>
      <c r="AX555" s="1169">
        <f t="shared" si="332"/>
        <v>0</v>
      </c>
      <c r="AY555" s="1433">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69">
        <f t="shared" si="326"/>
        <v>0</v>
      </c>
      <c r="F556" s="1661"/>
      <c r="G556" s="4303">
        <f t="shared" si="327"/>
        <v>0</v>
      </c>
      <c r="H556" s="3455">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69">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69">
        <f t="shared" si="330"/>
        <v>0</v>
      </c>
      <c r="AW556" s="1169">
        <f t="shared" si="331"/>
        <v>0</v>
      </c>
      <c r="AX556" s="1169">
        <f t="shared" si="332"/>
        <v>0</v>
      </c>
      <c r="AY556" s="1433">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69">
        <f t="shared" si="326"/>
        <v>0</v>
      </c>
      <c r="F557" s="1661"/>
      <c r="G557" s="4303">
        <f t="shared" si="327"/>
        <v>0</v>
      </c>
      <c r="H557" s="3455">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69">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69">
        <f t="shared" si="330"/>
        <v>0</v>
      </c>
      <c r="AW557" s="1169">
        <f t="shared" si="331"/>
        <v>0</v>
      </c>
      <c r="AX557" s="1169">
        <f t="shared" si="332"/>
        <v>0</v>
      </c>
      <c r="AY557" s="1433">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69">
        <f t="shared" si="326"/>
        <v>0</v>
      </c>
      <c r="F558" s="1661"/>
      <c r="G558" s="4303">
        <f t="shared" si="327"/>
        <v>0</v>
      </c>
      <c r="H558" s="3455">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69">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69">
        <f t="shared" si="330"/>
        <v>0</v>
      </c>
      <c r="AW558" s="1169">
        <f t="shared" si="331"/>
        <v>0</v>
      </c>
      <c r="AX558" s="1169">
        <f t="shared" si="332"/>
        <v>0</v>
      </c>
      <c r="AY558" s="1433">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69">
        <f t="shared" si="326"/>
        <v>0</v>
      </c>
      <c r="F559" s="1661"/>
      <c r="G559" s="4303">
        <f t="shared" si="327"/>
        <v>0</v>
      </c>
      <c r="H559" s="3455">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69">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69">
        <f t="shared" si="330"/>
        <v>0</v>
      </c>
      <c r="AW559" s="1169">
        <f t="shared" si="331"/>
        <v>0</v>
      </c>
      <c r="AX559" s="1169">
        <f t="shared" si="332"/>
        <v>0</v>
      </c>
      <c r="AY559" s="1433">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69">
        <f t="shared" si="326"/>
        <v>0</v>
      </c>
      <c r="F560" s="1661"/>
      <c r="G560" s="4303">
        <f t="shared" si="327"/>
        <v>0</v>
      </c>
      <c r="H560" s="3455">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69">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69">
        <f t="shared" si="330"/>
        <v>0</v>
      </c>
      <c r="AW560" s="1169">
        <f t="shared" si="331"/>
        <v>0</v>
      </c>
      <c r="AX560" s="1169">
        <f t="shared" si="332"/>
        <v>0</v>
      </c>
      <c r="AY560" s="1433">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69">
        <f t="shared" si="326"/>
        <v>0</v>
      </c>
      <c r="F561" s="1661"/>
      <c r="G561" s="4303">
        <f t="shared" si="327"/>
        <v>0</v>
      </c>
      <c r="H561" s="3455">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69">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69">
        <f t="shared" si="330"/>
        <v>0</v>
      </c>
      <c r="AW561" s="1169">
        <f t="shared" si="331"/>
        <v>0</v>
      </c>
      <c r="AX561" s="1169">
        <f t="shared" si="332"/>
        <v>0</v>
      </c>
      <c r="AY561" s="1433">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69">
        <f t="shared" si="326"/>
        <v>0</v>
      </c>
      <c r="F562" s="1661"/>
      <c r="G562" s="4303">
        <f t="shared" si="327"/>
        <v>0</v>
      </c>
      <c r="H562" s="3455">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69">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69">
        <f t="shared" si="330"/>
        <v>0</v>
      </c>
      <c r="AW562" s="1169">
        <f t="shared" si="331"/>
        <v>0</v>
      </c>
      <c r="AX562" s="1169">
        <f t="shared" si="332"/>
        <v>0</v>
      </c>
      <c r="AY562" s="1433">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69">
        <f t="shared" si="326"/>
        <v>0</v>
      </c>
      <c r="F563" s="1661"/>
      <c r="G563" s="4303">
        <f t="shared" si="327"/>
        <v>0</v>
      </c>
      <c r="H563" s="3455">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69">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69">
        <f t="shared" si="330"/>
        <v>0</v>
      </c>
      <c r="AW563" s="1169">
        <f t="shared" si="331"/>
        <v>0</v>
      </c>
      <c r="AX563" s="1169">
        <f t="shared" si="332"/>
        <v>0</v>
      </c>
      <c r="AY563" s="1433">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69">
        <f t="shared" si="326"/>
        <v>0</v>
      </c>
      <c r="F564" s="1661"/>
      <c r="G564" s="4303">
        <f t="shared" si="327"/>
        <v>0</v>
      </c>
      <c r="H564" s="3455">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69">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69">
        <f t="shared" si="330"/>
        <v>0</v>
      </c>
      <c r="AW564" s="1169">
        <f t="shared" si="331"/>
        <v>0</v>
      </c>
      <c r="AX564" s="1169">
        <f t="shared" si="332"/>
        <v>0</v>
      </c>
      <c r="AY564" s="1433">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69">
        <f t="shared" si="326"/>
        <v>0</v>
      </c>
      <c r="F565" s="1661"/>
      <c r="G565" s="4303">
        <f t="shared" si="327"/>
        <v>0</v>
      </c>
      <c r="H565" s="3455">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69">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69">
        <f t="shared" si="330"/>
        <v>0</v>
      </c>
      <c r="AW565" s="1169">
        <f t="shared" si="331"/>
        <v>0</v>
      </c>
      <c r="AX565" s="1169">
        <f t="shared" si="332"/>
        <v>0</v>
      </c>
      <c r="AY565" s="1433">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69">
        <f t="shared" si="326"/>
        <v>0</v>
      </c>
      <c r="F566" s="1661"/>
      <c r="G566" s="4303">
        <f t="shared" si="327"/>
        <v>0</v>
      </c>
      <c r="H566" s="3455">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69">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69">
        <f t="shared" si="330"/>
        <v>0</v>
      </c>
      <c r="AW566" s="1169">
        <f t="shared" si="331"/>
        <v>0</v>
      </c>
      <c r="AX566" s="1169">
        <f t="shared" si="332"/>
        <v>0</v>
      </c>
      <c r="AY566" s="1433">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69">
        <f t="shared" si="326"/>
        <v>0</v>
      </c>
      <c r="F567" s="1661"/>
      <c r="G567" s="4303">
        <f t="shared" si="327"/>
        <v>0</v>
      </c>
      <c r="H567" s="3455">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69">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69">
        <f t="shared" si="330"/>
        <v>0</v>
      </c>
      <c r="AW567" s="1169">
        <f t="shared" si="331"/>
        <v>0</v>
      </c>
      <c r="AX567" s="1169">
        <f t="shared" si="332"/>
        <v>0</v>
      </c>
      <c r="AY567" s="1433">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69">
        <f t="shared" si="326"/>
        <v>0</v>
      </c>
      <c r="F568" s="1661"/>
      <c r="G568" s="4303">
        <f t="shared" si="327"/>
        <v>0</v>
      </c>
      <c r="H568" s="3455">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69">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69">
        <f t="shared" si="330"/>
        <v>0</v>
      </c>
      <c r="AW568" s="1169">
        <f t="shared" si="331"/>
        <v>0</v>
      </c>
      <c r="AX568" s="1169">
        <f t="shared" si="332"/>
        <v>0</v>
      </c>
      <c r="AY568" s="1433">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69">
        <f t="shared" si="326"/>
        <v>0</v>
      </c>
      <c r="F569" s="1661"/>
      <c r="G569" s="4303">
        <f t="shared" si="327"/>
        <v>0</v>
      </c>
      <c r="H569" s="3455">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69">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69">
        <f t="shared" si="330"/>
        <v>0</v>
      </c>
      <c r="AW569" s="1169">
        <f t="shared" si="331"/>
        <v>0</v>
      </c>
      <c r="AX569" s="1169">
        <f t="shared" si="332"/>
        <v>0</v>
      </c>
      <c r="AY569" s="1433">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69">
        <f t="shared" si="326"/>
        <v>0</v>
      </c>
      <c r="F570" s="1661"/>
      <c r="G570" s="4303">
        <f t="shared" si="327"/>
        <v>0</v>
      </c>
      <c r="H570" s="3455">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69">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69">
        <f t="shared" si="330"/>
        <v>0</v>
      </c>
      <c r="AW570" s="1169">
        <f t="shared" si="331"/>
        <v>0</v>
      </c>
      <c r="AX570" s="1169">
        <f t="shared" si="332"/>
        <v>0</v>
      </c>
      <c r="AY570" s="1433">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69">
        <f t="shared" si="326"/>
        <v>0</v>
      </c>
      <c r="F571" s="1661"/>
      <c r="G571" s="4303">
        <f t="shared" si="327"/>
        <v>0</v>
      </c>
      <c r="H571" s="3455">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69">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69">
        <f t="shared" si="330"/>
        <v>0</v>
      </c>
      <c r="AW571" s="1169">
        <f t="shared" si="331"/>
        <v>0</v>
      </c>
      <c r="AX571" s="1169">
        <f t="shared" si="332"/>
        <v>0</v>
      </c>
      <c r="AY571" s="1433">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69">
        <f t="shared" si="326"/>
        <v>0</v>
      </c>
      <c r="F572" s="1661"/>
      <c r="G572" s="4303">
        <f t="shared" si="327"/>
        <v>0</v>
      </c>
      <c r="H572" s="3455">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69">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69">
        <f t="shared" si="330"/>
        <v>0</v>
      </c>
      <c r="AW572" s="1169">
        <f t="shared" si="331"/>
        <v>0</v>
      </c>
      <c r="AX572" s="1169">
        <f t="shared" si="332"/>
        <v>0</v>
      </c>
      <c r="AY572" s="1433">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69">
        <f t="shared" si="326"/>
        <v>0</v>
      </c>
      <c r="F573" s="1661"/>
      <c r="G573" s="4303">
        <f t="shared" si="327"/>
        <v>0</v>
      </c>
      <c r="H573" s="3455">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69">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69">
        <f t="shared" si="330"/>
        <v>0</v>
      </c>
      <c r="AW573" s="1169">
        <f t="shared" si="331"/>
        <v>0</v>
      </c>
      <c r="AX573" s="1169">
        <f t="shared" si="332"/>
        <v>0</v>
      </c>
      <c r="AY573" s="1433">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69">
        <f t="shared" si="326"/>
        <v>0</v>
      </c>
      <c r="F574" s="1661"/>
      <c r="G574" s="4303">
        <f t="shared" si="327"/>
        <v>0</v>
      </c>
      <c r="H574" s="3455">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69">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69">
        <f t="shared" si="330"/>
        <v>0</v>
      </c>
      <c r="AW574" s="1169">
        <f t="shared" si="331"/>
        <v>0</v>
      </c>
      <c r="AX574" s="1169">
        <f t="shared" si="332"/>
        <v>0</v>
      </c>
      <c r="AY574" s="1433">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69">
        <f t="shared" si="326"/>
        <v>0</v>
      </c>
      <c r="F575" s="1661"/>
      <c r="G575" s="4303">
        <f t="shared" si="327"/>
        <v>0</v>
      </c>
      <c r="H575" s="3455">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69">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69">
        <f t="shared" si="330"/>
        <v>0</v>
      </c>
      <c r="AW575" s="1169">
        <f t="shared" si="331"/>
        <v>0</v>
      </c>
      <c r="AX575" s="1169">
        <f t="shared" si="332"/>
        <v>0</v>
      </c>
      <c r="AY575" s="1433">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69">
        <f t="shared" si="326"/>
        <v>0</v>
      </c>
      <c r="F576" s="1661"/>
      <c r="G576" s="4303">
        <f t="shared" si="327"/>
        <v>0</v>
      </c>
      <c r="H576" s="3455">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69">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69">
        <f t="shared" si="330"/>
        <v>0</v>
      </c>
      <c r="AW576" s="1169">
        <f t="shared" si="331"/>
        <v>0</v>
      </c>
      <c r="AX576" s="1169">
        <f t="shared" si="332"/>
        <v>0</v>
      </c>
      <c r="AY576" s="1433">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69">
        <f t="shared" si="326"/>
        <v>0</v>
      </c>
      <c r="F577" s="1661"/>
      <c r="G577" s="4303">
        <f t="shared" si="327"/>
        <v>0</v>
      </c>
      <c r="H577" s="3455">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69">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69">
        <f t="shared" si="330"/>
        <v>0</v>
      </c>
      <c r="AW577" s="1169">
        <f t="shared" si="331"/>
        <v>0</v>
      </c>
      <c r="AX577" s="1169">
        <f t="shared" si="332"/>
        <v>0</v>
      </c>
      <c r="AY577" s="1433">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69">
        <f t="shared" si="326"/>
        <v>0</v>
      </c>
      <c r="F578" s="1661"/>
      <c r="G578" s="4303">
        <f t="shared" si="327"/>
        <v>0</v>
      </c>
      <c r="H578" s="3455">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69">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69">
        <f t="shared" si="330"/>
        <v>0</v>
      </c>
      <c r="AW578" s="1169">
        <f t="shared" si="331"/>
        <v>0</v>
      </c>
      <c r="AX578" s="1169">
        <f t="shared" si="332"/>
        <v>0</v>
      </c>
      <c r="AY578" s="1433">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69">
        <f t="shared" si="326"/>
        <v>0</v>
      </c>
      <c r="F579" s="1661"/>
      <c r="G579" s="4303">
        <f t="shared" si="327"/>
        <v>0</v>
      </c>
      <c r="H579" s="3455">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69">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69">
        <f t="shared" si="330"/>
        <v>0</v>
      </c>
      <c r="AW579" s="1169">
        <f t="shared" si="331"/>
        <v>0</v>
      </c>
      <c r="AX579" s="1169">
        <f t="shared" si="332"/>
        <v>0</v>
      </c>
      <c r="AY579" s="1433">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69">
        <f t="shared" si="326"/>
        <v>0</v>
      </c>
      <c r="F580" s="1661"/>
      <c r="G580" s="4303">
        <f t="shared" si="327"/>
        <v>0</v>
      </c>
      <c r="H580" s="3455">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69">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69">
        <f t="shared" si="330"/>
        <v>0</v>
      </c>
      <c r="AW580" s="1169">
        <f t="shared" si="331"/>
        <v>0</v>
      </c>
      <c r="AX580" s="1169">
        <f t="shared" si="332"/>
        <v>0</v>
      </c>
      <c r="AY580" s="1433">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69">
        <f t="shared" si="326"/>
        <v>0</v>
      </c>
      <c r="F581" s="1661"/>
      <c r="G581" s="4303">
        <f t="shared" si="327"/>
        <v>0</v>
      </c>
      <c r="H581" s="3455">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69">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69">
        <f t="shared" si="330"/>
        <v>0</v>
      </c>
      <c r="AW581" s="1169">
        <f t="shared" si="331"/>
        <v>0</v>
      </c>
      <c r="AX581" s="1169">
        <f t="shared" si="332"/>
        <v>0</v>
      </c>
      <c r="AY581" s="1433">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69">
        <f t="shared" si="326"/>
        <v>0</v>
      </c>
      <c r="F582" s="1661"/>
      <c r="G582" s="4303">
        <f t="shared" si="327"/>
        <v>0</v>
      </c>
      <c r="H582" s="3455">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69">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69">
        <f t="shared" si="330"/>
        <v>0</v>
      </c>
      <c r="AW582" s="1169">
        <f t="shared" si="331"/>
        <v>0</v>
      </c>
      <c r="AX582" s="1169">
        <f t="shared" si="332"/>
        <v>0</v>
      </c>
      <c r="AY582" s="1433">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69">
        <f t="shared" si="326"/>
        <v>0</v>
      </c>
      <c r="F583" s="1661"/>
      <c r="G583" s="4303">
        <f t="shared" si="327"/>
        <v>0</v>
      </c>
      <c r="H583" s="3455">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69">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69">
        <f t="shared" si="330"/>
        <v>0</v>
      </c>
      <c r="AW583" s="1169">
        <f t="shared" si="331"/>
        <v>0</v>
      </c>
      <c r="AX583" s="1169">
        <f t="shared" si="332"/>
        <v>0</v>
      </c>
      <c r="AY583" s="1433">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69">
        <f t="shared" si="326"/>
        <v>0</v>
      </c>
      <c r="F584" s="1661"/>
      <c r="G584" s="4303">
        <f t="shared" si="327"/>
        <v>0</v>
      </c>
      <c r="H584" s="3455">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69">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69">
        <f t="shared" si="330"/>
        <v>0</v>
      </c>
      <c r="AW584" s="1169">
        <f t="shared" si="331"/>
        <v>0</v>
      </c>
      <c r="AX584" s="1169">
        <f t="shared" si="332"/>
        <v>0</v>
      </c>
      <c r="AY584" s="1433">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69">
        <f t="shared" si="326"/>
        <v>0</v>
      </c>
      <c r="F585" s="1648"/>
      <c r="G585" s="4303">
        <f t="shared" si="327"/>
        <v>0</v>
      </c>
      <c r="H585" s="3455">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69">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69">
        <f t="shared" si="330"/>
        <v>0</v>
      </c>
      <c r="AW585" s="1169">
        <f t="shared" si="331"/>
        <v>0</v>
      </c>
      <c r="AX585" s="1169">
        <f t="shared" si="332"/>
        <v>0</v>
      </c>
      <c r="AY585" s="1433">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69">
        <f t="shared" si="326"/>
        <v>0</v>
      </c>
      <c r="F586" s="1648"/>
      <c r="G586" s="4303">
        <f t="shared" si="327"/>
        <v>0</v>
      </c>
      <c r="H586" s="3455">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69">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69">
        <f t="shared" si="330"/>
        <v>0</v>
      </c>
      <c r="AW586" s="1169">
        <f t="shared" si="331"/>
        <v>0</v>
      </c>
      <c r="AX586" s="1169">
        <f t="shared" si="332"/>
        <v>0</v>
      </c>
      <c r="AY586" s="1433">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69">
        <f t="shared" si="326"/>
        <v>0</v>
      </c>
      <c r="F587" s="1648"/>
      <c r="G587" s="4303">
        <f t="shared" si="327"/>
        <v>0</v>
      </c>
      <c r="H587" s="3455">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69">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69">
        <f t="shared" si="330"/>
        <v>0</v>
      </c>
      <c r="AW587" s="1169">
        <f t="shared" si="331"/>
        <v>0</v>
      </c>
      <c r="AX587" s="1169">
        <f t="shared" si="332"/>
        <v>0</v>
      </c>
      <c r="AY587" s="1433">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workbookViewId="0">
      <selection activeCell="G35" sqref="G35"/>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4" t="s">
        <v>644</v>
      </c>
      <c r="B1" s="3541"/>
      <c r="C1" s="3541"/>
      <c r="D1" s="3541"/>
      <c r="E1" s="3541"/>
      <c r="F1" s="3541"/>
      <c r="G1" s="3541"/>
      <c r="H1" s="3541"/>
      <c r="I1" s="3541"/>
      <c r="J1" s="3541"/>
      <c r="K1" s="3541"/>
      <c r="L1" s="3541"/>
      <c r="M1" s="3541"/>
      <c r="N1" s="3541"/>
      <c r="O1" s="3541"/>
      <c r="P1" s="3541"/>
    </row>
    <row r="2" spans="1:16">
      <c r="A2" s="755" t="s">
        <v>645</v>
      </c>
      <c r="B2" s="755"/>
      <c r="C2" s="755"/>
      <c r="D2" s="755" t="s">
        <v>646</v>
      </c>
      <c r="E2" s="4159" t="s">
        <v>647</v>
      </c>
      <c r="F2" s="4160"/>
      <c r="G2" s="4161"/>
      <c r="H2" s="4162"/>
      <c r="I2" s="3753" t="s">
        <v>648</v>
      </c>
      <c r="J2" s="4160"/>
      <c r="K2" s="4160"/>
      <c r="L2" s="4160"/>
      <c r="M2" s="4160"/>
      <c r="N2" s="1651"/>
      <c r="O2" s="4160"/>
      <c r="P2" s="4160"/>
    </row>
    <row r="3" ht="15.75" spans="1:16">
      <c r="A3" s="4163" t="s">
        <v>649</v>
      </c>
      <c r="B3" s="4163"/>
      <c r="C3" s="4163"/>
      <c r="D3" s="4164">
        <f>'数据-基础表'!AY6</f>
        <v>14251.17</v>
      </c>
      <c r="E3" s="4164">
        <f>'数据-基础表'!AZ5</f>
        <v>32267.62</v>
      </c>
      <c r="F3" s="4160"/>
      <c r="G3" s="4165"/>
      <c r="H3" s="3479" t="s">
        <v>650</v>
      </c>
      <c r="I3" s="4166">
        <f>ROUND('数据-基础表'!B3/'数据-基础表'!A3,2)</f>
        <v>2.26</v>
      </c>
      <c r="J3" s="4160"/>
      <c r="K3" s="4160"/>
      <c r="L3" s="4160"/>
      <c r="M3" s="4160"/>
      <c r="N3" s="1651"/>
      <c r="O3" s="4160"/>
      <c r="P3" s="4160"/>
    </row>
    <row r="4" ht="15" spans="1:16">
      <c r="A4" s="3751"/>
      <c r="B4" s="3752"/>
      <c r="C4" s="4167"/>
      <c r="D4" s="1341" t="s">
        <v>646</v>
      </c>
      <c r="E4" s="4168" t="s">
        <v>647</v>
      </c>
      <c r="F4" s="4160"/>
      <c r="G4" s="4169" t="s">
        <v>651</v>
      </c>
      <c r="H4" s="3479" t="s">
        <v>652</v>
      </c>
      <c r="I4" s="4166">
        <f>ROUND(SUMIF('数据-基础表'!I9:AS9,"地上",'数据-基础表'!I5:AS5)/'数据-基础表'!A3,2)</f>
        <v>1.62</v>
      </c>
      <c r="J4" s="4160"/>
      <c r="K4" s="4160"/>
      <c r="L4" s="4160"/>
      <c r="M4" s="4160"/>
      <c r="N4" s="1651"/>
      <c r="O4" s="4160"/>
      <c r="P4" s="4160"/>
    </row>
    <row r="5" spans="1:16">
      <c r="A5" s="4170" t="s">
        <v>653</v>
      </c>
      <c r="B5" s="1443" t="s">
        <v>654</v>
      </c>
      <c r="C5" s="1443"/>
      <c r="D5" s="4004">
        <f>ROUND($D$3*E5/$E$3,2)</f>
        <v>0</v>
      </c>
      <c r="E5" s="3780">
        <f>SUMIF('数据-基础表'!$11:$11,"住宅",'数据-基础表'!$5:$5)</f>
        <v>0</v>
      </c>
      <c r="F5" s="4160"/>
      <c r="G5" s="4165"/>
      <c r="H5" s="3479" t="s">
        <v>650</v>
      </c>
      <c r="I5" s="4166">
        <f>ROUND(E31/D31,2)</f>
        <v>2.26</v>
      </c>
      <c r="J5" s="4160"/>
      <c r="K5" s="4160"/>
      <c r="L5" s="4160"/>
      <c r="M5" s="4160"/>
      <c r="N5" s="4160"/>
      <c r="O5" s="4160"/>
      <c r="P5" s="4160"/>
    </row>
    <row r="6" ht="15" spans="1:16">
      <c r="A6" s="4171"/>
      <c r="B6" s="1443" t="s">
        <v>655</v>
      </c>
      <c r="C6" s="1443"/>
      <c r="D6" s="4004">
        <f>ROUND($D$3*E6/$E$3,2)</f>
        <v>14251.17</v>
      </c>
      <c r="E6" s="3780">
        <f>E3-E5</f>
        <v>32267.62</v>
      </c>
      <c r="F6" s="4160"/>
      <c r="G6" s="4172" t="s">
        <v>656</v>
      </c>
      <c r="H6" s="3485" t="s">
        <v>652</v>
      </c>
      <c r="I6" s="4173">
        <f>ROUND(F31/D31,2)</f>
        <v>1.62</v>
      </c>
      <c r="J6" s="4160"/>
      <c r="K6" s="4160"/>
      <c r="L6" s="4160"/>
      <c r="M6" s="4160"/>
      <c r="N6" s="4160"/>
      <c r="O6" s="4160"/>
      <c r="P6" s="4160"/>
    </row>
    <row r="7" ht="15" spans="1:16">
      <c r="A7" s="4174"/>
      <c r="B7" s="4175"/>
      <c r="C7" s="4176"/>
      <c r="D7" s="1341" t="s">
        <v>646</v>
      </c>
      <c r="E7" s="4177" t="s">
        <v>657</v>
      </c>
      <c r="F7" s="4160"/>
      <c r="G7" s="4178" t="s">
        <v>658</v>
      </c>
      <c r="H7" s="4179"/>
      <c r="I7" s="4180"/>
      <c r="J7" s="4160"/>
      <c r="K7" s="4160"/>
      <c r="L7" s="4160"/>
      <c r="M7" s="4160"/>
      <c r="N7" s="4160"/>
      <c r="O7" s="4160"/>
      <c r="P7" s="4160"/>
    </row>
    <row r="8" spans="1:16">
      <c r="A8" s="4170" t="s">
        <v>659</v>
      </c>
      <c r="B8" s="4181" t="s">
        <v>660</v>
      </c>
      <c r="C8" s="1275" t="s">
        <v>661</v>
      </c>
      <c r="D8" s="4004">
        <f t="shared" ref="D8:D15" si="0">ROUND($D$3*E8/$E$3,2)</f>
        <v>10187.38</v>
      </c>
      <c r="E8" s="3780">
        <f>SUMIF('数据-基础表'!BB10:BK10,"地上",'数据-基础表'!BB5:BK5)</f>
        <v>23066.36</v>
      </c>
      <c r="F8" s="4160"/>
      <c r="G8" s="4182"/>
      <c r="H8" s="4182"/>
      <c r="I8" s="4160"/>
      <c r="J8" s="4160"/>
      <c r="K8" s="4160"/>
      <c r="L8" s="4160"/>
      <c r="M8" s="4160"/>
      <c r="N8" s="4160"/>
      <c r="O8" s="4160"/>
      <c r="P8" s="4160"/>
    </row>
    <row r="9" spans="1:16">
      <c r="A9" s="4183"/>
      <c r="B9" s="4184"/>
      <c r="C9" s="1275" t="s">
        <v>662</v>
      </c>
      <c r="D9" s="4004">
        <f t="shared" si="0"/>
        <v>0</v>
      </c>
      <c r="E9" s="4185"/>
      <c r="F9" s="4160"/>
      <c r="G9" s="4182"/>
      <c r="H9" s="4182"/>
      <c r="I9" s="4160"/>
      <c r="J9" s="4160"/>
      <c r="K9" s="4160"/>
      <c r="L9" s="4160"/>
      <c r="M9" s="4160"/>
      <c r="N9" s="4160"/>
      <c r="O9" s="4160"/>
      <c r="P9" s="4160"/>
    </row>
    <row r="10" spans="1:16">
      <c r="A10" s="4183"/>
      <c r="B10" s="4184"/>
      <c r="C10" s="1275" t="s">
        <v>663</v>
      </c>
      <c r="D10" s="4004">
        <f t="shared" si="0"/>
        <v>0</v>
      </c>
      <c r="E10" s="3780">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75" t="s">
        <v>664</v>
      </c>
      <c r="D11" s="4004">
        <f t="shared" si="0"/>
        <v>2425.2</v>
      </c>
      <c r="E11" s="3780">
        <f>SUMPRODUCT(('数据-基础表'!BB10:BK10="地下")*('数据-基础表'!BB11:BK11="办公")*('数据-基础表'!BB5:BK5))+'数据-基础表'!BP5</f>
        <v>5491.16</v>
      </c>
      <c r="F11" s="4160"/>
      <c r="G11" s="4182"/>
      <c r="H11" s="4182"/>
      <c r="I11" s="4160"/>
      <c r="J11" s="4160"/>
      <c r="K11" s="4160"/>
      <c r="L11" s="4160"/>
      <c r="M11" s="4160"/>
      <c r="N11" s="4160"/>
      <c r="O11" s="4160"/>
      <c r="P11" s="4160"/>
    </row>
    <row r="12" spans="1:16">
      <c r="A12" s="4183"/>
      <c r="B12" s="4184"/>
      <c r="C12" s="1275" t="s">
        <v>665</v>
      </c>
      <c r="D12" s="4004">
        <f t="shared" si="0"/>
        <v>161.31</v>
      </c>
      <c r="E12" s="3780">
        <f>SUMPRODUCT(('数据-基础表'!BB10:BK10="地下")*('数据-基础表'!BB11:BK11="仓储")*('数据-基础表'!BB5:BK5))</f>
        <v>365.25</v>
      </c>
      <c r="F12" s="4160"/>
      <c r="G12" s="4182"/>
      <c r="H12" s="4182"/>
      <c r="I12" s="4160"/>
      <c r="J12" s="4160"/>
      <c r="K12" s="4160"/>
      <c r="L12" s="4160"/>
      <c r="M12" s="4160"/>
      <c r="N12" s="4160"/>
      <c r="O12" s="4160"/>
      <c r="P12" s="4160"/>
    </row>
    <row r="13" spans="1:16">
      <c r="A13" s="4183"/>
      <c r="B13" s="4184"/>
      <c r="C13" s="1275" t="s">
        <v>666</v>
      </c>
      <c r="D13" s="4004">
        <f t="shared" si="0"/>
        <v>1477.27</v>
      </c>
      <c r="E13" s="3780">
        <f>SUMPRODUCT(('数据-基础表'!BB10:BK10="地下")*('数据-基础表'!BB11:BK11="车库")*('数据-基础表'!BB5:BK5))</f>
        <v>3344.85</v>
      </c>
      <c r="F13" s="4160"/>
      <c r="G13" s="4182"/>
      <c r="H13" s="4182"/>
      <c r="I13" s="4160"/>
      <c r="J13" s="4160"/>
      <c r="K13" s="4160"/>
      <c r="L13" s="4160"/>
      <c r="M13" s="4160"/>
      <c r="N13" s="4160"/>
      <c r="O13" s="4160"/>
      <c r="P13" s="4160"/>
    </row>
    <row r="14" spans="1:16">
      <c r="A14" s="4183"/>
      <c r="B14" s="4184"/>
      <c r="C14" s="1275" t="s">
        <v>667</v>
      </c>
      <c r="D14" s="4004">
        <f t="shared" si="0"/>
        <v>0</v>
      </c>
      <c r="E14" s="3780">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75" t="s">
        <v>668</v>
      </c>
      <c r="D15" s="4004">
        <f t="shared" si="0"/>
        <v>0</v>
      </c>
      <c r="E15" s="3780">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669</v>
      </c>
      <c r="D16" s="3470">
        <f>SUM(D8:D15)</f>
        <v>14251.16</v>
      </c>
      <c r="E16" s="4186">
        <f>SUM(E8:E15)</f>
        <v>32267.62</v>
      </c>
      <c r="F16" s="4160"/>
      <c r="G16" s="4182"/>
      <c r="H16" s="4187" t="s">
        <v>670</v>
      </c>
      <c r="I16" s="4188"/>
      <c r="J16" s="3541"/>
      <c r="K16" s="4189" t="s">
        <v>670</v>
      </c>
      <c r="L16" s="4190"/>
      <c r="M16" s="4190"/>
      <c r="N16" s="4190"/>
      <c r="O16" s="4190"/>
      <c r="P16" s="4191"/>
    </row>
    <row r="17" ht="15" spans="1:19">
      <c r="A17" s="3970" t="s">
        <v>671</v>
      </c>
      <c r="B17" s="4192" t="s">
        <v>672</v>
      </c>
      <c r="C17" s="3969" t="s">
        <v>673</v>
      </c>
      <c r="D17" s="4190" t="s">
        <v>646</v>
      </c>
      <c r="E17" s="4193" t="s">
        <v>647</v>
      </c>
      <c r="F17" s="4194"/>
      <c r="G17" s="4195"/>
      <c r="H17" s="4196" t="s">
        <v>674</v>
      </c>
      <c r="I17" s="4197" t="s">
        <v>675</v>
      </c>
      <c r="J17" s="3541"/>
      <c r="K17" s="4198" t="s">
        <v>676</v>
      </c>
      <c r="L17" s="4199"/>
      <c r="M17" s="4200"/>
      <c r="N17" s="4198" t="s">
        <v>677</v>
      </c>
      <c r="O17" s="4199"/>
      <c r="P17" s="4200"/>
      <c r="R17" s="4201" t="s">
        <v>678</v>
      </c>
      <c r="S17" s="4202"/>
    </row>
    <row r="18" ht="15" spans="1:19">
      <c r="A18" s="4183"/>
      <c r="B18" s="4203"/>
      <c r="C18" s="4204"/>
      <c r="D18" s="4205"/>
      <c r="E18" s="4206" t="s">
        <v>679</v>
      </c>
      <c r="F18" s="4207" t="s">
        <v>652</v>
      </c>
      <c r="G18" s="4208" t="s">
        <v>680</v>
      </c>
      <c r="H18" s="4013" t="s">
        <v>681</v>
      </c>
      <c r="I18" s="4209" t="s">
        <v>682</v>
      </c>
      <c r="J18" s="3541"/>
      <c r="K18" s="4013" t="s">
        <v>683</v>
      </c>
      <c r="L18" s="3774" t="s">
        <v>684</v>
      </c>
      <c r="M18" s="3418" t="s">
        <v>685</v>
      </c>
      <c r="N18" s="4013" t="s">
        <v>683</v>
      </c>
      <c r="O18" s="3774" t="s">
        <v>684</v>
      </c>
      <c r="P18" s="3418" t="s">
        <v>685</v>
      </c>
      <c r="R18" s="3479" t="s">
        <v>681</v>
      </c>
      <c r="S18" s="3479" t="s">
        <v>682</v>
      </c>
    </row>
    <row r="19" spans="1:19">
      <c r="A19" s="4210"/>
      <c r="B19" s="4181" t="s">
        <v>686</v>
      </c>
      <c r="C19" s="4211" t="s">
        <v>230</v>
      </c>
      <c r="D19" s="4004">
        <f>ROUND($D$3*E19/$E$3,2)</f>
        <v>10187.38</v>
      </c>
      <c r="E19" s="4004">
        <f t="shared" ref="E19:E26" si="1">SUM(F19:G19)</f>
        <v>23066.36</v>
      </c>
      <c r="F19" s="4212">
        <f>'数据-基础表'!I13</f>
        <v>23066.36</v>
      </c>
      <c r="G19" s="3552"/>
      <c r="H19" s="4213">
        <f>ROUND($D$3*I19/$E$3,2)</f>
        <v>0</v>
      </c>
      <c r="I19" s="3780">
        <f t="shared" ref="I19:I26" si="2">IF($I$17="自定义",P19,M19)</f>
        <v>0</v>
      </c>
      <c r="J19" s="3541"/>
      <c r="K19" s="4213">
        <f t="shared" ref="K19:K26" si="3">ROUND(E$28*E19/E$27,2)</f>
        <v>0</v>
      </c>
      <c r="L19" s="4004">
        <f t="shared" ref="L19:L26" si="4">ROUND(IF(COUNTIF(C19,"*住宅*")&gt;0,E$29*E19/E$32,0),2)</f>
        <v>0</v>
      </c>
      <c r="M19" s="3780">
        <f>K19+L19</f>
        <v>0</v>
      </c>
      <c r="N19" s="4214"/>
      <c r="O19" s="3462"/>
      <c r="P19" s="3780">
        <f>N19+O19</f>
        <v>0</v>
      </c>
      <c r="R19" s="4004">
        <f t="shared" ref="R19:S26" si="5">D19+H19</f>
        <v>10187.38</v>
      </c>
      <c r="S19" s="4004">
        <f t="shared" si="5"/>
        <v>23066.36</v>
      </c>
    </row>
    <row r="20" spans="1:19">
      <c r="A20" s="4215"/>
      <c r="B20" s="4181" t="s">
        <v>686</v>
      </c>
      <c r="C20" s="4211" t="s">
        <v>687</v>
      </c>
      <c r="D20" s="4004">
        <f t="shared" ref="D20:D26" si="6">ROUND($D$3*E20/$E$3,2)</f>
        <v>2425.2</v>
      </c>
      <c r="E20" s="4004">
        <f t="shared" si="1"/>
        <v>5491.16</v>
      </c>
      <c r="F20" s="4212"/>
      <c r="G20" s="3552">
        <f>'数据-基础表'!K13</f>
        <v>5491.16</v>
      </c>
      <c r="H20" s="4213">
        <f t="shared" ref="H20:H26" si="7">ROUND($D$3*I20/$E$3,2)</f>
        <v>0</v>
      </c>
      <c r="I20" s="3780">
        <f t="shared" si="2"/>
        <v>0</v>
      </c>
      <c r="J20" s="3541"/>
      <c r="K20" s="4213">
        <f t="shared" si="3"/>
        <v>0</v>
      </c>
      <c r="L20" s="4004">
        <f t="shared" si="4"/>
        <v>0</v>
      </c>
      <c r="M20" s="3780">
        <f t="shared" ref="M20:M26" si="8">K20+L20</f>
        <v>0</v>
      </c>
      <c r="N20" s="4214"/>
      <c r="O20" s="3462"/>
      <c r="P20" s="3780">
        <f t="shared" ref="P20:P26" si="9">N20+O20</f>
        <v>0</v>
      </c>
      <c r="R20" s="4004">
        <f t="shared" si="5"/>
        <v>2425.2</v>
      </c>
      <c r="S20" s="4004">
        <f t="shared" si="5"/>
        <v>5491.16</v>
      </c>
    </row>
    <row r="21" spans="1:19">
      <c r="A21" s="4215"/>
      <c r="B21" s="4181" t="s">
        <v>686</v>
      </c>
      <c r="C21" s="4211" t="s">
        <v>688</v>
      </c>
      <c r="D21" s="4004">
        <f t="shared" si="6"/>
        <v>161.31</v>
      </c>
      <c r="E21" s="4004">
        <f t="shared" si="1"/>
        <v>365.25</v>
      </c>
      <c r="F21" s="4212"/>
      <c r="G21" s="3552">
        <f>'数据-基础表'!O13</f>
        <v>365.25</v>
      </c>
      <c r="H21" s="4213">
        <f t="shared" si="7"/>
        <v>0</v>
      </c>
      <c r="I21" s="3780">
        <f t="shared" si="2"/>
        <v>0</v>
      </c>
      <c r="J21" s="3541"/>
      <c r="K21" s="4213">
        <f t="shared" si="3"/>
        <v>0</v>
      </c>
      <c r="L21" s="4004">
        <f t="shared" si="4"/>
        <v>0</v>
      </c>
      <c r="M21" s="3780">
        <f t="shared" si="8"/>
        <v>0</v>
      </c>
      <c r="N21" s="4214"/>
      <c r="O21" s="3462"/>
      <c r="P21" s="3780">
        <f t="shared" si="9"/>
        <v>0</v>
      </c>
      <c r="R21" s="4004">
        <f t="shared" si="5"/>
        <v>161.31</v>
      </c>
      <c r="S21" s="4004">
        <f t="shared" si="5"/>
        <v>365.25</v>
      </c>
    </row>
    <row r="22" spans="1:19">
      <c r="A22" s="4215"/>
      <c r="B22" s="4181" t="s">
        <v>686</v>
      </c>
      <c r="C22" s="4216" t="s">
        <v>633</v>
      </c>
      <c r="D22" s="4004">
        <f t="shared" si="6"/>
        <v>1477.27</v>
      </c>
      <c r="E22" s="4004">
        <f t="shared" si="1"/>
        <v>3344.85</v>
      </c>
      <c r="F22" s="4217"/>
      <c r="G22" s="4218">
        <f>'数据-基础表'!M13</f>
        <v>3344.85</v>
      </c>
      <c r="H22" s="4213">
        <f t="shared" si="7"/>
        <v>0</v>
      </c>
      <c r="I22" s="3780">
        <f t="shared" si="2"/>
        <v>0</v>
      </c>
      <c r="J22" s="3541"/>
      <c r="K22" s="4213">
        <f t="shared" si="3"/>
        <v>0</v>
      </c>
      <c r="L22" s="4004">
        <f t="shared" si="4"/>
        <v>0</v>
      </c>
      <c r="M22" s="3780">
        <f t="shared" si="8"/>
        <v>0</v>
      </c>
      <c r="N22" s="4214"/>
      <c r="O22" s="3462"/>
      <c r="P22" s="3780">
        <f t="shared" si="9"/>
        <v>0</v>
      </c>
      <c r="R22" s="4004">
        <f t="shared" si="5"/>
        <v>1477.27</v>
      </c>
      <c r="S22" s="4004">
        <f t="shared" si="5"/>
        <v>3344.85</v>
      </c>
    </row>
    <row r="23" spans="1:19">
      <c r="A23" s="4215"/>
      <c r="B23" s="4181" t="s">
        <v>686</v>
      </c>
      <c r="C23" s="4216"/>
      <c r="D23" s="4004">
        <f t="shared" si="6"/>
        <v>0</v>
      </c>
      <c r="E23" s="4004">
        <f t="shared" si="1"/>
        <v>0</v>
      </c>
      <c r="F23" s="4217"/>
      <c r="G23" s="4218"/>
      <c r="H23" s="4213">
        <f t="shared" si="7"/>
        <v>0</v>
      </c>
      <c r="I23" s="3780">
        <f t="shared" si="2"/>
        <v>0</v>
      </c>
      <c r="J23" s="3541"/>
      <c r="K23" s="4213">
        <f t="shared" si="3"/>
        <v>0</v>
      </c>
      <c r="L23" s="4004">
        <f t="shared" si="4"/>
        <v>0</v>
      </c>
      <c r="M23" s="3780">
        <f t="shared" si="8"/>
        <v>0</v>
      </c>
      <c r="N23" s="4214"/>
      <c r="O23" s="3462"/>
      <c r="P23" s="3780">
        <f t="shared" si="9"/>
        <v>0</v>
      </c>
      <c r="R23" s="4004">
        <f t="shared" si="5"/>
        <v>0</v>
      </c>
      <c r="S23" s="4004">
        <f t="shared" si="5"/>
        <v>0</v>
      </c>
    </row>
    <row r="24" spans="1:19">
      <c r="A24" s="4215"/>
      <c r="B24" s="4181" t="s">
        <v>686</v>
      </c>
      <c r="C24" s="4216"/>
      <c r="D24" s="4004">
        <f t="shared" si="6"/>
        <v>0</v>
      </c>
      <c r="E24" s="4004">
        <f t="shared" si="1"/>
        <v>0</v>
      </c>
      <c r="F24" s="4217"/>
      <c r="G24" s="4218"/>
      <c r="H24" s="4213">
        <f t="shared" si="7"/>
        <v>0</v>
      </c>
      <c r="I24" s="3780">
        <f t="shared" si="2"/>
        <v>0</v>
      </c>
      <c r="J24" s="3541"/>
      <c r="K24" s="4213">
        <f t="shared" si="3"/>
        <v>0</v>
      </c>
      <c r="L24" s="4004">
        <f t="shared" si="4"/>
        <v>0</v>
      </c>
      <c r="M24" s="3780">
        <f t="shared" si="8"/>
        <v>0</v>
      </c>
      <c r="N24" s="4214"/>
      <c r="O24" s="3462"/>
      <c r="P24" s="3780">
        <f t="shared" si="9"/>
        <v>0</v>
      </c>
      <c r="R24" s="4004">
        <f t="shared" si="5"/>
        <v>0</v>
      </c>
      <c r="S24" s="4004">
        <f t="shared" si="5"/>
        <v>0</v>
      </c>
    </row>
    <row r="25" spans="1:19">
      <c r="A25" s="4215"/>
      <c r="B25" s="4181" t="s">
        <v>686</v>
      </c>
      <c r="C25" s="4216"/>
      <c r="D25" s="4004">
        <f t="shared" si="6"/>
        <v>0</v>
      </c>
      <c r="E25" s="4004">
        <f t="shared" si="1"/>
        <v>0</v>
      </c>
      <c r="F25" s="4217"/>
      <c r="G25" s="4218"/>
      <c r="H25" s="4219">
        <f t="shared" si="7"/>
        <v>0</v>
      </c>
      <c r="I25" s="3780">
        <f t="shared" si="2"/>
        <v>0</v>
      </c>
      <c r="J25" s="3541"/>
      <c r="K25" s="4213">
        <f t="shared" si="3"/>
        <v>0</v>
      </c>
      <c r="L25" s="4004">
        <f t="shared" si="4"/>
        <v>0</v>
      </c>
      <c r="M25" s="3780">
        <f t="shared" si="8"/>
        <v>0</v>
      </c>
      <c r="N25" s="4214"/>
      <c r="O25" s="3462"/>
      <c r="P25" s="3780">
        <f t="shared" si="9"/>
        <v>0</v>
      </c>
      <c r="R25" s="4004">
        <f t="shared" si="5"/>
        <v>0</v>
      </c>
      <c r="S25" s="4004">
        <f t="shared" si="5"/>
        <v>0</v>
      </c>
    </row>
    <row r="26" spans="1:19">
      <c r="A26" s="4215"/>
      <c r="B26" s="4181" t="s">
        <v>686</v>
      </c>
      <c r="C26" s="4220"/>
      <c r="D26" s="4004">
        <f t="shared" si="6"/>
        <v>0</v>
      </c>
      <c r="E26" s="4004">
        <f t="shared" si="1"/>
        <v>0</v>
      </c>
      <c r="F26" s="4217"/>
      <c r="G26" s="4218"/>
      <c r="H26" s="4219">
        <f t="shared" si="7"/>
        <v>0</v>
      </c>
      <c r="I26" s="3780">
        <f t="shared" si="2"/>
        <v>0</v>
      </c>
      <c r="J26" s="3541"/>
      <c r="K26" s="4219">
        <f t="shared" si="3"/>
        <v>0</v>
      </c>
      <c r="L26" s="3470">
        <f t="shared" si="4"/>
        <v>0</v>
      </c>
      <c r="M26" s="4186">
        <f t="shared" si="8"/>
        <v>0</v>
      </c>
      <c r="N26" s="4221"/>
      <c r="O26" s="3461"/>
      <c r="P26" s="4186">
        <f t="shared" si="9"/>
        <v>0</v>
      </c>
      <c r="R26" s="4004">
        <f t="shared" si="5"/>
        <v>0</v>
      </c>
      <c r="S26" s="4004">
        <f t="shared" si="5"/>
        <v>0</v>
      </c>
    </row>
    <row r="27" ht="29.25" spans="1:19">
      <c r="A27" s="4215"/>
      <c r="B27" s="1275"/>
      <c r="C27" s="3758" t="s">
        <v>689</v>
      </c>
      <c r="D27" s="1313">
        <f>SUM(D19:D26)</f>
        <v>14251.16</v>
      </c>
      <c r="E27" s="1313">
        <f>IF(SUM(E19:E26)='数据-基础表'!BA5,SUM(E19:E26),IF(F27="地上面积有误","面积有误","地下面积有误"))</f>
        <v>32267.62</v>
      </c>
      <c r="F27" s="1313">
        <f>IF(SUM(F19:F26)=E8,SUM(F19:F26),"地上面积有误")</f>
        <v>23066.36</v>
      </c>
      <c r="G27" s="3761">
        <f>SUM(G19:G26)</f>
        <v>9201.26</v>
      </c>
      <c r="H27" s="4222">
        <f>SUM(H19:H26)</f>
        <v>0</v>
      </c>
      <c r="I27" s="4223">
        <f>SUM(I19:I26)</f>
        <v>0</v>
      </c>
      <c r="J27" s="3541"/>
      <c r="K27" s="4222">
        <f>SUM(K19:K26)</f>
        <v>0</v>
      </c>
      <c r="L27" s="4224">
        <f>SUM(L19:L26)</f>
        <v>0</v>
      </c>
      <c r="M27" s="4225">
        <f>SUM(M19:M26)</f>
        <v>0</v>
      </c>
      <c r="N27" s="4222">
        <f t="shared" ref="N27:P27" si="10">SUM(N19:N26)</f>
        <v>0</v>
      </c>
      <c r="O27" s="4224">
        <f t="shared" si="10"/>
        <v>0</v>
      </c>
      <c r="P27" s="3484">
        <f t="shared" si="10"/>
        <v>0</v>
      </c>
      <c r="R27" s="3460" t="str">
        <f>IF(SUM(R19:R26)=$D$3,SUM(R19:R26),SUM(R19:R26)&amp;"误差"&amp;ROUND(SUM(R19:R26)-$D$3,2))</f>
        <v>14251.16误差-0.01</v>
      </c>
      <c r="S27" s="4004">
        <f>IF(SUM(S19:S26)=$E$3,SUM(S19:S26),SUM(S19:S26)&amp;"误差"&amp;ROUND(SUM(S19:S26)-E3,2))</f>
        <v>32267.62</v>
      </c>
    </row>
    <row r="28" spans="1:19">
      <c r="A28" s="4215"/>
      <c r="B28" s="4181" t="s">
        <v>690</v>
      </c>
      <c r="C28" s="4041" t="s">
        <v>691</v>
      </c>
      <c r="D28" s="4004">
        <f>ROUND($D$3*E28/$E$3,2)</f>
        <v>0</v>
      </c>
      <c r="E28" s="4004">
        <f>SUM(F28:G28)</f>
        <v>0</v>
      </c>
      <c r="F28" s="1439">
        <f>'数据-基础表'!BQ5+'数据-基础表'!BS5</f>
        <v>0</v>
      </c>
      <c r="G28" s="4226">
        <f>'数据-基础表'!BR5+'数据-基础表'!BT5</f>
        <v>0</v>
      </c>
      <c r="H28" s="4160"/>
      <c r="I28" s="4160"/>
      <c r="J28" s="4160"/>
      <c r="K28" s="4160"/>
      <c r="L28" s="4160"/>
      <c r="M28" s="4160"/>
      <c r="N28" s="4160"/>
      <c r="O28" s="4160"/>
      <c r="P28" s="4160"/>
    </row>
    <row r="29" spans="1:19">
      <c r="A29" s="4215"/>
      <c r="B29" s="4181" t="s">
        <v>690</v>
      </c>
      <c r="C29" s="1445" t="s">
        <v>692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689</v>
      </c>
      <c r="D30" s="1313">
        <f>SUM(D28:D29)</f>
        <v>0</v>
      </c>
      <c r="E30" s="1313">
        <f>SUM(E28:E29)</f>
        <v>0</v>
      </c>
      <c r="F30" s="1313">
        <f>SUM(F28:F29)</f>
        <v>0</v>
      </c>
      <c r="G30" s="3761">
        <f>SUM(G28:G29)</f>
        <v>0</v>
      </c>
      <c r="H30" s="4160"/>
      <c r="I30" s="4160"/>
      <c r="J30" s="4160"/>
      <c r="K30" s="4160"/>
      <c r="L30" s="4160"/>
      <c r="M30" s="4160"/>
      <c r="N30" s="4160"/>
      <c r="O30" s="4160"/>
      <c r="P30" s="4160"/>
    </row>
    <row r="31" ht="15.75" spans="1:19">
      <c r="A31" s="4229"/>
      <c r="B31" s="4230"/>
      <c r="C31" s="4231" t="s">
        <v>693</v>
      </c>
      <c r="D31" s="4232">
        <f>D27+D30</f>
        <v>14251.16</v>
      </c>
      <c r="E31" s="4232">
        <f>E27+E30</f>
        <v>32267.62</v>
      </c>
      <c r="F31" s="4224">
        <f>F27+F30</f>
        <v>23066.36</v>
      </c>
      <c r="G31" s="4225">
        <f>G27+G30</f>
        <v>9201.26</v>
      </c>
      <c r="H31" s="4160"/>
      <c r="I31" s="4160"/>
      <c r="J31" s="4160"/>
      <c r="K31" s="4160"/>
      <c r="L31" s="4160"/>
      <c r="M31" s="4160"/>
      <c r="N31" s="4160"/>
      <c r="O31" s="4160"/>
      <c r="P31" s="4160"/>
    </row>
    <row r="32" spans="1:19">
      <c r="A32" s="4233"/>
      <c r="B32" s="4233" t="s">
        <v>694</v>
      </c>
      <c r="C32" s="4233"/>
      <c r="D32" s="3467"/>
      <c r="E32" s="3467">
        <f>SUMIF(C19:C26,"*住宅*",E19:E26)</f>
        <v>0</v>
      </c>
      <c r="F32" s="3467"/>
      <c r="G32" s="3467"/>
      <c r="H32" s="4160"/>
      <c r="I32" s="4160"/>
      <c r="J32" s="4160"/>
      <c r="K32" s="4160"/>
      <c r="L32" s="4160"/>
      <c r="M32" s="4160"/>
      <c r="N32" s="4160"/>
      <c r="O32" s="4160"/>
      <c r="P32" s="4160"/>
    </row>
    <row r="33" spans="4:7">
      <c r="D33" s="4234"/>
    </row>
    <row r="34" spans="4:7">
      <c r="G34" s="4157">
        <f>G31/E31</f>
        <v>0.285154591506904</v>
      </c>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T9" activePane="bottomRight" state="frozen"/>
      <selection/>
      <selection pane="topRight"/>
      <selection pane="bottomLeft"/>
      <selection pane="bottomRight" activeCell="T33" sqref="T33"/>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695</v>
      </c>
      <c r="B1" s="3950"/>
      <c r="C1" s="713"/>
      <c r="D1" s="3951"/>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696</v>
      </c>
      <c r="B2" s="3954">
        <f>项目基本情况!D3</f>
        <v>46022</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6" t="s">
        <v>697</v>
      </c>
      <c r="B4" s="3486"/>
      <c r="C4" s="3963"/>
      <c r="D4" s="3964"/>
      <c r="E4" s="3963" t="s">
        <v>698</v>
      </c>
      <c r="F4" s="3963"/>
      <c r="G4" s="3963"/>
      <c r="H4" s="3963"/>
      <c r="I4" s="3963"/>
      <c r="J4" s="3965"/>
      <c r="K4" s="3966"/>
      <c r="L4" s="3967"/>
      <c r="M4" s="3963"/>
      <c r="N4" s="3963" t="s">
        <v>699</v>
      </c>
      <c r="O4" s="3963"/>
      <c r="P4" s="3963"/>
      <c r="Q4" s="3963"/>
      <c r="R4" s="3963"/>
      <c r="S4" s="3965"/>
      <c r="T4" s="3968" t="str">
        <f>'数据-汇总表'!I17</f>
        <v>按面积比例</v>
      </c>
      <c r="U4" s="3486" t="s">
        <v>700</v>
      </c>
      <c r="V4" s="3963"/>
      <c r="W4" s="3963"/>
      <c r="X4" s="3963"/>
      <c r="Y4" s="3965"/>
      <c r="Z4" s="3969" t="s">
        <v>701</v>
      </c>
      <c r="AA4" s="3969"/>
      <c r="AB4" s="3969"/>
      <c r="AC4" s="3969"/>
      <c r="AD4" s="3969"/>
      <c r="AE4" s="3970" t="s">
        <v>702</v>
      </c>
      <c r="AF4" s="3969"/>
      <c r="AG4" s="3971"/>
      <c r="AH4" s="3486"/>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673</v>
      </c>
      <c r="B5" s="3973" t="s">
        <v>672</v>
      </c>
      <c r="C5" s="3974" t="s">
        <v>703</v>
      </c>
      <c r="D5" s="3975" t="s">
        <v>704</v>
      </c>
      <c r="E5" s="1718" t="s">
        <v>705</v>
      </c>
      <c r="F5" s="3976" t="s">
        <v>706</v>
      </c>
      <c r="G5" s="1718" t="s">
        <v>707</v>
      </c>
      <c r="H5" s="1718" t="s">
        <v>708</v>
      </c>
      <c r="I5" s="1718" t="s">
        <v>709</v>
      </c>
      <c r="J5" s="1753" t="s">
        <v>710</v>
      </c>
      <c r="K5" s="3977" t="s">
        <v>682</v>
      </c>
      <c r="L5" s="3978" t="s">
        <v>711</v>
      </c>
      <c r="M5" s="3979" t="s">
        <v>712</v>
      </c>
      <c r="N5" s="3980" t="s">
        <v>713</v>
      </c>
      <c r="O5" s="3978" t="s">
        <v>714</v>
      </c>
      <c r="P5" s="3981" t="s">
        <v>715</v>
      </c>
      <c r="Q5" s="1916" t="s">
        <v>716</v>
      </c>
      <c r="R5" s="3982" t="s">
        <v>717</v>
      </c>
      <c r="S5" s="3983" t="s">
        <v>718</v>
      </c>
      <c r="T5" s="3984" t="s">
        <v>719</v>
      </c>
      <c r="U5" s="3985" t="s">
        <v>720</v>
      </c>
      <c r="V5" s="1718" t="s">
        <v>721</v>
      </c>
      <c r="W5" s="1718" t="s">
        <v>722</v>
      </c>
      <c r="X5" s="1897"/>
      <c r="Y5" s="1901" t="s">
        <v>723</v>
      </c>
      <c r="Z5" s="1643" t="s">
        <v>720</v>
      </c>
      <c r="AA5" s="1718" t="s">
        <v>721</v>
      </c>
      <c r="AB5" s="1718" t="s">
        <v>722</v>
      </c>
      <c r="AC5" s="1897"/>
      <c r="AD5" s="1897" t="s">
        <v>723</v>
      </c>
      <c r="AE5" s="3985" t="s">
        <v>724</v>
      </c>
      <c r="AF5" s="1718" t="s">
        <v>725</v>
      </c>
      <c r="AG5" s="1901" t="s">
        <v>726</v>
      </c>
      <c r="AH5" s="3985" t="s">
        <v>727</v>
      </c>
      <c r="AI5" s="1643" t="s">
        <v>728</v>
      </c>
      <c r="AJ5" s="1643" t="s">
        <v>729</v>
      </c>
      <c r="AK5" s="1718" t="s">
        <v>730</v>
      </c>
      <c r="AL5" s="1718" t="s">
        <v>731</v>
      </c>
      <c r="AM5" s="1901" t="s">
        <v>732</v>
      </c>
      <c r="AN5" s="3986" t="s">
        <v>733</v>
      </c>
      <c r="AO5" s="3460" t="s">
        <v>734</v>
      </c>
      <c r="AP5" s="3460" t="s">
        <v>735</v>
      </c>
      <c r="AQ5" s="3987" t="s">
        <v>736</v>
      </c>
      <c r="AR5" s="3987" t="s">
        <v>737</v>
      </c>
      <c r="AS5" s="3988" t="s">
        <v>738</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办公</v>
      </c>
      <c r="B6" s="3990" t="str">
        <f>IF(A6=0,"","经营性")</f>
        <v>经营性</v>
      </c>
      <c r="C6" s="3991" t="s">
        <v>233</v>
      </c>
      <c r="D6" s="3992">
        <f>SUMIF(项目基本情况!C$12:I$12,C6,项目基本情况!C$14:I$14)</f>
        <v>50</v>
      </c>
      <c r="E6" s="3993">
        <f>IF(B6="","",SUMIF(项目基本情况!C$12:I$12,C6,项目基本情况!C$13:I$13))</f>
        <v>58987</v>
      </c>
      <c r="F6" s="3994">
        <f>SUMIF(项目基本情况!C$12:I$12,C6,项目基本情况!C$15:I$15)</f>
        <v>35.52</v>
      </c>
      <c r="G6" s="3995">
        <f t="shared" ref="G6:G13" si="0">IF(ISERROR(ROUND(POWER(1+H6,D6-F6)*(POWER(1+H6,F6)-1)/(POWER(1+H6,D6)-1),4)),0,ROUND(POWER(1+H6,D6-F6)*(POWER(1+H6,F6)-1)/(POWER(1+H6,D6)-1),4))</f>
        <v>0.9019</v>
      </c>
      <c r="H6" s="3996">
        <v>0.05</v>
      </c>
      <c r="I6" s="3996">
        <v>0.055</v>
      </c>
      <c r="J6" s="3997">
        <v>0.07</v>
      </c>
      <c r="K6" s="3998">
        <f>SUMIF('数据-汇总表'!C$19:C$33,A6,'数据-汇总表'!E$19:E$33)</f>
        <v>23066.36</v>
      </c>
      <c r="L6" s="3999">
        <v>4800</v>
      </c>
      <c r="M6" s="4000">
        <f t="shared" ref="M6:M14" si="1">ROUND(K6*L6/10000,0)</f>
        <v>11072</v>
      </c>
      <c r="N6" s="4001">
        <f>N21</f>
        <v>0.85</v>
      </c>
      <c r="O6" s="4000" t="str">
        <f>IF($N$5="成新度","——",ROUND(M6*N6,0))</f>
        <v>——</v>
      </c>
      <c r="P6" s="2057" t="str">
        <f>IF($N$5="成新度","——",M6-O6)</f>
        <v>——</v>
      </c>
      <c r="Q6" s="4002">
        <v>0.15</v>
      </c>
      <c r="R6" s="4003">
        <f ca="1">SUMIF('数据-汇总表'!C$19:C$33,A6,'数据-汇总表'!R$19:R$27)</f>
        <v>10187.38</v>
      </c>
      <c r="S6" s="4004">
        <f>IF('数据-汇总表'!$I$17="按面积比例",SUMIF('数据-汇总表'!C$19:C$33,A6,'数据-汇总表'!K$19:K$33),SUMIF('数据-汇总表'!C$19:C$33,A6,'数据-汇总表'!N$19:N$33))</f>
        <v>0</v>
      </c>
      <c r="T6" s="4005">
        <f>ROUND($L$14*S6/10000,0)</f>
        <v>0</v>
      </c>
      <c r="U6" s="4006">
        <f>ROUND(4.5/1.09,1)</f>
        <v>4.1</v>
      </c>
      <c r="V6" s="4007">
        <v>0.02</v>
      </c>
      <c r="W6" s="4007">
        <v>0.1</v>
      </c>
      <c r="X6" s="4008"/>
      <c r="Y6" s="4009">
        <f>N6</f>
        <v>0.85</v>
      </c>
      <c r="Z6" s="4010"/>
      <c r="AA6" s="4011"/>
      <c r="AB6" s="4011"/>
      <c r="AC6" s="4008"/>
      <c r="AD6" s="4012"/>
      <c r="AE6" s="4013">
        <f ca="1">IF(AN6="",0,SUMIF(INDIRECT("'"&amp;AN6&amp;"'"&amp;"!E:E"),$AE$5,INDIRECT("'"&amp;AN6&amp;"'"&amp;"!F:F")))</f>
        <v>35.52</v>
      </c>
      <c r="AF6" s="4014"/>
      <c r="AG6" s="2180">
        <f ca="1">IF(AF6="",0,AE6-AF6)</f>
        <v>0</v>
      </c>
      <c r="AH6" s="4006"/>
      <c r="AI6" s="4015">
        <v>365</v>
      </c>
      <c r="AJ6" s="4014"/>
      <c r="AK6" s="4016">
        <v>0.002</v>
      </c>
      <c r="AL6" s="4017">
        <v>0.001</v>
      </c>
      <c r="AM6" s="4018">
        <v>0.005</v>
      </c>
      <c r="AN6" s="4019" t="s">
        <v>359</v>
      </c>
      <c r="AO6" s="4004">
        <f ca="1">SUMIF(INDIRECT("'"&amp;AN6&amp;"'"&amp;"!A:A"),"总价",INDIRECT("'"&amp;AN6&amp;"'"&amp;"!B:B"))</f>
        <v>52998</v>
      </c>
      <c r="AP6" s="4004">
        <f>IF(C6="住宅",K6*L6,0)</f>
        <v>0</v>
      </c>
      <c r="AQ6" s="4004">
        <f>ROUND($L$14*$N$14*S6/10000,0)</f>
        <v>0</v>
      </c>
      <c r="AR6" s="4004">
        <f>ROUND($L$14*(1-$N$14)*S6/10000,0)</f>
        <v>0</v>
      </c>
      <c r="AS6" s="4004">
        <f>ROUND(1-1/(1+H6)^F6,3)</f>
        <v>0.823</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t="str">
        <f>'数据-汇总表'!C20</f>
        <v>地下仓储（商业）</v>
      </c>
      <c r="B7" s="3990" t="str">
        <f t="shared" ref="B7:B13" si="2">IF(A7=0,"","经营性")</f>
        <v>经营性</v>
      </c>
      <c r="C7" s="3991" t="s">
        <v>634</v>
      </c>
      <c r="D7" s="3992">
        <f>SUMIF(项目基本情况!C$12:I$12,C7,项目基本情况!C$14:I$14)</f>
        <v>50</v>
      </c>
      <c r="E7" s="3993">
        <f>IF(B7="","",SUMIF(项目基本情况!C$12:I$12,C7,项目基本情况!C$13:I$13))</f>
        <v>58987</v>
      </c>
      <c r="F7" s="3994">
        <f>SUMIF(项目基本情况!C$12:I$12,C7,项目基本情况!C$15:I$15)</f>
        <v>35.52</v>
      </c>
      <c r="G7" s="3995">
        <f t="shared" si="0"/>
        <v>0.9019</v>
      </c>
      <c r="H7" s="3996">
        <f>H6</f>
        <v>0.05</v>
      </c>
      <c r="I7" s="3996">
        <f>I6</f>
        <v>0.055</v>
      </c>
      <c r="J7" s="3997">
        <f>J6</f>
        <v>0.07</v>
      </c>
      <c r="K7" s="3998">
        <f>SUMIF('数据-汇总表'!C$19:C$33,A7,'数据-汇总表'!E$19:E$33)</f>
        <v>5491.16</v>
      </c>
      <c r="L7" s="3999">
        <f>L6</f>
        <v>4800</v>
      </c>
      <c r="M7" s="4000">
        <f t="shared" si="1"/>
        <v>2636</v>
      </c>
      <c r="N7" s="4001">
        <f>N6</f>
        <v>0.85</v>
      </c>
      <c r="O7" s="4000" t="str">
        <f t="shared" ref="O7:O14" si="3">IF($N$5="成新度","——",ROUND(M7*N7,0))</f>
        <v>——</v>
      </c>
      <c r="P7" s="2057" t="str">
        <f t="shared" ref="P7:P14" si="4">IF($N$5="成新度","——",M7-O7)</f>
        <v>——</v>
      </c>
      <c r="Q7" s="4002">
        <v>0.1</v>
      </c>
      <c r="R7" s="4003">
        <f ca="1">SUMIF('数据-汇总表'!C$19:C$33,A7,'数据-汇总表'!R$19:R$27)</f>
        <v>2425.2</v>
      </c>
      <c r="S7" s="4004">
        <f>IF('数据-汇总表'!$I$17="按面积比例",SUMIF('数据-汇总表'!C$19:C$33,A7,'数据-汇总表'!K$19:K$33),SUMIF('数据-汇总表'!C$19:C$33,A7,'数据-汇总表'!N$19:N$33))</f>
        <v>0</v>
      </c>
      <c r="T7" s="4005">
        <f t="shared" ref="T7:T13" si="5">ROUND($L$14*S7/10000,0)</f>
        <v>0</v>
      </c>
      <c r="U7" s="4006">
        <f>ROUND(2/1.09,1)</f>
        <v>1.8</v>
      </c>
      <c r="V7" s="4007">
        <v>0.02</v>
      </c>
      <c r="W7" s="4007">
        <v>0.1</v>
      </c>
      <c r="X7" s="4008"/>
      <c r="Y7" s="4009">
        <f>N7</f>
        <v>0.85</v>
      </c>
      <c r="Z7" s="4010"/>
      <c r="AA7" s="4011"/>
      <c r="AB7" s="4011"/>
      <c r="AC7" s="4008"/>
      <c r="AD7" s="4012"/>
      <c r="AE7" s="4013">
        <f ca="1" t="shared" ref="AE7:AE13" si="6">IF(AN7="",0,SUMIF(INDIRECT("'"&amp;AN7&amp;"'"&amp;"!E:E"),$AE$5,INDIRECT("'"&amp;AN7&amp;"'"&amp;"!F:F")))</f>
        <v>35.52</v>
      </c>
      <c r="AF7" s="4014"/>
      <c r="AG7" s="2180">
        <f ca="1" t="shared" ref="AG7:AG13" si="7">IF(AF7="",0,AE7-AF7)</f>
        <v>0</v>
      </c>
      <c r="AH7" s="4006"/>
      <c r="AI7" s="4015">
        <v>365</v>
      </c>
      <c r="AJ7" s="4014"/>
      <c r="AK7" s="4016">
        <v>0.002</v>
      </c>
      <c r="AL7" s="4017">
        <v>0.001</v>
      </c>
      <c r="AM7" s="4018">
        <v>0.005</v>
      </c>
      <c r="AN7" s="4019" t="s">
        <v>361</v>
      </c>
      <c r="AO7" s="4004">
        <f ca="1" t="shared" ref="AO7:AO13" si="8">SUMIF(INDIRECT("'"&amp;AN7&amp;"'"&amp;"!A:A"),"总价",INDIRECT("'"&amp;AN7&amp;"'"&amp;"!B:B"))</f>
        <v>5457</v>
      </c>
      <c r="AP7" s="4004">
        <f t="shared" ref="AP7:AP13" si="9">IF(C7="住宅",K7*L7,0)</f>
        <v>0</v>
      </c>
      <c r="AQ7" s="4004">
        <f t="shared" ref="AQ7:AQ13" si="10">ROUND($L$14*$N$14*S7/10000,0)</f>
        <v>0</v>
      </c>
      <c r="AR7" s="4004">
        <f t="shared" ref="AR7:AR13" si="11">ROUND($L$14*(1-$N$14)*S7/10000,0)</f>
        <v>0</v>
      </c>
      <c r="AS7" s="4004">
        <f t="shared" ref="AS7:AS13" si="12">ROUND(1-1/(1+H7)^F7,3)</f>
        <v>0.823</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t="str">
        <f>'数据-汇总表'!C21</f>
        <v>地下仓储</v>
      </c>
      <c r="B8" s="3990" t="str">
        <f t="shared" si="2"/>
        <v>经营性</v>
      </c>
      <c r="C8" s="3991" t="s">
        <v>634</v>
      </c>
      <c r="D8" s="3992">
        <f>SUMIF(项目基本情况!C$12:I$12,C8,项目基本情况!C$14:I$14)</f>
        <v>50</v>
      </c>
      <c r="E8" s="3993">
        <f>IF(B8="","",SUMIF(项目基本情况!C$12:I$12,C8,项目基本情况!C$13:I$13))</f>
        <v>58987</v>
      </c>
      <c r="F8" s="3994">
        <f>SUMIF(项目基本情况!C$12:I$12,C8,项目基本情况!C$15:I$15)</f>
        <v>35.52</v>
      </c>
      <c r="G8" s="3995">
        <f t="shared" si="0"/>
        <v>0.889</v>
      </c>
      <c r="H8" s="3996">
        <v>0.045</v>
      </c>
      <c r="I8" s="3996">
        <v>0.05</v>
      </c>
      <c r="J8" s="3997">
        <f>J6</f>
        <v>0.07</v>
      </c>
      <c r="K8" s="3998">
        <f>SUMIF('数据-汇总表'!C$19:C$33,A8,'数据-汇总表'!E$19:E$33)</f>
        <v>365.25</v>
      </c>
      <c r="L8" s="3999">
        <f>L6</f>
        <v>4800</v>
      </c>
      <c r="M8" s="4000">
        <f t="shared" si="1"/>
        <v>175</v>
      </c>
      <c r="N8" s="4001">
        <f>N6</f>
        <v>0.85</v>
      </c>
      <c r="O8" s="4000" t="str">
        <f t="shared" si="3"/>
        <v>——</v>
      </c>
      <c r="P8" s="2057" t="str">
        <f t="shared" si="4"/>
        <v>——</v>
      </c>
      <c r="Q8" s="4002">
        <v>0.05</v>
      </c>
      <c r="R8" s="4003">
        <f ca="1">SUMIF('数据-汇总表'!C$19:C$33,A8,'数据-汇总表'!R$19:R$27)</f>
        <v>161.31</v>
      </c>
      <c r="S8" s="4004">
        <f>IF('数据-汇总表'!$I$17="按面积比例",SUMIF('数据-汇总表'!C$19:C$33,A8,'数据-汇总表'!K$19:K$33),SUMIF('数据-汇总表'!C$19:C$33,A8,'数据-汇总表'!N$19:N$33))</f>
        <v>0</v>
      </c>
      <c r="T8" s="4005">
        <f t="shared" si="5"/>
        <v>0</v>
      </c>
      <c r="U8" s="4020">
        <f>ROUND(1/1.09,1)</f>
        <v>0.9</v>
      </c>
      <c r="V8" s="4021">
        <v>0.015</v>
      </c>
      <c r="W8" s="4021">
        <v>0.15</v>
      </c>
      <c r="X8" s="4008"/>
      <c r="Y8" s="4009">
        <f>N8</f>
        <v>0.85</v>
      </c>
      <c r="Z8" s="4010"/>
      <c r="AA8" s="4011"/>
      <c r="AB8" s="4011"/>
      <c r="AC8" s="4008"/>
      <c r="AD8" s="4012"/>
      <c r="AE8" s="4013">
        <f ca="1" t="shared" si="6"/>
        <v>35.52</v>
      </c>
      <c r="AF8" s="4014"/>
      <c r="AG8" s="2180">
        <f ca="1" t="shared" si="7"/>
        <v>0</v>
      </c>
      <c r="AH8" s="4020"/>
      <c r="AI8" s="4015">
        <v>365</v>
      </c>
      <c r="AJ8" s="4014"/>
      <c r="AK8" s="4022">
        <v>0.002</v>
      </c>
      <c r="AL8" s="4023">
        <v>0.001</v>
      </c>
      <c r="AM8" s="4024">
        <v>0.005</v>
      </c>
      <c r="AN8" s="4019" t="s">
        <v>363</v>
      </c>
      <c r="AO8" s="4004">
        <f ca="1" t="shared" si="8"/>
        <v>167</v>
      </c>
      <c r="AP8" s="4004">
        <f t="shared" si="9"/>
        <v>0</v>
      </c>
      <c r="AQ8" s="4004">
        <f t="shared" si="10"/>
        <v>0</v>
      </c>
      <c r="AR8" s="4004">
        <f t="shared" si="11"/>
        <v>0</v>
      </c>
      <c r="AS8" s="4004">
        <f t="shared" si="12"/>
        <v>0.791</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t="str">
        <f>'数据-汇总表'!C22</f>
        <v>车库</v>
      </c>
      <c r="B9" s="3990" t="str">
        <f t="shared" si="2"/>
        <v>经营性</v>
      </c>
      <c r="C9" s="3991" t="s">
        <v>633</v>
      </c>
      <c r="D9" s="3992">
        <f>SUMIF(项目基本情况!C$12:I$12,C9,项目基本情况!C$14:I$14)</f>
        <v>50</v>
      </c>
      <c r="E9" s="3993">
        <f>IF(B9="","",SUMIF(项目基本情况!C$12:I$12,C9,项目基本情况!C$13:I$13))</f>
        <v>58987</v>
      </c>
      <c r="F9" s="3994">
        <f>SUMIF(项目基本情况!C$12:I$12,C9,项目基本情况!C$15:I$15)</f>
        <v>35.52</v>
      </c>
      <c r="G9" s="3995">
        <f t="shared" si="0"/>
        <v>0.889</v>
      </c>
      <c r="H9" s="3996">
        <f>H8</f>
        <v>0.045</v>
      </c>
      <c r="I9" s="3996">
        <f>I8</f>
        <v>0.05</v>
      </c>
      <c r="J9" s="3997">
        <f>J8</f>
        <v>0.07</v>
      </c>
      <c r="K9" s="3998">
        <f>SUMIF('数据-汇总表'!C$19:C$33,A9,'数据-汇总表'!E$19:E$33)</f>
        <v>3344.85</v>
      </c>
      <c r="L9" s="3999">
        <f>L6</f>
        <v>4800</v>
      </c>
      <c r="M9" s="4000">
        <f t="shared" si="1"/>
        <v>1606</v>
      </c>
      <c r="N9" s="4001">
        <f>N6</f>
        <v>0.85</v>
      </c>
      <c r="O9" s="4000" t="str">
        <f t="shared" si="3"/>
        <v>——</v>
      </c>
      <c r="P9" s="2057" t="str">
        <f t="shared" si="4"/>
        <v>——</v>
      </c>
      <c r="Q9" s="4025">
        <v>0.05</v>
      </c>
      <c r="R9" s="4003">
        <f ca="1">SUMIF('数据-汇总表'!C$19:C$33,A9,'数据-汇总表'!R$19:R$27)</f>
        <v>1477.27</v>
      </c>
      <c r="S9" s="4004">
        <f>IF('数据-汇总表'!$I$17="按面积比例",SUMIF('数据-汇总表'!C$19:C$33,A9,'数据-汇总表'!K$19:K$33),SUMIF('数据-汇总表'!C$19:C$33,A9,'数据-汇总表'!N$19:N$33))</f>
        <v>0</v>
      </c>
      <c r="T9" s="4005">
        <f t="shared" si="5"/>
        <v>0</v>
      </c>
      <c r="U9" s="4006">
        <v>730</v>
      </c>
      <c r="V9" s="4007">
        <v>0.015</v>
      </c>
      <c r="W9" s="4007">
        <v>0.15</v>
      </c>
      <c r="X9" s="4008"/>
      <c r="Y9" s="4009">
        <f>N9</f>
        <v>0.85</v>
      </c>
      <c r="Z9" s="4010"/>
      <c r="AA9" s="4011"/>
      <c r="AB9" s="4011"/>
      <c r="AC9" s="4008"/>
      <c r="AD9" s="4012"/>
      <c r="AE9" s="4013">
        <f ca="1" t="shared" si="6"/>
        <v>35.52</v>
      </c>
      <c r="AF9" s="4014"/>
      <c r="AG9" s="2180">
        <f ca="1" t="shared" si="7"/>
        <v>0</v>
      </c>
      <c r="AH9" s="4006">
        <v>96</v>
      </c>
      <c r="AI9" s="4015">
        <v>12</v>
      </c>
      <c r="AJ9" s="4014"/>
      <c r="AK9" s="4016">
        <v>0.002</v>
      </c>
      <c r="AL9" s="4017">
        <v>0.001</v>
      </c>
      <c r="AM9" s="4018">
        <v>0.005</v>
      </c>
      <c r="AN9" s="4019" t="s">
        <v>365</v>
      </c>
      <c r="AO9" s="4004">
        <f ca="1" t="shared" si="8"/>
        <v>1144</v>
      </c>
      <c r="AP9" s="4004">
        <f t="shared" si="9"/>
        <v>0</v>
      </c>
      <c r="AQ9" s="4004">
        <f t="shared" si="10"/>
        <v>0</v>
      </c>
      <c r="AR9" s="4004">
        <f t="shared" si="11"/>
        <v>0</v>
      </c>
      <c r="AS9" s="4004">
        <f t="shared" si="12"/>
        <v>0.791</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057" t="str">
        <f t="shared" si="4"/>
        <v>——</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180">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t="str">
        <f t="shared" si="3"/>
        <v>——</v>
      </c>
      <c r="P11" s="2057" t="str">
        <f t="shared" si="4"/>
        <v>——</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180">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t="str">
        <f t="shared" si="3"/>
        <v>——</v>
      </c>
      <c r="P12" s="2057" t="str">
        <f t="shared" si="4"/>
        <v>——</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180">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t="str">
        <f t="shared" si="3"/>
        <v>——</v>
      </c>
      <c r="P13" s="2057" t="str">
        <f t="shared" si="4"/>
        <v>——</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180">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691</v>
      </c>
      <c r="B14" s="3990" t="s">
        <v>690</v>
      </c>
      <c r="C14" s="4034" t="s">
        <v>691</v>
      </c>
      <c r="D14" s="3992"/>
      <c r="E14" s="3993"/>
      <c r="F14" s="3994"/>
      <c r="G14" s="3995"/>
      <c r="H14" s="4035"/>
      <c r="I14" s="4035"/>
      <c r="J14" s="4035"/>
      <c r="K14" s="3998">
        <f>SUMIF('数据-汇总表'!C$19:C$33,A14,'数据-汇总表'!E$19:E$33)</f>
        <v>0</v>
      </c>
      <c r="L14" s="4026"/>
      <c r="M14" s="4000">
        <f t="shared" si="1"/>
        <v>0</v>
      </c>
      <c r="N14" s="4031"/>
      <c r="O14" s="4000" t="str">
        <f t="shared" si="3"/>
        <v>——</v>
      </c>
      <c r="P14" s="2057" t="str">
        <f t="shared" si="4"/>
        <v>——</v>
      </c>
      <c r="Q14" s="4036"/>
      <c r="R14" s="4003"/>
      <c r="S14" s="4004"/>
      <c r="T14" s="4005"/>
      <c r="U14" s="4037"/>
      <c r="V14" s="4038"/>
      <c r="W14" s="4038"/>
      <c r="X14" s="4039"/>
      <c r="Y14" s="4040"/>
      <c r="Z14" s="4041"/>
      <c r="AA14" s="4042"/>
      <c r="AB14" s="4042"/>
      <c r="AC14" s="4008"/>
      <c r="AD14" s="4039"/>
      <c r="AE14" s="4013"/>
      <c r="AF14" s="1443"/>
      <c r="AG14" s="2180"/>
      <c r="AH14" s="4013"/>
      <c r="AI14" s="1442"/>
      <c r="AJ14" s="1443"/>
      <c r="AK14" s="4043"/>
      <c r="AL14" s="4044"/>
      <c r="AM14" s="4045"/>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692</v>
      </c>
      <c r="B15" s="3990" t="s">
        <v>690</v>
      </c>
      <c r="C15" s="4034" t="s">
        <v>739</v>
      </c>
      <c r="D15" s="3992"/>
      <c r="E15" s="3993"/>
      <c r="F15" s="3994"/>
      <c r="G15" s="3995"/>
      <c r="H15" s="4035"/>
      <c r="I15" s="4035"/>
      <c r="J15" s="4035"/>
      <c r="K15" s="3998">
        <f>SUMIF('数据-汇总表'!C$19:C$33,A15,'数据-汇总表'!E$19:E$33)</f>
        <v>0</v>
      </c>
      <c r="L15" s="4000"/>
      <c r="M15" s="4000"/>
      <c r="N15" s="4046"/>
      <c r="O15" s="4000"/>
      <c r="P15" s="2057"/>
      <c r="Q15" s="4036"/>
      <c r="R15" s="4003"/>
      <c r="S15" s="4004"/>
      <c r="T15" s="4005"/>
      <c r="U15" s="4037"/>
      <c r="V15" s="4038"/>
      <c r="W15" s="4038"/>
      <c r="X15" s="4039"/>
      <c r="Y15" s="4040"/>
      <c r="Z15" s="4041"/>
      <c r="AA15" s="4042"/>
      <c r="AB15" s="4042"/>
      <c r="AC15" s="4008"/>
      <c r="AD15" s="4039"/>
      <c r="AE15" s="4013"/>
      <c r="AF15" s="1443"/>
      <c r="AG15" s="2180"/>
      <c r="AH15" s="4013"/>
      <c r="AI15" s="1442"/>
      <c r="AJ15" s="1443"/>
      <c r="AK15" s="4043"/>
      <c r="AL15" s="4044"/>
      <c r="AM15" s="4045"/>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693</v>
      </c>
      <c r="B16" s="4048"/>
      <c r="C16" s="4049"/>
      <c r="D16" s="4050"/>
      <c r="E16" s="4048"/>
      <c r="F16" s="4051"/>
      <c r="G16" s="4052">
        <f>ROUND(SUMPRODUCT(G6:G13,K6:K13)/SUMPRODUCT((G6:G13&gt;0)*(K6:K13)),4)</f>
        <v>0.9004</v>
      </c>
      <c r="H16" s="4053">
        <f>ROUND(SUMPRODUCT(H6:H13,K6:K13)/SUMPRODUCT((H6:H13&gt;0)*(K6:K13)),3)</f>
        <v>0.049</v>
      </c>
      <c r="I16" s="4054"/>
      <c r="J16" s="4054"/>
      <c r="K16" s="4055">
        <f>SUM(K6:K15)</f>
        <v>32267.62</v>
      </c>
      <c r="L16" s="4056">
        <f>ROUND(M16*10000/SUM(K6:K14),0)</f>
        <v>4800</v>
      </c>
      <c r="M16" s="4056">
        <f>SUM(M6:M14)</f>
        <v>15489</v>
      </c>
      <c r="N16" s="4057">
        <f>ROUND(SUMPRODUCT(M6:M14,N6:N14)/M16,3)</f>
        <v>0.85</v>
      </c>
      <c r="O16" s="4056">
        <f>SUM(O6:O14)</f>
        <v>0</v>
      </c>
      <c r="P16" s="4056">
        <f>SUM(P6:P14)</f>
        <v>0</v>
      </c>
      <c r="Q16" s="4058">
        <f>ROUND(SUMPRODUCT(Q6:Q13,K6:K13)/SUMPRODUCT((Q6:Q13&gt;0)*(K6:K13)),2)</f>
        <v>0.13</v>
      </c>
      <c r="R16" s="4059">
        <f ca="1">SUM(R6:R13)</f>
        <v>14251.16</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17"/>
      <c r="AO16" s="3959"/>
      <c r="AP16" s="3959"/>
      <c r="AQ16" s="3959"/>
      <c r="AR16" s="3959"/>
      <c r="AS16" s="4004">
        <f>ROUND(SUMPRODUCT(AS6:AS13,K6:K13)/SUMPRODUCT((AS6:AS13&gt;0)*(K6:K13)),3)</f>
        <v>0.819</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17"/>
      <c r="D17" s="4069"/>
      <c r="E17" s="4069"/>
      <c r="F17" s="717"/>
      <c r="G17" s="717"/>
      <c r="H17" s="717"/>
      <c r="I17" s="717"/>
      <c r="J17" s="717"/>
      <c r="K17" s="4070"/>
      <c r="L17" s="407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6" t="s">
        <v>740</v>
      </c>
      <c r="B18" s="4071"/>
      <c r="C18" s="3958"/>
      <c r="D18" s="4072"/>
      <c r="E18" s="3958"/>
      <c r="F18" s="3958"/>
      <c r="G18" s="3958"/>
      <c r="H18" s="3958"/>
      <c r="I18" s="3958"/>
      <c r="J18" s="3958"/>
      <c r="K18" s="4070"/>
      <c r="L18" s="4070">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2"/>
      <c r="AP18" s="3952"/>
      <c r="AQ18" s="3952"/>
      <c r="AR18" s="3952"/>
    </row>
    <row r="19" ht="14.25" spans="1:67">
      <c r="A19" s="4073" t="s">
        <v>741</v>
      </c>
      <c r="B19" s="4074">
        <v>0</v>
      </c>
      <c r="C19" s="4075" t="s">
        <v>742</v>
      </c>
      <c r="D19" s="4076"/>
      <c r="E19" s="4077"/>
      <c r="F19" s="4077"/>
      <c r="G19" s="4077"/>
      <c r="H19" s="3958"/>
      <c r="I19" s="3958"/>
      <c r="J19" s="3958"/>
      <c r="K19" s="4070"/>
      <c r="L19" s="4070"/>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8" t="s">
        <v>743</v>
      </c>
      <c r="B20" s="4079">
        <v>2</v>
      </c>
      <c r="C20" s="4080" t="s">
        <v>744</v>
      </c>
      <c r="D20" s="4076"/>
      <c r="E20" s="4077"/>
      <c r="F20" s="4077"/>
      <c r="G20" s="4077"/>
      <c r="H20" s="3958"/>
      <c r="I20" s="3958"/>
      <c r="J20" s="3958"/>
      <c r="K20" s="4070"/>
      <c r="L20" s="4070"/>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1" t="s">
        <v>745</v>
      </c>
      <c r="B21" s="4079">
        <v>2</v>
      </c>
      <c r="C21" s="3958"/>
      <c r="D21" s="4072"/>
      <c r="E21" s="3958"/>
      <c r="F21" s="3958"/>
      <c r="G21" s="3958"/>
      <c r="H21" s="3958"/>
      <c r="I21" s="3958"/>
      <c r="J21" s="3958"/>
      <c r="K21" s="4070"/>
      <c r="L21" s="4070"/>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8" t="s">
        <v>746</v>
      </c>
      <c r="B22" s="4082">
        <f>B19+B20</f>
        <v>2</v>
      </c>
      <c r="C22" s="3958"/>
      <c r="D22" s="4072"/>
      <c r="E22" s="3958"/>
      <c r="F22" s="3958"/>
      <c r="G22" s="3958"/>
      <c r="H22" s="3958"/>
      <c r="I22" s="3958"/>
      <c r="J22" s="3958"/>
      <c r="K22" s="4070"/>
      <c r="L22" s="407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1" t="s">
        <v>747</v>
      </c>
      <c r="B23" s="4082">
        <f>B19+B21</f>
        <v>2</v>
      </c>
      <c r="C23" s="3958"/>
      <c r="D23" s="4072"/>
      <c r="E23" s="3958"/>
      <c r="F23" s="3958"/>
      <c r="G23" s="3958"/>
      <c r="H23" s="3958"/>
      <c r="I23" s="3958"/>
      <c r="J23" s="3958"/>
      <c r="K23" s="4070"/>
      <c r="L23" s="407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3" t="s">
        <v>748</v>
      </c>
      <c r="B24" s="4084">
        <f>B20-B21</f>
        <v>0</v>
      </c>
      <c r="C24" s="3958"/>
      <c r="D24" s="4072"/>
      <c r="E24" s="3958"/>
      <c r="F24" s="3958"/>
      <c r="G24" s="3958"/>
      <c r="H24" s="3958"/>
      <c r="I24" s="3958"/>
      <c r="J24" s="3958"/>
      <c r="K24" s="4070"/>
      <c r="L24" s="407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2"/>
      <c r="E25" s="3958"/>
      <c r="F25" s="4085"/>
      <c r="G25" s="3958"/>
      <c r="H25" s="3958"/>
      <c r="I25" s="3958"/>
      <c r="J25" s="3958"/>
      <c r="K25" s="4070"/>
      <c r="L25" s="407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749</v>
      </c>
      <c r="B26" s="4086" t="s">
        <v>750</v>
      </c>
      <c r="C26" s="3958"/>
      <c r="D26" s="4072"/>
      <c r="E26" s="3958"/>
      <c r="F26" s="3958"/>
      <c r="G26" s="3958"/>
      <c r="H26" s="3958"/>
      <c r="I26" s="3958"/>
      <c r="J26" s="3958"/>
      <c r="K26" s="4070"/>
      <c r="L26" s="407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7" t="s">
        <v>751</v>
      </c>
      <c r="B27" s="4088"/>
      <c r="C27" s="4089" t="s">
        <v>752</v>
      </c>
      <c r="D27" s="4090"/>
      <c r="E27" s="4091"/>
      <c r="F27" s="4091"/>
      <c r="G27" s="4077"/>
      <c r="H27" s="3958"/>
      <c r="I27" s="3958"/>
      <c r="J27" s="3958"/>
      <c r="K27" s="4070"/>
      <c r="L27" s="407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3" t="s">
        <v>753</v>
      </c>
      <c r="B28" s="4094">
        <v>200</v>
      </c>
      <c r="C28" s="4095"/>
      <c r="D28" s="4090"/>
      <c r="E28" s="4091"/>
      <c r="F28" s="4091"/>
      <c r="G28" s="4077"/>
      <c r="H28" s="3958"/>
      <c r="I28" s="3958"/>
      <c r="J28" s="3958"/>
      <c r="K28" s="4070"/>
      <c r="L28" s="407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6" t="s">
        <v>754</v>
      </c>
      <c r="B29" s="4097"/>
      <c r="C29" s="4098" t="s">
        <v>755</v>
      </c>
      <c r="D29" s="4090"/>
      <c r="E29" s="4091"/>
      <c r="F29" s="4091"/>
      <c r="G29" s="4077"/>
      <c r="H29" s="3958"/>
      <c r="I29" s="3958"/>
      <c r="J29" s="3958"/>
      <c r="K29" s="4070"/>
      <c r="L29" s="407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099" t="s">
        <v>756</v>
      </c>
      <c r="B30" s="4100">
        <v>180</v>
      </c>
      <c r="C30" s="4101" t="s">
        <v>757</v>
      </c>
      <c r="D30" s="4090"/>
      <c r="E30" s="4091"/>
      <c r="F30" s="4091"/>
      <c r="G30" s="4077"/>
      <c r="H30" s="3958"/>
      <c r="I30" s="3958"/>
      <c r="J30" s="3958"/>
      <c r="K30" s="4070"/>
      <c r="L30" s="407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3" t="s">
        <v>758</v>
      </c>
      <c r="B31" s="4082">
        <f>B30-B32</f>
        <v>180</v>
      </c>
      <c r="C31" s="4102"/>
      <c r="D31" s="4103"/>
      <c r="E31" s="1651"/>
      <c r="F31" s="1651"/>
      <c r="G31" s="3958"/>
      <c r="H31" s="3958"/>
      <c r="I31" s="3958"/>
      <c r="J31" s="3958"/>
      <c r="K31" s="4070"/>
      <c r="L31" s="407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4" t="s">
        <v>759</v>
      </c>
      <c r="B32" s="4105">
        <v>0</v>
      </c>
      <c r="C32" s="4106"/>
      <c r="D32" s="4072"/>
      <c r="E32" s="3958"/>
      <c r="F32" s="3958"/>
      <c r="G32" s="3958"/>
      <c r="H32" s="3958"/>
      <c r="I32" s="3958"/>
      <c r="J32" s="3958"/>
      <c r="K32" s="4070"/>
      <c r="L32" s="407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7" t="s">
        <v>760</v>
      </c>
      <c r="B33" s="4108">
        <v>0.06</v>
      </c>
      <c r="C33" s="4109" t="s">
        <v>761</v>
      </c>
      <c r="D33" s="4076"/>
      <c r="E33" s="4077"/>
      <c r="F33" s="4077"/>
      <c r="G33" s="4077"/>
      <c r="H33" s="3958">
        <v>300</v>
      </c>
      <c r="I33" s="3958">
        <f>ROUND(H33*K16/10000/M16,2)</f>
        <v>0.06</v>
      </c>
      <c r="J33" s="3958"/>
      <c r="K33" s="4070"/>
      <c r="L33" s="407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3" t="s">
        <v>762</v>
      </c>
      <c r="B34" s="4110">
        <v>0</v>
      </c>
      <c r="C34" s="4080" t="s">
        <v>763</v>
      </c>
      <c r="D34" s="4111"/>
      <c r="E34" s="4112"/>
      <c r="F34" s="4077"/>
      <c r="G34" s="4077"/>
      <c r="H34" s="3958"/>
      <c r="I34" s="3958"/>
      <c r="J34" s="3958"/>
      <c r="K34" s="4070"/>
      <c r="L34" s="407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3" t="s">
        <v>764</v>
      </c>
      <c r="B35" s="4113">
        <v>300</v>
      </c>
      <c r="C35" s="4075" t="s">
        <v>765</v>
      </c>
      <c r="D35" s="4090"/>
      <c r="E35" s="4091"/>
      <c r="F35" s="4091"/>
      <c r="G35" s="4077"/>
      <c r="H35" s="3958"/>
      <c r="I35" s="3958"/>
      <c r="J35" s="3958"/>
      <c r="K35" s="4070"/>
      <c r="L35" s="407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4" t="s">
        <v>766</v>
      </c>
      <c r="B36" s="4115">
        <v>0.01</v>
      </c>
      <c r="C36" s="4116" t="s">
        <v>767</v>
      </c>
      <c r="D36" s="4090"/>
      <c r="E36" s="4091"/>
      <c r="F36" s="4091"/>
      <c r="G36" s="4077"/>
      <c r="H36" s="3958">
        <v>60</v>
      </c>
      <c r="I36" s="3958">
        <f>ROUND(H36*K16/M16/10000,2)</f>
        <v>0.01</v>
      </c>
      <c r="J36" s="3958"/>
      <c r="K36" s="4070"/>
      <c r="L36" s="407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7" t="s">
        <v>768</v>
      </c>
      <c r="B37" s="4118"/>
      <c r="C37" s="4075" t="s">
        <v>769</v>
      </c>
      <c r="D37" s="4076"/>
      <c r="E37" s="4077"/>
      <c r="F37" s="4077"/>
      <c r="G37" s="4077"/>
      <c r="H37" s="3958"/>
      <c r="I37" s="3958"/>
      <c r="J37" s="3958"/>
      <c r="K37" s="4070"/>
      <c r="L37" s="407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099" t="s">
        <v>770</v>
      </c>
      <c r="B38" s="4119">
        <v>0.03</v>
      </c>
      <c r="C38" s="4080" t="s">
        <v>771</v>
      </c>
      <c r="D38" s="4076"/>
      <c r="E38" s="4077"/>
      <c r="F38" s="4077"/>
      <c r="G38" s="4077"/>
      <c r="H38" s="3958"/>
      <c r="I38" s="3958"/>
      <c r="J38" s="3958"/>
      <c r="K38" s="4070"/>
      <c r="L38" s="407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3" t="s">
        <v>772</v>
      </c>
      <c r="B39" s="4115">
        <v>0.03</v>
      </c>
      <c r="C39" s="4080" t="s">
        <v>773</v>
      </c>
      <c r="D39" s="4076"/>
      <c r="E39" s="4077"/>
      <c r="F39" s="4077"/>
      <c r="G39" s="4077"/>
      <c r="H39" s="3958"/>
      <c r="I39" s="3958"/>
      <c r="J39" s="3958"/>
      <c r="K39" s="4070"/>
      <c r="L39" s="407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4" t="s">
        <v>774</v>
      </c>
      <c r="B40" s="4120">
        <f ca="1">存贷款利率!I1</f>
        <v>0.015</v>
      </c>
      <c r="C40" s="4121"/>
      <c r="D40" s="4072"/>
      <c r="E40" s="3958"/>
      <c r="F40" s="3958"/>
      <c r="G40" s="3958"/>
      <c r="H40" s="3958"/>
      <c r="I40" s="3958"/>
      <c r="J40" s="3958"/>
      <c r="K40" s="4070"/>
      <c r="L40" s="407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2" t="s">
        <v>775</v>
      </c>
      <c r="B41" s="4123">
        <f ca="1">IF(A41="利息：取LPR",存贷款利率!G1,存贷款利率!G1+C41)</f>
        <v>0.0313</v>
      </c>
      <c r="C41" s="4124"/>
      <c r="D41" s="4125"/>
      <c r="E41" s="4072"/>
      <c r="F41" s="3958"/>
      <c r="G41" s="3958"/>
      <c r="H41" s="3958"/>
      <c r="I41" s="3958"/>
      <c r="J41" s="3958"/>
      <c r="K41" s="4070"/>
      <c r="L41" s="407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7" t="s">
        <v>776</v>
      </c>
      <c r="B42" s="4126"/>
      <c r="C42" s="4102"/>
      <c r="D42" s="717"/>
      <c r="E42" s="4072"/>
      <c r="F42" s="3958"/>
      <c r="G42" s="3958"/>
      <c r="H42" s="3958"/>
      <c r="I42" s="3958"/>
      <c r="J42" s="3958"/>
      <c r="K42" s="4070"/>
      <c r="L42" s="407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7" t="s">
        <v>777</v>
      </c>
      <c r="B43" s="4128">
        <v>0.09</v>
      </c>
      <c r="C43" s="4129"/>
      <c r="D43" s="4072"/>
      <c r="E43" s="3958"/>
      <c r="F43" s="3958"/>
      <c r="G43" s="3958"/>
      <c r="H43" s="3958"/>
      <c r="I43" s="3958"/>
      <c r="J43" s="3958"/>
      <c r="K43" s="4070"/>
      <c r="L43" s="407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7" t="s">
        <v>778</v>
      </c>
      <c r="B44" s="4130">
        <f>B45+B46+B47</f>
        <v>0.12</v>
      </c>
      <c r="C44" s="4102"/>
      <c r="D44" s="4072"/>
      <c r="E44" s="3958"/>
      <c r="F44" s="3958"/>
      <c r="G44" s="3958"/>
      <c r="H44" s="3958"/>
      <c r="I44" s="3958"/>
      <c r="J44" s="3958"/>
      <c r="K44" s="4070"/>
      <c r="L44" s="407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1" t="s">
        <v>779</v>
      </c>
      <c r="B45" s="4132">
        <v>0.07</v>
      </c>
      <c r="C45" s="4080" t="s">
        <v>780</v>
      </c>
      <c r="D45" s="4076"/>
      <c r="E45" s="4077"/>
      <c r="F45" s="4077"/>
      <c r="G45" s="4077"/>
      <c r="H45" s="3958"/>
      <c r="I45" s="3958"/>
      <c r="J45" s="3958"/>
      <c r="K45" s="4070"/>
      <c r="L45" s="407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1" t="s">
        <v>781</v>
      </c>
      <c r="B46" s="4133">
        <v>0.03</v>
      </c>
      <c r="C46" s="4098" t="s">
        <v>782</v>
      </c>
      <c r="D46" s="4134"/>
      <c r="E46" s="4135"/>
      <c r="F46" s="4077"/>
      <c r="G46" s="4077"/>
      <c r="H46" s="3958"/>
      <c r="I46" s="3958"/>
      <c r="J46" s="3958"/>
      <c r="K46" s="4070"/>
      <c r="L46" s="407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1" t="s">
        <v>783</v>
      </c>
      <c r="B47" s="4133">
        <v>0.02</v>
      </c>
      <c r="C47" s="4098" t="s">
        <v>784</v>
      </c>
      <c r="D47" s="4134"/>
      <c r="E47" s="4135"/>
      <c r="F47" s="4077"/>
      <c r="G47" s="4077"/>
      <c r="H47" s="3958"/>
      <c r="I47" s="3958"/>
      <c r="J47" s="3958"/>
      <c r="K47" s="4070"/>
      <c r="L47" s="407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6" t="s">
        <v>785</v>
      </c>
      <c r="B48" s="4137"/>
      <c r="C48" s="4138" t="s">
        <v>786</v>
      </c>
      <c r="D48" s="4134"/>
      <c r="E48" s="4135"/>
      <c r="F48" s="4077"/>
      <c r="G48" s="4077"/>
      <c r="H48" s="3958"/>
      <c r="I48" s="3958"/>
      <c r="J48" s="3958"/>
      <c r="K48" s="4070"/>
      <c r="L48" s="407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39" t="s">
        <v>787</v>
      </c>
      <c r="B49" s="4140">
        <v>0.03</v>
      </c>
      <c r="C49" s="4098" t="s">
        <v>782</v>
      </c>
      <c r="D49" s="4134"/>
      <c r="E49" s="4135"/>
      <c r="F49" s="4077"/>
      <c r="G49" s="4077"/>
      <c r="H49" s="3958"/>
      <c r="I49" s="3958"/>
      <c r="J49" s="3958"/>
      <c r="K49" s="4070"/>
      <c r="L49" s="407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4" t="s">
        <v>788</v>
      </c>
      <c r="B50" s="4133">
        <v>0.0005</v>
      </c>
      <c r="C50" s="4098" t="s">
        <v>789</v>
      </c>
      <c r="D50" s="4134"/>
      <c r="E50" s="4135"/>
      <c r="F50" s="4077"/>
      <c r="G50" s="4077"/>
      <c r="H50" s="3958"/>
      <c r="I50" s="3958"/>
      <c r="J50" s="3958"/>
      <c r="K50" s="4070"/>
      <c r="L50" s="407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1" t="s">
        <v>790</v>
      </c>
      <c r="B51" s="4142">
        <v>0.012</v>
      </c>
      <c r="C51" s="4070"/>
      <c r="D51" s="4069"/>
      <c r="E51" s="717"/>
      <c r="F51" s="3958"/>
      <c r="G51" s="3958"/>
      <c r="H51" s="3958"/>
      <c r="I51" s="3958"/>
      <c r="J51" s="3958"/>
      <c r="K51" s="4070"/>
      <c r="L51" s="407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6" t="s">
        <v>791</v>
      </c>
      <c r="B52" s="4143">
        <v>0.12</v>
      </c>
      <c r="C52" s="4070"/>
      <c r="D52" s="4069"/>
      <c r="E52" s="717"/>
      <c r="F52" s="3958"/>
      <c r="G52" s="3958"/>
      <c r="H52" s="3958"/>
      <c r="I52" s="3958"/>
      <c r="J52" s="3958"/>
      <c r="K52" s="4070"/>
      <c r="L52" s="407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1" t="s">
        <v>792</v>
      </c>
      <c r="B53" s="4144">
        <f>SUMIF(A55:A64,B54,B55:B64)</f>
        <v>12</v>
      </c>
      <c r="C53" s="4070"/>
      <c r="D53" s="4069"/>
      <c r="E53" s="717"/>
      <c r="F53" s="3958"/>
      <c r="G53" s="3958"/>
      <c r="H53" s="3958"/>
      <c r="I53" s="3958"/>
      <c r="J53" s="3958"/>
      <c r="K53" s="4070"/>
      <c r="L53" s="407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3" t="s">
        <v>793</v>
      </c>
      <c r="B54" s="4145" t="s">
        <v>275</v>
      </c>
      <c r="C54" s="4070" t="s">
        <v>794</v>
      </c>
      <c r="D54" s="4146" t="s">
        <v>795</v>
      </c>
      <c r="E54" s="717"/>
      <c r="F54" s="3958"/>
      <c r="G54" s="3958"/>
      <c r="H54" s="3958"/>
      <c r="I54" s="3958"/>
      <c r="J54" s="3958"/>
      <c r="K54" s="4070"/>
      <c r="L54" s="407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7" t="s">
        <v>796</v>
      </c>
      <c r="B55" s="4148"/>
      <c r="C55" s="4070">
        <v>30</v>
      </c>
      <c r="D55" s="4069"/>
      <c r="E55" s="717"/>
      <c r="F55" s="3958"/>
      <c r="G55" s="3958"/>
      <c r="H55" s="3958"/>
      <c r="I55" s="3958"/>
      <c r="J55" s="3958"/>
      <c r="K55" s="4070"/>
      <c r="L55" s="407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7" t="s">
        <v>797</v>
      </c>
      <c r="B56" s="4148"/>
      <c r="C56" s="4070">
        <v>24</v>
      </c>
      <c r="D56" s="4069"/>
      <c r="E56" s="717"/>
      <c r="F56" s="3958"/>
      <c r="G56" s="3958"/>
      <c r="H56" s="3958"/>
      <c r="I56" s="4149"/>
      <c r="J56" s="3958"/>
      <c r="K56" s="4070"/>
      <c r="L56" s="407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7" t="s">
        <v>798</v>
      </c>
      <c r="B57" s="4148"/>
      <c r="C57" s="4070">
        <v>18</v>
      </c>
      <c r="D57" s="4069"/>
      <c r="E57" s="717"/>
      <c r="F57" s="3958"/>
      <c r="G57" s="3958"/>
      <c r="H57" s="3958"/>
      <c r="I57" s="3958"/>
      <c r="J57" s="3958"/>
      <c r="K57" s="4070"/>
      <c r="L57" s="407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7" t="s">
        <v>799</v>
      </c>
      <c r="B58" s="4148">
        <v>12</v>
      </c>
      <c r="C58" s="4070">
        <v>12</v>
      </c>
      <c r="D58" s="4069"/>
      <c r="E58" s="717"/>
      <c r="F58" s="3958"/>
      <c r="G58" s="3958"/>
      <c r="H58" s="3958"/>
      <c r="I58" s="3958"/>
      <c r="J58" s="3958"/>
      <c r="K58" s="4070"/>
      <c r="L58" s="407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7" t="s">
        <v>800</v>
      </c>
      <c r="B59" s="4148"/>
      <c r="C59" s="4070">
        <v>3</v>
      </c>
      <c r="D59" s="4069"/>
      <c r="E59" s="717"/>
      <c r="F59" s="3958"/>
      <c r="G59" s="3958"/>
      <c r="H59" s="3958"/>
      <c r="I59" s="3958"/>
      <c r="J59" s="3958"/>
      <c r="K59" s="4070"/>
      <c r="L59" s="407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7" t="s">
        <v>801</v>
      </c>
      <c r="B60" s="4148"/>
      <c r="C60" s="4070">
        <v>1.5</v>
      </c>
      <c r="D60" s="4069"/>
      <c r="E60" s="717"/>
      <c r="F60" s="3958"/>
      <c r="G60" s="3958"/>
      <c r="H60" s="3958"/>
      <c r="I60" s="3958"/>
      <c r="J60" s="3958"/>
      <c r="K60" s="4070"/>
      <c r="L60" s="407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7" t="s">
        <v>802</v>
      </c>
      <c r="B61" s="4148"/>
      <c r="C61" s="3958"/>
      <c r="D61" s="4072"/>
      <c r="E61" s="3958"/>
      <c r="F61" s="3958"/>
      <c r="G61" s="3958"/>
      <c r="H61" s="3958"/>
      <c r="I61" s="3958"/>
      <c r="J61" s="3958"/>
      <c r="K61" s="4070"/>
      <c r="L61" s="407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7" t="s">
        <v>803</v>
      </c>
      <c r="B62" s="4148"/>
      <c r="C62" s="3958"/>
      <c r="D62" s="4072"/>
      <c r="E62" s="3958"/>
      <c r="F62" s="3958"/>
      <c r="G62" s="3958"/>
      <c r="H62" s="3958"/>
      <c r="I62" s="3958"/>
      <c r="J62" s="3958"/>
      <c r="K62" s="4070"/>
      <c r="L62" s="407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7" t="s">
        <v>804</v>
      </c>
      <c r="B63" s="4148"/>
      <c r="C63" s="3958"/>
      <c r="D63" s="4072"/>
      <c r="E63" s="3958"/>
      <c r="F63" s="3958"/>
      <c r="G63" s="3958"/>
      <c r="H63" s="3958"/>
      <c r="I63" s="3958"/>
      <c r="J63" s="3958"/>
      <c r="K63" s="4070"/>
      <c r="L63" s="407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0" t="s">
        <v>805</v>
      </c>
      <c r="B64" s="4151"/>
      <c r="C64" s="3958"/>
      <c r="D64" s="4072"/>
      <c r="E64" s="3958"/>
      <c r="F64" s="3958"/>
      <c r="G64" s="3958"/>
      <c r="H64" s="3958"/>
      <c r="I64" s="3958"/>
      <c r="J64" s="3958"/>
      <c r="K64" s="4070"/>
      <c r="L64" s="407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69"/>
      <c r="E65" s="717"/>
      <c r="F65" s="717"/>
      <c r="G65" s="717"/>
      <c r="H65" s="717"/>
      <c r="I65" s="717"/>
      <c r="J65" s="717"/>
      <c r="K65" s="4070"/>
      <c r="L65" s="407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69"/>
      <c r="E66" s="717"/>
      <c r="F66" s="717"/>
      <c r="G66" s="717"/>
      <c r="H66" s="717"/>
      <c r="I66" s="717"/>
      <c r="J66" s="717"/>
      <c r="K66" s="4070"/>
      <c r="L66" s="407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69"/>
      <c r="E67" s="717"/>
      <c r="F67" s="717"/>
      <c r="G67" s="717"/>
      <c r="H67" s="717"/>
      <c r="I67" s="717"/>
      <c r="J67" s="717"/>
      <c r="K67" s="4070"/>
      <c r="L67" s="407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69"/>
      <c r="E68" s="717"/>
      <c r="F68" s="717"/>
      <c r="G68" s="717"/>
      <c r="H68" s="717"/>
      <c r="I68" s="717"/>
      <c r="J68" s="717"/>
      <c r="K68" s="4070"/>
      <c r="L68" s="407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69"/>
      <c r="E69" s="717"/>
      <c r="F69" s="717"/>
      <c r="G69" s="717"/>
      <c r="H69" s="717"/>
      <c r="I69" s="717"/>
      <c r="J69" s="717"/>
      <c r="K69" s="4070"/>
      <c r="L69" s="407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34"/>
      <c r="D70" s="4154"/>
      <c r="K70" s="710"/>
      <c r="L70" s="710"/>
      <c r="AO70" s="4153"/>
      <c r="AP70" s="4153"/>
      <c r="AQ70" s="4153"/>
      <c r="AR70" s="4153"/>
      <c r="AS70" s="4153"/>
    </row>
    <row r="71" s="735" customFormat="1" spans="1:45">
      <c r="A71" s="3834"/>
      <c r="D71" s="4154"/>
      <c r="K71" s="710"/>
      <c r="L71" s="710"/>
      <c r="AO71" s="4153"/>
      <c r="AP71" s="4153"/>
      <c r="AQ71" s="4153"/>
      <c r="AR71" s="4153"/>
      <c r="AS71" s="4153"/>
    </row>
    <row r="72" s="735" customFormat="1" spans="1:45">
      <c r="A72" s="3834"/>
      <c r="D72" s="4154"/>
      <c r="K72" s="710"/>
      <c r="L72" s="710"/>
      <c r="AO72" s="4153"/>
      <c r="AP72" s="4153"/>
      <c r="AQ72" s="4153"/>
      <c r="AR72" s="4153"/>
      <c r="AS72" s="4153"/>
    </row>
    <row r="73" s="735" customFormat="1" spans="1:45">
      <c r="A73" s="3834"/>
      <c r="D73" s="4154"/>
      <c r="K73" s="710"/>
      <c r="L73" s="710"/>
      <c r="AO73" s="4153"/>
      <c r="AP73" s="4153"/>
      <c r="AQ73" s="4153"/>
      <c r="AR73" s="4153"/>
      <c r="AS73" s="4153"/>
    </row>
    <row r="74" s="735" customFormat="1" spans="1:45">
      <c r="A74" s="3834"/>
      <c r="D74" s="4154"/>
      <c r="K74" s="710"/>
      <c r="L74" s="710"/>
      <c r="AO74" s="4153"/>
      <c r="AP74" s="4153"/>
      <c r="AQ74" s="4153"/>
      <c r="AR74" s="4153"/>
      <c r="AS74" s="4153"/>
    </row>
    <row r="75" s="735" customFormat="1" spans="1:45">
      <c r="A75" s="3834"/>
      <c r="D75" s="4154"/>
      <c r="K75" s="710"/>
      <c r="L75" s="710"/>
      <c r="AO75" s="4153"/>
      <c r="AP75" s="4153"/>
      <c r="AQ75" s="4153"/>
      <c r="AR75" s="4153"/>
      <c r="AS75" s="4153"/>
    </row>
    <row r="76" s="735" customFormat="1" spans="1:45">
      <c r="A76" s="3834"/>
      <c r="D76" s="4154"/>
      <c r="K76" s="710"/>
      <c r="L76" s="710"/>
      <c r="AO76" s="4153"/>
      <c r="AP76" s="4153"/>
      <c r="AQ76" s="4153"/>
      <c r="AR76" s="4153"/>
      <c r="AS76" s="4153"/>
    </row>
    <row r="77" s="735" customFormat="1" spans="1:45">
      <c r="A77" s="3834"/>
      <c r="D77" s="4154"/>
      <c r="K77" s="710"/>
      <c r="L77" s="710"/>
      <c r="AO77" s="4153"/>
      <c r="AP77" s="4153"/>
      <c r="AQ77" s="4153"/>
      <c r="AR77" s="4153"/>
      <c r="AS77" s="4153"/>
    </row>
    <row r="78" s="735" customFormat="1" spans="1:45">
      <c r="A78" s="3834"/>
      <c r="D78" s="4154"/>
      <c r="K78" s="710"/>
      <c r="L78" s="710"/>
      <c r="AO78" s="4153"/>
      <c r="AP78" s="4153"/>
      <c r="AQ78" s="4153"/>
      <c r="AR78" s="4153"/>
      <c r="AS78" s="4153"/>
    </row>
    <row r="79" s="735" customFormat="1" spans="1:45">
      <c r="A79" s="3834"/>
      <c r="D79" s="4154"/>
      <c r="K79" s="710"/>
      <c r="L79" s="710"/>
      <c r="AO79" s="4153"/>
      <c r="AP79" s="4153"/>
      <c r="AQ79" s="4153"/>
      <c r="AR79" s="4153"/>
      <c r="AS79" s="4153"/>
    </row>
    <row r="80" s="735" customFormat="1" spans="1:45">
      <c r="A80" s="3834"/>
      <c r="D80" s="4154"/>
      <c r="K80" s="710"/>
      <c r="L80" s="710"/>
      <c r="AO80" s="4153"/>
      <c r="AP80" s="4153"/>
      <c r="AQ80" s="4153"/>
      <c r="AR80" s="4153"/>
      <c r="AS80" s="4153"/>
    </row>
    <row r="81" s="735" customFormat="1" spans="1:45">
      <c r="A81" s="3834"/>
      <c r="D81" s="4154"/>
      <c r="K81" s="710"/>
      <c r="L81" s="710"/>
      <c r="AO81" s="4153"/>
      <c r="AP81" s="4153"/>
      <c r="AQ81" s="4153"/>
      <c r="AR81" s="4153"/>
      <c r="AS81" s="4153"/>
    </row>
    <row r="82" s="735" customFormat="1" spans="1:45">
      <c r="A82" s="3834"/>
      <c r="D82" s="4154"/>
      <c r="K82" s="710"/>
      <c r="L82" s="710"/>
      <c r="AO82" s="4153"/>
      <c r="AP82" s="4153"/>
      <c r="AQ82" s="4153"/>
      <c r="AR82" s="4153"/>
      <c r="AS82" s="4153"/>
    </row>
    <row r="83" s="735" customFormat="1" spans="1:45">
      <c r="A83" s="3834"/>
      <c r="D83" s="4154"/>
      <c r="K83" s="710"/>
      <c r="L83" s="710"/>
      <c r="AO83" s="4153"/>
      <c r="AP83" s="4153"/>
      <c r="AQ83" s="4153"/>
      <c r="AR83" s="4153"/>
      <c r="AS83" s="4153"/>
    </row>
    <row r="84" s="735" customFormat="1" spans="1:45">
      <c r="A84" s="3834"/>
      <c r="D84" s="4154"/>
      <c r="K84" s="710"/>
      <c r="L84" s="710"/>
      <c r="AO84" s="4153"/>
      <c r="AP84" s="4153"/>
      <c r="AQ84" s="4153"/>
      <c r="AR84" s="4153"/>
      <c r="AS84" s="4153"/>
    </row>
    <row r="85" s="735" customFormat="1" spans="1:45">
      <c r="A85" s="3834"/>
      <c r="D85" s="4154"/>
      <c r="K85" s="710"/>
      <c r="L85" s="710"/>
      <c r="AO85" s="4153"/>
      <c r="AP85" s="4153"/>
      <c r="AQ85" s="4153"/>
      <c r="AR85" s="4153"/>
      <c r="AS85" s="4153"/>
    </row>
    <row r="86" s="735" customFormat="1" spans="1:45">
      <c r="A86" s="3834"/>
      <c r="D86" s="4154"/>
      <c r="K86" s="710"/>
      <c r="L86" s="710"/>
      <c r="AO86" s="4153"/>
      <c r="AP86" s="4153"/>
      <c r="AQ86" s="4153"/>
      <c r="AR86" s="4153"/>
      <c r="AS86" s="4153"/>
    </row>
    <row r="87" s="735" customFormat="1" spans="1:45">
      <c r="A87" s="3834"/>
      <c r="D87" s="4154"/>
      <c r="K87" s="710"/>
      <c r="L87" s="710"/>
      <c r="AO87" s="4153"/>
      <c r="AP87" s="4153"/>
      <c r="AQ87" s="4153"/>
      <c r="AR87" s="4153"/>
      <c r="AS87" s="4153"/>
    </row>
    <row r="88" s="735" customFormat="1" spans="1:45">
      <c r="A88" s="3834"/>
      <c r="D88" s="4154"/>
      <c r="K88" s="710"/>
      <c r="L88" s="710"/>
      <c r="AO88" s="4153"/>
      <c r="AP88" s="4153"/>
      <c r="AQ88" s="4153"/>
      <c r="AR88" s="4153"/>
      <c r="AS88" s="4153"/>
    </row>
    <row r="89" s="735" customFormat="1" spans="1:45">
      <c r="A89" s="3834"/>
      <c r="D89" s="4154"/>
      <c r="K89" s="710"/>
      <c r="L89" s="710"/>
      <c r="AO89" s="4153"/>
      <c r="AP89" s="4153"/>
      <c r="AQ89" s="4153"/>
      <c r="AR89" s="4153"/>
      <c r="AS89" s="4153"/>
    </row>
    <row r="90" s="735" customFormat="1" spans="1:45">
      <c r="A90" s="3834"/>
      <c r="D90" s="4154"/>
      <c r="K90" s="710"/>
      <c r="L90" s="710"/>
      <c r="AO90" s="4153"/>
      <c r="AP90" s="4153"/>
      <c r="AQ90" s="4153"/>
      <c r="AR90" s="4153"/>
      <c r="AS90" s="4153"/>
    </row>
    <row r="91" s="735" customFormat="1" spans="1:45">
      <c r="A91" s="3834"/>
      <c r="D91" s="4154"/>
      <c r="K91" s="710"/>
      <c r="L91" s="710"/>
      <c r="AO91" s="4153"/>
      <c r="AP91" s="4153"/>
      <c r="AQ91" s="4153"/>
      <c r="AR91" s="4153"/>
      <c r="AS91" s="4153"/>
    </row>
    <row r="92" s="735" customFormat="1" spans="1:45">
      <c r="A92" s="3834"/>
      <c r="D92" s="4154"/>
      <c r="K92" s="710"/>
      <c r="L92" s="710"/>
      <c r="AO92" s="4153"/>
      <c r="AP92" s="4153"/>
      <c r="AQ92" s="4153"/>
      <c r="AR92" s="4153"/>
      <c r="AS92" s="4153"/>
    </row>
    <row r="93" s="735" customFormat="1" spans="1:45">
      <c r="A93" s="3834"/>
      <c r="D93" s="4154"/>
      <c r="K93" s="710"/>
      <c r="L93" s="710"/>
      <c r="AO93" s="4153"/>
      <c r="AP93" s="4153"/>
      <c r="AQ93" s="4153"/>
      <c r="AR93" s="4153"/>
      <c r="AS93" s="4153"/>
    </row>
    <row r="94" s="735" customFormat="1" spans="1:45">
      <c r="A94" s="3834"/>
      <c r="D94" s="4154"/>
      <c r="K94" s="710"/>
      <c r="L94" s="710"/>
      <c r="AO94" s="4153"/>
      <c r="AP94" s="4153"/>
      <c r="AQ94" s="4153"/>
      <c r="AR94" s="4153"/>
      <c r="AS94" s="4153"/>
    </row>
    <row r="95" s="735" customFormat="1" spans="1:45">
      <c r="A95" s="3834"/>
      <c r="D95" s="4154"/>
      <c r="K95" s="710"/>
      <c r="L95" s="710"/>
      <c r="AO95" s="4153"/>
      <c r="AP95" s="4153"/>
      <c r="AQ95" s="4153"/>
      <c r="AR95" s="4153"/>
      <c r="AS95" s="4153"/>
    </row>
    <row r="96" s="735" customFormat="1" spans="1:45">
      <c r="A96" s="3834"/>
      <c r="D96" s="4154"/>
      <c r="K96" s="710"/>
      <c r="L96" s="710"/>
      <c r="AO96" s="4153"/>
      <c r="AP96" s="4153"/>
      <c r="AQ96" s="4153"/>
      <c r="AR96" s="4153"/>
      <c r="AS96" s="4153"/>
    </row>
    <row r="97" s="735" customFormat="1" spans="1:45">
      <c r="A97" s="3834"/>
      <c r="D97" s="4154"/>
      <c r="K97" s="710"/>
      <c r="L97" s="710"/>
      <c r="AO97" s="4153"/>
      <c r="AP97" s="4153"/>
      <c r="AQ97" s="4153"/>
      <c r="AR97" s="4153"/>
      <c r="AS97" s="4153"/>
    </row>
    <row r="98" s="735" customFormat="1" spans="1:45">
      <c r="A98" s="3834"/>
      <c r="D98" s="4154"/>
      <c r="K98" s="710"/>
      <c r="L98" s="710"/>
      <c r="AO98" s="4153"/>
      <c r="AP98" s="4153"/>
      <c r="AQ98" s="4153"/>
      <c r="AR98" s="4153"/>
      <c r="AS98" s="4153"/>
    </row>
    <row r="99" s="735" customFormat="1" spans="1:45">
      <c r="A99" s="3834"/>
      <c r="D99" s="4154"/>
      <c r="K99" s="710"/>
      <c r="L99" s="710"/>
      <c r="AO99" s="4153"/>
      <c r="AP99" s="4153"/>
      <c r="AQ99" s="4153"/>
      <c r="AR99" s="4153"/>
      <c r="AS99" s="4153"/>
    </row>
    <row r="100" s="735" customFormat="1" spans="1:45">
      <c r="A100" s="3834"/>
      <c r="D100" s="4154"/>
      <c r="K100" s="710"/>
      <c r="L100" s="710"/>
      <c r="AO100" s="4153"/>
      <c r="AP100" s="4153"/>
      <c r="AQ100" s="4153"/>
      <c r="AR100" s="4153"/>
      <c r="AS100" s="4153"/>
    </row>
    <row r="101" s="735" customFormat="1" spans="1:45">
      <c r="A101" s="3834"/>
      <c r="D101" s="4154"/>
      <c r="K101" s="710"/>
      <c r="L101" s="710"/>
      <c r="AO101" s="4153"/>
      <c r="AP101" s="4153"/>
      <c r="AQ101" s="4153"/>
      <c r="AR101" s="4153"/>
      <c r="AS101" s="4153"/>
    </row>
    <row r="102" s="735" customFormat="1" spans="1:45">
      <c r="A102" s="3834"/>
      <c r="D102" s="4154"/>
      <c r="K102" s="710"/>
      <c r="L102" s="710"/>
      <c r="AO102" s="4153"/>
      <c r="AP102" s="4153"/>
      <c r="AQ102" s="4153"/>
      <c r="AR102" s="4153"/>
      <c r="AS102" s="4153"/>
    </row>
    <row r="103" s="735" customFormat="1" spans="1:45">
      <c r="A103" s="3834"/>
      <c r="D103" s="4154"/>
      <c r="K103" s="710"/>
      <c r="L103" s="710"/>
      <c r="AO103" s="4153"/>
      <c r="AP103" s="4153"/>
      <c r="AQ103" s="4153"/>
      <c r="AR103" s="4153"/>
      <c r="AS103" s="4153"/>
    </row>
    <row r="104" s="735" customFormat="1" spans="1:45">
      <c r="A104" s="3834"/>
      <c r="D104" s="4154"/>
      <c r="K104" s="710"/>
      <c r="L104" s="710"/>
      <c r="AO104" s="4153"/>
      <c r="AP104" s="4153"/>
      <c r="AQ104" s="4153"/>
      <c r="AR104" s="4153"/>
      <c r="AS104" s="4153"/>
    </row>
    <row r="105" s="735" customFormat="1" spans="1:45">
      <c r="A105" s="3834"/>
      <c r="D105" s="4154"/>
      <c r="K105" s="710"/>
      <c r="L105" s="710"/>
      <c r="AO105" s="4153"/>
      <c r="AP105" s="4153"/>
      <c r="AQ105" s="4153"/>
      <c r="AR105" s="4153"/>
      <c r="AS105" s="4153"/>
    </row>
    <row r="106" s="735" customFormat="1" spans="1:45">
      <c r="A106" s="3834"/>
      <c r="D106" s="4154"/>
      <c r="K106" s="710"/>
      <c r="L106" s="710"/>
      <c r="AO106" s="4153"/>
      <c r="AP106" s="4153"/>
      <c r="AQ106" s="4153"/>
      <c r="AR106" s="4153"/>
      <c r="AS106" s="4153"/>
    </row>
    <row r="107" s="735" customFormat="1" spans="1:45">
      <c r="A107" s="3834"/>
      <c r="D107" s="4154"/>
      <c r="K107" s="710"/>
      <c r="L107" s="710"/>
      <c r="AO107" s="4153"/>
      <c r="AP107" s="4153"/>
      <c r="AQ107" s="4153"/>
      <c r="AR107" s="4153"/>
      <c r="AS107" s="4153"/>
    </row>
    <row r="108" s="735" customFormat="1" spans="1:45">
      <c r="A108" s="3834"/>
      <c r="D108" s="4154"/>
      <c r="K108" s="710"/>
      <c r="L108" s="710"/>
      <c r="AO108" s="4153"/>
      <c r="AP108" s="4153"/>
      <c r="AQ108" s="4153"/>
      <c r="AR108" s="4153"/>
      <c r="AS108" s="4153"/>
    </row>
    <row r="109" s="735" customFormat="1" spans="1:45">
      <c r="A109" s="3834"/>
      <c r="D109" s="4154"/>
      <c r="K109" s="710"/>
      <c r="L109" s="710"/>
      <c r="AO109" s="4153"/>
      <c r="AP109" s="4153"/>
      <c r="AQ109" s="4153"/>
      <c r="AR109" s="4153"/>
      <c r="AS109" s="4153"/>
    </row>
    <row r="110" s="735" customFormat="1" spans="1:45">
      <c r="A110" s="3834"/>
      <c r="D110" s="4154"/>
      <c r="K110" s="710"/>
      <c r="L110" s="710"/>
      <c r="AO110" s="4153"/>
      <c r="AP110" s="4153"/>
      <c r="AQ110" s="4153"/>
      <c r="AR110" s="4153"/>
      <c r="AS110" s="4153"/>
    </row>
    <row r="111" s="735" customFormat="1" spans="1:45">
      <c r="A111" s="3834"/>
      <c r="D111" s="4154"/>
      <c r="K111" s="710"/>
      <c r="L111" s="710"/>
      <c r="AO111" s="4153"/>
      <c r="AP111" s="4153"/>
      <c r="AQ111" s="4153"/>
      <c r="AR111" s="4153"/>
      <c r="AS111" s="4153"/>
    </row>
    <row r="112" s="735" customFormat="1" spans="1:45">
      <c r="A112" s="3834"/>
      <c r="D112" s="4154"/>
      <c r="K112" s="710"/>
      <c r="L112" s="710"/>
      <c r="AO112" s="4153"/>
      <c r="AP112" s="4153"/>
      <c r="AQ112" s="4153"/>
      <c r="AR112" s="4153"/>
      <c r="AS112" s="4153"/>
    </row>
    <row r="113" s="735" customFormat="1" spans="1:45">
      <c r="A113" s="3834"/>
      <c r="D113" s="4154"/>
      <c r="K113" s="710"/>
      <c r="L113" s="710"/>
      <c r="AO113" s="4153"/>
      <c r="AP113" s="4153"/>
      <c r="AQ113" s="4153"/>
      <c r="AR113" s="4153"/>
      <c r="AS113" s="4153"/>
    </row>
    <row r="114" s="735" customFormat="1" spans="1:45">
      <c r="A114" s="3834"/>
      <c r="D114" s="4154"/>
      <c r="K114" s="710"/>
      <c r="L114" s="710"/>
      <c r="AO114" s="4153"/>
      <c r="AP114" s="4153"/>
      <c r="AQ114" s="4153"/>
      <c r="AR114" s="4153"/>
      <c r="AS114" s="4153"/>
    </row>
    <row r="115" s="735" customFormat="1" spans="1:45">
      <c r="A115" s="3834"/>
      <c r="D115" s="4154"/>
      <c r="K115" s="710"/>
      <c r="L115" s="710"/>
      <c r="AO115" s="4153"/>
      <c r="AP115" s="4153"/>
      <c r="AQ115" s="4153"/>
      <c r="AR115" s="4153"/>
      <c r="AS115" s="4153"/>
    </row>
    <row r="116" s="735" customFormat="1" spans="1:45">
      <c r="A116" s="3834"/>
      <c r="D116" s="4154"/>
      <c r="K116" s="710"/>
      <c r="L116" s="710"/>
      <c r="AO116" s="4153"/>
      <c r="AP116" s="4153"/>
      <c r="AQ116" s="4153"/>
      <c r="AR116" s="4153"/>
      <c r="AS116" s="4153"/>
    </row>
    <row r="117" s="735" customFormat="1" spans="1:45">
      <c r="A117" s="3834"/>
      <c r="D117" s="4154"/>
      <c r="K117" s="710"/>
      <c r="L117" s="710"/>
      <c r="AO117" s="4153"/>
      <c r="AP117" s="4153"/>
      <c r="AQ117" s="4153"/>
      <c r="AR117" s="4153"/>
      <c r="AS117" s="4153"/>
    </row>
    <row r="118" s="735" customFormat="1" spans="1:45">
      <c r="A118" s="3834"/>
      <c r="D118" s="4154"/>
      <c r="K118" s="710"/>
      <c r="L118" s="710"/>
      <c r="AO118" s="4153"/>
      <c r="AP118" s="4153"/>
      <c r="AQ118" s="4153"/>
      <c r="AR118" s="4153"/>
      <c r="AS118" s="4153"/>
    </row>
    <row r="119" s="735" customFormat="1" spans="1:45">
      <c r="A119" s="3834"/>
      <c r="D119" s="4154"/>
      <c r="K119" s="710"/>
      <c r="L119" s="710"/>
      <c r="AO119" s="4153"/>
      <c r="AP119" s="4153"/>
      <c r="AQ119" s="4153"/>
      <c r="AR119" s="4153"/>
      <c r="AS119" s="4153"/>
    </row>
    <row r="120" s="735" customFormat="1" spans="1:45">
      <c r="A120" s="3834"/>
      <c r="D120" s="4154"/>
      <c r="K120" s="710"/>
      <c r="L120" s="710"/>
      <c r="AO120" s="4153"/>
      <c r="AP120" s="4153"/>
      <c r="AQ120" s="4153"/>
      <c r="AR120" s="4153"/>
      <c r="AS120" s="4153"/>
    </row>
    <row r="121" s="735" customFormat="1" spans="1:45">
      <c r="A121" s="3834"/>
      <c r="D121" s="4154"/>
      <c r="K121" s="710"/>
      <c r="L121" s="710"/>
      <c r="AO121" s="4153"/>
      <c r="AP121" s="4153"/>
      <c r="AQ121" s="4153"/>
      <c r="AR121" s="4153"/>
      <c r="AS121" s="4153"/>
    </row>
    <row r="122" s="735" customFormat="1" spans="1:45">
      <c r="A122" s="3834"/>
      <c r="D122" s="4154"/>
      <c r="K122" s="710"/>
      <c r="L122" s="710"/>
      <c r="AO122" s="4153"/>
      <c r="AP122" s="4153"/>
      <c r="AQ122" s="4153"/>
      <c r="AR122" s="4153"/>
      <c r="AS122" s="4153"/>
    </row>
    <row r="123" s="735" customFormat="1" spans="1:45">
      <c r="A123" s="3834"/>
      <c r="D123" s="4154"/>
      <c r="K123" s="710"/>
      <c r="L123" s="710"/>
      <c r="AO123" s="4153"/>
      <c r="AP123" s="4153"/>
      <c r="AQ123" s="4153"/>
      <c r="AR123" s="4153"/>
      <c r="AS123" s="4153"/>
    </row>
    <row r="124" s="735" customFormat="1" spans="1:45">
      <c r="A124" s="3834"/>
      <c r="D124" s="4154"/>
      <c r="K124" s="710"/>
      <c r="L124" s="710"/>
      <c r="AO124" s="4153"/>
      <c r="AP124" s="4153"/>
      <c r="AQ124" s="4153"/>
      <c r="AR124" s="4153"/>
      <c r="AS124" s="4153"/>
    </row>
    <row r="125" s="735" customFormat="1" spans="1:45">
      <c r="A125" s="3834"/>
      <c r="D125" s="4154"/>
      <c r="K125" s="710"/>
      <c r="L125" s="710"/>
      <c r="AO125" s="4153"/>
      <c r="AP125" s="4153"/>
      <c r="AQ125" s="4153"/>
      <c r="AR125" s="4153"/>
      <c r="AS125" s="4153"/>
    </row>
    <row r="126" s="735" customFormat="1" spans="1:45">
      <c r="A126" s="3834"/>
      <c r="D126" s="4154"/>
      <c r="K126" s="710"/>
      <c r="L126" s="710"/>
      <c r="AO126" s="4153"/>
      <c r="AP126" s="4153"/>
      <c r="AQ126" s="4153"/>
      <c r="AR126" s="4153"/>
      <c r="AS126" s="4153"/>
    </row>
    <row r="127" s="735" customFormat="1" spans="1:45">
      <c r="A127" s="3834"/>
      <c r="D127" s="4154"/>
      <c r="K127" s="710"/>
      <c r="L127" s="710"/>
      <c r="AO127" s="4153"/>
      <c r="AP127" s="4153"/>
      <c r="AQ127" s="4153"/>
      <c r="AR127" s="4153"/>
      <c r="AS127" s="4153"/>
    </row>
    <row r="128" s="735" customFormat="1" spans="1:45">
      <c r="A128" s="3834"/>
      <c r="D128" s="4154"/>
      <c r="K128" s="710"/>
      <c r="L128" s="710"/>
      <c r="AO128" s="4153"/>
      <c r="AP128" s="4153"/>
      <c r="AQ128" s="4153"/>
      <c r="AR128" s="4153"/>
      <c r="AS128" s="4153"/>
    </row>
    <row r="129" s="735" customFormat="1" spans="1:45">
      <c r="A129" s="3834"/>
      <c r="D129" s="4154"/>
      <c r="K129" s="710"/>
      <c r="L129" s="710"/>
      <c r="AO129" s="4153"/>
      <c r="AP129" s="4153"/>
      <c r="AQ129" s="4153"/>
      <c r="AR129" s="4153"/>
      <c r="AS129" s="4153"/>
    </row>
    <row r="130" s="735" customFormat="1" spans="1:45">
      <c r="A130" s="3834"/>
      <c r="D130" s="4154"/>
      <c r="K130" s="710"/>
      <c r="L130" s="710"/>
      <c r="AO130" s="4153"/>
      <c r="AP130" s="4153"/>
      <c r="AQ130" s="4153"/>
      <c r="AR130" s="4153"/>
      <c r="AS130" s="4153"/>
    </row>
    <row r="131" s="735" customFormat="1" spans="1:45">
      <c r="A131" s="3834"/>
      <c r="D131" s="4154"/>
      <c r="K131" s="710"/>
      <c r="L131" s="710"/>
      <c r="AO131" s="4153"/>
      <c r="AP131" s="4153"/>
      <c r="AQ131" s="4153"/>
      <c r="AR131" s="4153"/>
      <c r="AS131" s="4153"/>
    </row>
    <row r="132" s="735" customFormat="1" spans="1:45">
      <c r="A132" s="3834"/>
      <c r="D132" s="4154"/>
      <c r="K132" s="710"/>
      <c r="L132" s="710"/>
      <c r="AO132" s="4153"/>
      <c r="AP132" s="4153"/>
      <c r="AQ132" s="4153"/>
      <c r="AR132" s="4153"/>
      <c r="AS132" s="4153"/>
    </row>
    <row r="133" s="735" customFormat="1" spans="1:45">
      <c r="A133" s="3834"/>
      <c r="D133" s="4154"/>
      <c r="K133" s="710"/>
      <c r="L133" s="710"/>
      <c r="AO133" s="4153"/>
      <c r="AP133" s="4153"/>
      <c r="AQ133" s="4153"/>
      <c r="AR133" s="4153"/>
      <c r="AS133" s="4153"/>
    </row>
    <row r="134" s="735" customFormat="1" spans="1:45">
      <c r="A134" s="3834"/>
      <c r="D134" s="4154"/>
      <c r="K134" s="710"/>
      <c r="L134" s="710"/>
      <c r="AO134" s="4153"/>
      <c r="AP134" s="4153"/>
      <c r="AQ134" s="4153"/>
      <c r="AR134" s="4153"/>
      <c r="AS134" s="4153"/>
    </row>
    <row r="135" s="3943" customFormat="1" spans="1:45">
      <c r="A135" s="4155"/>
      <c r="D135" s="4156"/>
      <c r="K135" s="2216"/>
      <c r="L135" s="2216"/>
      <c r="AO135" s="3948"/>
      <c r="AP135" s="3948"/>
      <c r="AQ135" s="3948"/>
      <c r="AR135" s="3948"/>
      <c r="AS135" s="3948"/>
    </row>
    <row r="136" s="3943" customFormat="1" spans="1:45">
      <c r="A136" s="4155"/>
      <c r="D136" s="4156"/>
      <c r="K136" s="2216"/>
      <c r="L136" s="2216"/>
      <c r="AO136" s="3948"/>
      <c r="AP136" s="3948"/>
      <c r="AQ136" s="3948"/>
      <c r="AR136" s="3948"/>
      <c r="AS136" s="3948"/>
    </row>
    <row r="137" s="3943" customFormat="1" spans="1:45">
      <c r="A137" s="4155"/>
      <c r="D137" s="4156"/>
      <c r="K137" s="2216"/>
      <c r="L137" s="2216"/>
      <c r="AO137" s="3948"/>
      <c r="AP137" s="3948"/>
      <c r="AQ137" s="3948"/>
      <c r="AR137" s="3948"/>
      <c r="AS137" s="3948"/>
    </row>
    <row r="138" s="3943" customFormat="1" spans="1:45">
      <c r="A138" s="4155"/>
      <c r="D138" s="4156"/>
      <c r="K138" s="2216"/>
      <c r="L138" s="2216"/>
      <c r="AO138" s="3948"/>
      <c r="AP138" s="3948"/>
      <c r="AQ138" s="3948"/>
      <c r="AR138" s="3948"/>
      <c r="AS138" s="3948"/>
    </row>
    <row r="139" s="3943" customFormat="1" spans="1:45">
      <c r="A139" s="4155"/>
      <c r="D139" s="4156"/>
      <c r="K139" s="2216"/>
      <c r="L139" s="2216"/>
      <c r="AO139" s="3948"/>
      <c r="AP139" s="3948"/>
      <c r="AQ139" s="3948"/>
      <c r="AR139" s="3948"/>
      <c r="AS139" s="3948"/>
    </row>
    <row r="140" s="3943" customFormat="1" spans="1:45">
      <c r="A140" s="4155"/>
      <c r="D140" s="4156"/>
      <c r="K140" s="2216"/>
      <c r="L140" s="2216"/>
      <c r="AO140" s="3948"/>
      <c r="AP140" s="3948"/>
      <c r="AQ140" s="3948"/>
      <c r="AR140" s="3948"/>
      <c r="AS140" s="3948"/>
    </row>
    <row r="141" s="3943" customFormat="1" spans="1:45">
      <c r="A141" s="4155"/>
      <c r="D141" s="4156"/>
      <c r="K141" s="2216"/>
      <c r="L141" s="2216"/>
      <c r="AO141" s="3948"/>
      <c r="AP141" s="3948"/>
      <c r="AQ141" s="3948"/>
      <c r="AR141" s="3948"/>
      <c r="AS141" s="3948"/>
    </row>
    <row r="142" s="3943" customFormat="1" spans="1:45">
      <c r="A142" s="4155"/>
      <c r="D142" s="4156"/>
      <c r="K142" s="2216"/>
      <c r="L142" s="2216"/>
      <c r="AO142" s="3948"/>
      <c r="AP142" s="3948"/>
      <c r="AQ142" s="3948"/>
      <c r="AR142" s="3948"/>
      <c r="AS142" s="3948"/>
    </row>
    <row r="143" s="3943" customFormat="1" spans="1:45">
      <c r="A143" s="4155"/>
      <c r="D143" s="4156"/>
      <c r="K143" s="2216"/>
      <c r="L143" s="2216"/>
      <c r="AO143" s="3948"/>
      <c r="AP143" s="3948"/>
      <c r="AQ143" s="3948"/>
      <c r="AR143" s="3948"/>
      <c r="AS143" s="3948"/>
    </row>
    <row r="144" s="3943" customFormat="1" spans="1:45">
      <c r="A144" s="4155"/>
      <c r="D144" s="4156"/>
      <c r="K144" s="2216"/>
      <c r="L144" s="2216"/>
      <c r="AO144" s="3948"/>
      <c r="AP144" s="3948"/>
      <c r="AQ144" s="3948"/>
      <c r="AR144" s="3948"/>
      <c r="AS144" s="3948"/>
    </row>
    <row r="145" s="3943" customFormat="1" spans="1:45">
      <c r="A145" s="4155"/>
      <c r="D145" s="4156"/>
      <c r="K145" s="2216"/>
      <c r="L145" s="2216"/>
      <c r="AO145" s="3948"/>
      <c r="AP145" s="3948"/>
      <c r="AQ145" s="3948"/>
      <c r="AR145" s="3948"/>
      <c r="AS145" s="3948"/>
    </row>
    <row r="146" s="3943" customFormat="1" spans="1:45">
      <c r="A146" s="4155"/>
      <c r="D146" s="4156"/>
      <c r="K146" s="2216"/>
      <c r="L146" s="2216"/>
      <c r="AO146" s="3948"/>
      <c r="AP146" s="3948"/>
      <c r="AQ146" s="3948"/>
      <c r="AR146" s="3948"/>
      <c r="AS146" s="3948"/>
    </row>
    <row r="147" s="3943" customFormat="1" spans="1:45">
      <c r="A147" s="4155"/>
      <c r="D147" s="4156"/>
      <c r="K147" s="2216"/>
      <c r="L147" s="2216"/>
      <c r="AO147" s="3948"/>
      <c r="AP147" s="3948"/>
      <c r="AQ147" s="3948"/>
      <c r="AR147" s="3948"/>
      <c r="AS147" s="3948"/>
    </row>
    <row r="148" s="3943" customFormat="1" spans="1:45">
      <c r="A148" s="4155"/>
      <c r="D148" s="4156"/>
      <c r="K148" s="2216"/>
      <c r="L148" s="2216"/>
      <c r="AO148" s="3948"/>
      <c r="AP148" s="3948"/>
      <c r="AQ148" s="3948"/>
      <c r="AR148" s="3948"/>
      <c r="AS148" s="3948"/>
    </row>
    <row r="149" s="3943" customFormat="1" spans="1:45">
      <c r="A149" s="4155"/>
      <c r="D149" s="4156"/>
      <c r="K149" s="2216"/>
      <c r="L149" s="2216"/>
      <c r="AO149" s="3948"/>
      <c r="AP149" s="3948"/>
      <c r="AQ149" s="3948"/>
      <c r="AR149" s="3948"/>
      <c r="AS149" s="3948"/>
    </row>
    <row r="150" s="3943" customFormat="1" spans="1:45">
      <c r="A150" s="4155"/>
      <c r="D150" s="4156"/>
      <c r="K150" s="2216"/>
      <c r="L150" s="2216"/>
      <c r="AO150" s="3948"/>
      <c r="AP150" s="3948"/>
      <c r="AQ150" s="3948"/>
      <c r="AR150" s="3948"/>
      <c r="AS150" s="3948"/>
    </row>
    <row r="151" s="3943" customFormat="1" spans="1:45">
      <c r="A151" s="4155"/>
      <c r="D151" s="4156"/>
      <c r="K151" s="2216"/>
      <c r="L151" s="2216"/>
      <c r="AO151" s="3948"/>
      <c r="AP151" s="3948"/>
      <c r="AQ151" s="3948"/>
      <c r="AR151" s="3948"/>
      <c r="AS151" s="3948"/>
    </row>
    <row r="152" s="3943" customFormat="1" spans="1:45">
      <c r="A152" s="4155"/>
      <c r="D152" s="4156"/>
      <c r="K152" s="2216"/>
      <c r="L152" s="2216"/>
      <c r="AO152" s="3948"/>
      <c r="AP152" s="3948"/>
      <c r="AQ152" s="3948"/>
      <c r="AR152" s="3948"/>
      <c r="AS152" s="3948"/>
    </row>
    <row r="153" s="3943" customFormat="1" spans="1:45">
      <c r="A153" s="4155"/>
      <c r="D153" s="4156"/>
      <c r="K153" s="2216"/>
      <c r="L153" s="2216"/>
      <c r="AO153" s="3948"/>
      <c r="AP153" s="3948"/>
      <c r="AQ153" s="3948"/>
      <c r="AR153" s="3948"/>
      <c r="AS153" s="3948"/>
    </row>
    <row r="154" s="3943" customFormat="1" spans="1:45">
      <c r="A154" s="4155"/>
      <c r="D154" s="4156"/>
      <c r="K154" s="2216"/>
      <c r="L154" s="2216"/>
      <c r="AO154" s="3948"/>
      <c r="AP154" s="3948"/>
      <c r="AQ154" s="3948"/>
      <c r="AR154" s="3948"/>
      <c r="AS154" s="3948"/>
    </row>
    <row r="155" s="3943" customFormat="1" spans="1:45">
      <c r="A155" s="4155"/>
      <c r="D155" s="4156"/>
      <c r="K155" s="2216"/>
      <c r="L155" s="2216"/>
      <c r="AO155" s="3948"/>
      <c r="AP155" s="3948"/>
      <c r="AQ155" s="3948"/>
      <c r="AR155" s="3948"/>
      <c r="AS155" s="3948"/>
    </row>
    <row r="156" s="3943" customFormat="1" spans="1:45">
      <c r="A156" s="4155"/>
      <c r="D156" s="4156"/>
      <c r="K156" s="2216"/>
      <c r="L156" s="2216"/>
      <c r="AO156" s="3948"/>
      <c r="AP156" s="3948"/>
      <c r="AQ156" s="3948"/>
      <c r="AR156" s="3948"/>
      <c r="AS156" s="3948"/>
    </row>
    <row r="157" s="3943" customFormat="1" spans="1:45">
      <c r="A157" s="4155"/>
      <c r="D157" s="4156"/>
      <c r="K157" s="2216"/>
      <c r="L157" s="2216"/>
      <c r="AO157" s="3948"/>
      <c r="AP157" s="3948"/>
      <c r="AQ157" s="3948"/>
      <c r="AR157" s="3948"/>
      <c r="AS157" s="3948"/>
    </row>
    <row r="158" s="3943" customFormat="1" spans="1:45">
      <c r="A158" s="4155"/>
      <c r="D158" s="4156"/>
      <c r="K158" s="2216"/>
      <c r="L158" s="2216"/>
      <c r="AO158" s="3948"/>
      <c r="AP158" s="3948"/>
      <c r="AQ158" s="3948"/>
      <c r="AR158" s="3948"/>
      <c r="AS158" s="3948"/>
    </row>
    <row r="159" s="3943" customFormat="1" spans="1:45">
      <c r="A159" s="4155"/>
      <c r="D159" s="4156"/>
      <c r="K159" s="2216"/>
      <c r="L159" s="2216"/>
      <c r="AO159" s="3948"/>
      <c r="AP159" s="3948"/>
      <c r="AQ159" s="3948"/>
      <c r="AR159" s="3948"/>
      <c r="AS159" s="3948"/>
    </row>
    <row r="160" s="3943" customFormat="1" spans="1:45">
      <c r="A160" s="4155"/>
      <c r="D160" s="4156"/>
      <c r="K160" s="2216"/>
      <c r="L160" s="2216"/>
      <c r="AO160" s="3948"/>
      <c r="AP160" s="3948"/>
      <c r="AQ160" s="3948"/>
      <c r="AR160" s="3948"/>
      <c r="AS160" s="3948"/>
    </row>
    <row r="161" s="3943" customFormat="1" spans="1:45">
      <c r="A161" s="4155"/>
      <c r="D161" s="4156"/>
      <c r="K161" s="2216"/>
      <c r="L161" s="2216"/>
      <c r="AO161" s="3948"/>
      <c r="AP161" s="3948"/>
      <c r="AQ161" s="3948"/>
      <c r="AR161" s="3948"/>
      <c r="AS161" s="3948"/>
    </row>
    <row r="162" s="3943" customFormat="1" spans="1:45">
      <c r="A162" s="4155"/>
      <c r="D162" s="4156"/>
      <c r="K162" s="2216"/>
      <c r="L162" s="2216"/>
      <c r="AO162" s="3948"/>
      <c r="AP162" s="3948"/>
      <c r="AQ162" s="3948"/>
      <c r="AR162" s="3948"/>
      <c r="AS162" s="3948"/>
    </row>
    <row r="163" s="3943" customFormat="1" spans="1:45">
      <c r="A163" s="4155"/>
      <c r="D163" s="4156"/>
      <c r="K163" s="2216"/>
      <c r="L163" s="2216"/>
      <c r="AO163" s="3948"/>
      <c r="AP163" s="3948"/>
      <c r="AQ163" s="3948"/>
      <c r="AR163" s="3948"/>
      <c r="AS163" s="3948"/>
    </row>
    <row r="164" s="3943" customFormat="1" spans="1:45">
      <c r="A164" s="4155"/>
      <c r="D164" s="4156"/>
      <c r="K164" s="2216"/>
      <c r="L164" s="2216"/>
      <c r="AO164" s="3948"/>
      <c r="AP164" s="3948"/>
      <c r="AQ164" s="3948"/>
      <c r="AR164" s="3948"/>
      <c r="AS164" s="3948"/>
    </row>
    <row r="165" s="3943" customFormat="1" spans="1:45">
      <c r="A165" s="4155"/>
      <c r="D165" s="4156"/>
      <c r="K165" s="2216"/>
      <c r="L165" s="2216"/>
      <c r="AO165" s="3948"/>
      <c r="AP165" s="3948"/>
      <c r="AQ165" s="3948"/>
      <c r="AR165" s="3948"/>
      <c r="AS165" s="3948"/>
    </row>
    <row r="166" s="3943" customFormat="1" spans="1:45">
      <c r="A166" s="4155"/>
      <c r="D166" s="4156"/>
      <c r="K166" s="2216"/>
      <c r="L166" s="2216"/>
      <c r="AO166" s="3948"/>
      <c r="AP166" s="3948"/>
      <c r="AQ166" s="3948"/>
      <c r="AR166" s="3948"/>
      <c r="AS166" s="3948"/>
    </row>
    <row r="167" s="3943" customFormat="1" spans="1:45">
      <c r="A167" s="4155"/>
      <c r="D167" s="4156"/>
      <c r="K167" s="2216"/>
      <c r="L167" s="2216"/>
      <c r="AO167" s="3948"/>
      <c r="AP167" s="3948"/>
      <c r="AQ167" s="3948"/>
      <c r="AR167" s="3948"/>
      <c r="AS167" s="3948"/>
    </row>
    <row r="168" s="3943" customFormat="1" spans="1:45">
      <c r="A168" s="4155"/>
      <c r="D168" s="4156"/>
      <c r="K168" s="2216"/>
      <c r="L168" s="2216"/>
      <c r="AO168" s="3948"/>
      <c r="AP168" s="3948"/>
      <c r="AQ168" s="3948"/>
      <c r="AR168" s="3948"/>
      <c r="AS168" s="3948"/>
    </row>
    <row r="169" s="3943" customFormat="1" spans="1:45">
      <c r="A169" s="4155"/>
      <c r="D169" s="4156"/>
      <c r="K169" s="2216"/>
      <c r="L169" s="2216"/>
      <c r="AO169" s="3948"/>
      <c r="AP169" s="3948"/>
      <c r="AQ169" s="3948"/>
      <c r="AR169" s="3948"/>
      <c r="AS169" s="3948"/>
    </row>
    <row r="170" s="3943" customFormat="1" spans="1:45">
      <c r="A170" s="4155"/>
      <c r="D170" s="4156"/>
      <c r="K170" s="2216"/>
      <c r="L170" s="2216"/>
      <c r="AO170" s="3948"/>
      <c r="AP170" s="3948"/>
      <c r="AQ170" s="3948"/>
      <c r="AR170" s="3948"/>
      <c r="AS170" s="3948"/>
    </row>
    <row r="171" s="3943" customFormat="1" spans="1:45">
      <c r="A171" s="4155"/>
      <c r="D171" s="4156"/>
      <c r="K171" s="2216"/>
      <c r="L171" s="2216"/>
      <c r="AO171" s="3948"/>
      <c r="AP171" s="3948"/>
      <c r="AQ171" s="3948"/>
      <c r="AR171" s="3948"/>
      <c r="AS171" s="3948"/>
    </row>
    <row r="172" s="3943" customFormat="1" spans="1:45">
      <c r="A172" s="4155"/>
      <c r="D172" s="4156"/>
      <c r="K172" s="2216"/>
      <c r="L172" s="2216"/>
      <c r="AO172" s="3948"/>
      <c r="AP172" s="3948"/>
      <c r="AQ172" s="3948"/>
      <c r="AR172" s="3948"/>
      <c r="AS172" s="3948"/>
    </row>
    <row r="173" s="3943" customFormat="1" spans="1:45">
      <c r="A173" s="4155"/>
      <c r="D173" s="4156"/>
      <c r="K173" s="2216"/>
      <c r="L173" s="2216"/>
      <c r="AO173" s="3948"/>
      <c r="AP173" s="3948"/>
      <c r="AQ173" s="3948"/>
      <c r="AR173" s="3948"/>
      <c r="AS173" s="3948"/>
    </row>
    <row r="174" s="3943" customFormat="1" spans="1:45">
      <c r="A174" s="4155"/>
      <c r="D174" s="4156"/>
      <c r="K174" s="2216"/>
      <c r="L174" s="2216"/>
      <c r="AO174" s="3948"/>
      <c r="AP174" s="3948"/>
      <c r="AQ174" s="3948"/>
      <c r="AR174" s="3948"/>
      <c r="AS174" s="3948"/>
    </row>
    <row r="175" s="3943" customFormat="1" spans="1:45">
      <c r="A175" s="4155"/>
      <c r="D175" s="4156"/>
      <c r="K175" s="2216"/>
      <c r="L175" s="221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05" customWidth="1"/>
    <col min="19" max="29" width="9" style="705"/>
    <col min="30" max="16384" width="9" style="3879"/>
  </cols>
  <sheetData>
    <row r="1" s="3877" customFormat="1" ht="18.75" spans="1:29">
      <c r="A1" s="3883" t="s">
        <v>806</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807</v>
      </c>
      <c r="D2" s="3891"/>
      <c r="E2" s="3888"/>
      <c r="F2" s="3892"/>
      <c r="G2" s="3890" t="s">
        <v>808</v>
      </c>
      <c r="H2" s="705"/>
      <c r="I2" s="705"/>
      <c r="J2" s="705"/>
      <c r="K2" s="705"/>
      <c r="L2" s="705"/>
      <c r="M2" s="705"/>
      <c r="N2" s="705"/>
      <c r="O2" s="705"/>
      <c r="P2" s="705"/>
      <c r="Q2" s="705"/>
    </row>
    <row r="3" ht="48" spans="1:29">
      <c r="A3" s="3893" t="s">
        <v>809</v>
      </c>
      <c r="B3" s="3894" t="s">
        <v>810</v>
      </c>
      <c r="C3" s="3895" t="s">
        <v>811</v>
      </c>
      <c r="D3" s="3896"/>
      <c r="E3" s="3897" t="s">
        <v>809</v>
      </c>
      <c r="F3" s="3898" t="s">
        <v>812</v>
      </c>
      <c r="G3" s="3899" t="s">
        <v>813</v>
      </c>
      <c r="H3" s="705"/>
      <c r="I3" s="705"/>
      <c r="J3" s="705"/>
      <c r="K3" s="705"/>
      <c r="L3" s="705"/>
      <c r="M3" s="705"/>
      <c r="N3" s="705"/>
      <c r="O3" s="705"/>
      <c r="P3" s="705"/>
      <c r="Q3" s="705"/>
    </row>
    <row r="4" ht="36.75" spans="1:29">
      <c r="A4" s="3897"/>
      <c r="B4" s="2703" t="s">
        <v>814</v>
      </c>
      <c r="C4" s="3900" t="s">
        <v>815</v>
      </c>
      <c r="D4" s="3896"/>
      <c r="E4" s="3901"/>
      <c r="F4" s="3070" t="s">
        <v>816</v>
      </c>
      <c r="G4" s="3902" t="s">
        <v>817</v>
      </c>
      <c r="H4" s="705"/>
      <c r="I4" s="705"/>
      <c r="J4" s="705"/>
      <c r="K4" s="705"/>
      <c r="L4" s="705"/>
      <c r="M4" s="705"/>
      <c r="N4" s="705"/>
      <c r="O4" s="705"/>
      <c r="P4" s="705"/>
      <c r="Q4" s="705"/>
    </row>
    <row r="5" ht="36.75" spans="1:29">
      <c r="A5" s="3897"/>
      <c r="B5" s="2703" t="s">
        <v>818</v>
      </c>
      <c r="C5" s="3900" t="s">
        <v>819</v>
      </c>
      <c r="D5" s="3896"/>
      <c r="E5" s="3901"/>
      <c r="F5" s="2703" t="s">
        <v>635</v>
      </c>
      <c r="G5" s="3902" t="s">
        <v>820</v>
      </c>
      <c r="H5" s="705"/>
      <c r="I5" s="705"/>
      <c r="J5" s="705"/>
      <c r="K5" s="705"/>
      <c r="L5" s="705"/>
      <c r="M5" s="705"/>
      <c r="N5" s="705"/>
      <c r="O5" s="705"/>
      <c r="P5" s="705"/>
      <c r="Q5" s="705"/>
    </row>
    <row r="6" ht="36" spans="1:29">
      <c r="A6" s="3897"/>
      <c r="B6" s="2703" t="s">
        <v>816</v>
      </c>
      <c r="C6" s="3902" t="s">
        <v>817</v>
      </c>
      <c r="D6" s="3896"/>
      <c r="E6" s="3901"/>
      <c r="F6" s="2703" t="s">
        <v>821</v>
      </c>
      <c r="G6" s="3902" t="s">
        <v>822</v>
      </c>
      <c r="H6" s="705"/>
      <c r="I6" s="705"/>
      <c r="J6" s="705"/>
      <c r="K6" s="705"/>
      <c r="L6" s="705"/>
      <c r="M6" s="705"/>
      <c r="N6" s="705"/>
      <c r="O6" s="705"/>
      <c r="P6" s="705"/>
      <c r="Q6" s="705"/>
    </row>
    <row r="7" ht="24.75" spans="1:29">
      <c r="A7" s="3897"/>
      <c r="B7" s="2703" t="s">
        <v>635</v>
      </c>
      <c r="C7" s="3902" t="s">
        <v>820</v>
      </c>
      <c r="D7" s="3903"/>
      <c r="E7" s="3904"/>
      <c r="F7" s="3905" t="s">
        <v>823</v>
      </c>
      <c r="G7" s="3906" t="s">
        <v>824</v>
      </c>
      <c r="H7" s="705"/>
      <c r="I7" s="705"/>
      <c r="J7" s="705"/>
      <c r="K7" s="705"/>
      <c r="L7" s="705"/>
      <c r="M7" s="705"/>
      <c r="N7" s="705"/>
      <c r="O7" s="705"/>
      <c r="P7" s="705"/>
      <c r="Q7" s="705"/>
    </row>
    <row r="8" spans="1:29">
      <c r="A8" s="3897"/>
      <c r="B8" s="2703" t="s">
        <v>821</v>
      </c>
      <c r="C8" s="3902" t="s">
        <v>822</v>
      </c>
      <c r="D8" s="3903"/>
      <c r="E8" s="3903"/>
      <c r="F8" s="2733"/>
      <c r="G8" s="2733"/>
      <c r="H8" s="705"/>
      <c r="I8" s="705"/>
      <c r="J8" s="705"/>
      <c r="K8" s="705"/>
      <c r="L8" s="705"/>
      <c r="M8" s="705"/>
      <c r="N8" s="705"/>
      <c r="O8" s="705"/>
      <c r="P8" s="705"/>
      <c r="Q8" s="705"/>
    </row>
    <row r="9" ht="24" spans="1:29">
      <c r="A9" s="3897"/>
      <c r="B9" s="2703" t="s">
        <v>825</v>
      </c>
      <c r="C9" s="3900" t="s">
        <v>826</v>
      </c>
      <c r="D9" s="3896"/>
      <c r="E9" s="3903"/>
      <c r="F9" s="2733"/>
      <c r="G9" s="2733"/>
      <c r="H9" s="705"/>
      <c r="I9" s="705"/>
      <c r="J9" s="705"/>
      <c r="K9" s="705"/>
      <c r="L9" s="705"/>
      <c r="M9" s="705"/>
      <c r="N9" s="705"/>
      <c r="O9" s="705"/>
      <c r="P9" s="705"/>
      <c r="Q9" s="705"/>
    </row>
    <row r="10" s="3878" customFormat="1" ht="15" spans="1:29">
      <c r="A10" s="3907"/>
      <c r="B10" s="3908" t="s">
        <v>827</v>
      </c>
      <c r="C10" s="3909"/>
      <c r="D10" s="3896"/>
      <c r="E10" s="3896"/>
      <c r="F10" s="2733"/>
      <c r="G10" s="2733"/>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828</v>
      </c>
      <c r="B13" s="3913"/>
      <c r="C13" s="3913"/>
      <c r="D13" s="3912"/>
      <c r="E13" s="3913"/>
      <c r="F13" s="3913"/>
      <c r="G13" s="3913"/>
    </row>
    <row r="14" spans="1:29">
      <c r="A14" s="3918"/>
      <c r="B14" s="3918"/>
      <c r="C14" s="3919" t="s">
        <v>807</v>
      </c>
      <c r="D14" s="3896"/>
      <c r="E14" s="3920"/>
      <c r="F14" s="3920"/>
      <c r="G14" s="3890" t="s">
        <v>808</v>
      </c>
    </row>
    <row r="15" ht="48" spans="1:29">
      <c r="A15" s="3921" t="s">
        <v>809</v>
      </c>
      <c r="B15" s="3922" t="s">
        <v>810</v>
      </c>
      <c r="C15" s="3923" t="str">
        <f>C3</f>
        <v>估价对象周边居住用地比例、居住小区规模和社区发展完善程度，综合评价居住社区成熟度一般</v>
      </c>
      <c r="D15" s="3896"/>
      <c r="E15" s="3924" t="s">
        <v>809</v>
      </c>
      <c r="F15" s="3922" t="s">
        <v>812</v>
      </c>
      <c r="G15" s="3925" t="str">
        <f>G3</f>
        <v>估价对象位于XX开发区，园区建设成熟度XX，产业集聚程度XX</v>
      </c>
    </row>
    <row r="16" ht="36.75" spans="1:29">
      <c r="A16" s="3926"/>
      <c r="B16" s="3927" t="s">
        <v>814</v>
      </c>
      <c r="C16" s="3928" t="str">
        <f>C4</f>
        <v>估价对象位于XX商圈，周边商业氛围成熟，人流量大，商业繁华度好</v>
      </c>
      <c r="D16" s="3896"/>
      <c r="E16" s="3929"/>
      <c r="F16" s="3930" t="s">
        <v>816</v>
      </c>
      <c r="G16" s="3931" t="str">
        <f>G4</f>
        <v>估价对象周边道路状况、公共交通通达情况、停车便捷程度，综合评价交通便捷度较好</v>
      </c>
    </row>
    <row r="17" ht="36.75" spans="1:17">
      <c r="A17" s="3926"/>
      <c r="B17" s="3927" t="s">
        <v>818</v>
      </c>
      <c r="C17" s="3928" t="str">
        <f>C5</f>
        <v>估价对象位于XX商圈，周边办公楼项目较多，入驻率高，办公集聚程度较好</v>
      </c>
      <c r="D17" s="3903"/>
      <c r="E17" s="3929"/>
      <c r="F17" s="3930" t="s">
        <v>829</v>
      </c>
      <c r="G17" s="3932"/>
    </row>
    <row r="18" ht="36" spans="1:17">
      <c r="A18" s="3926"/>
      <c r="B18" s="3930" t="s">
        <v>816</v>
      </c>
      <c r="C18" s="3931" t="str">
        <f>C6</f>
        <v>估价对象周边道路状况、公共交通通达情况、停车便捷程度，综合评价交通便捷度较好</v>
      </c>
      <c r="D18" s="3903"/>
      <c r="E18" s="3929"/>
      <c r="F18" s="3930" t="s">
        <v>823</v>
      </c>
      <c r="G18" s="3931" t="str">
        <f>G7</f>
        <v>该园区内是否有污染型企业，绿化情况，卫生条件，整体环境状况判断</v>
      </c>
    </row>
    <row r="19" ht="24" spans="1:17">
      <c r="A19" s="3926"/>
      <c r="B19" s="3930" t="s">
        <v>829</v>
      </c>
      <c r="C19" s="3932"/>
      <c r="D19" s="3896"/>
      <c r="E19" s="3929"/>
      <c r="F19" s="2703" t="s">
        <v>635</v>
      </c>
      <c r="G19" s="3931" t="str">
        <f>G5</f>
        <v>估价对象所在区域公共配套设施齐备情况</v>
      </c>
    </row>
    <row r="20" ht="24" spans="1:17">
      <c r="A20" s="3926"/>
      <c r="B20" s="3930" t="s">
        <v>830</v>
      </c>
      <c r="C20" s="3928" t="str">
        <f>C9</f>
        <v>区域自然环境：；人文环境；综合评价环境状况一般</v>
      </c>
      <c r="D20" s="3903"/>
      <c r="E20" s="3929"/>
      <c r="F20" s="2703" t="s">
        <v>821</v>
      </c>
      <c r="G20" s="3931" t="str">
        <f>G6</f>
        <v>估价对象所在区域基础设施水平</v>
      </c>
    </row>
    <row r="21" ht="24" spans="1:17">
      <c r="A21" s="3926"/>
      <c r="B21" s="2703" t="s">
        <v>635</v>
      </c>
      <c r="C21" s="3931" t="str">
        <f>C7</f>
        <v>估价对象所在区域公共配套设施齐备情况</v>
      </c>
      <c r="D21" s="3896"/>
      <c r="E21" s="3929"/>
      <c r="F21" s="3930" t="s">
        <v>831</v>
      </c>
      <c r="G21" s="3933"/>
    </row>
    <row r="22" ht="13.5" customHeight="1" spans="1:17">
      <c r="A22" s="3926"/>
      <c r="B22" s="2703" t="s">
        <v>821</v>
      </c>
      <c r="C22" s="3931" t="str">
        <f>C8</f>
        <v>估价对象所在区域基础设施水平</v>
      </c>
      <c r="D22" s="3896"/>
      <c r="E22" s="3929"/>
      <c r="F22" s="3930" t="s">
        <v>827</v>
      </c>
      <c r="G22" s="3932"/>
    </row>
    <row r="23" s="705" customFormat="1" ht="15" spans="1:17">
      <c r="A23" s="3926"/>
      <c r="B23" s="3930" t="s">
        <v>831</v>
      </c>
      <c r="C23" s="3933"/>
      <c r="D23" s="3834"/>
      <c r="E23" s="3934"/>
      <c r="F23" s="3935" t="s">
        <v>584</v>
      </c>
      <c r="G23" s="3936"/>
      <c r="H23" s="3882"/>
      <c r="I23" s="3882"/>
      <c r="J23" s="3882"/>
      <c r="K23" s="3882"/>
      <c r="L23" s="3882"/>
      <c r="M23" s="3882"/>
      <c r="N23" s="3882"/>
      <c r="O23" s="3882"/>
      <c r="P23" s="3882"/>
      <c r="Q23" s="3882"/>
    </row>
    <row r="24" s="705" customFormat="1" ht="15" spans="1:17">
      <c r="A24" s="3937"/>
      <c r="B24" s="3935" t="s">
        <v>827</v>
      </c>
      <c r="C24" s="3938">
        <f>C10</f>
        <v>0</v>
      </c>
      <c r="D24" s="3834"/>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6"/>
  <sheetViews>
    <sheetView workbookViewId="0">
      <selection activeCell="R32" sqref="R32"/>
    </sheetView>
  </sheetViews>
  <sheetFormatPr defaultColWidth="9" defaultRowHeight="14.25"/>
  <cols>
    <col min="1" max="1" width="8.125" style="3864" customWidth="1"/>
    <col min="2" max="2" width="5.125" style="3864" customWidth="1"/>
    <col min="3" max="3" width="22.375" style="3864" customWidth="1"/>
    <col min="4" max="4" width="24" style="3864" customWidth="1"/>
    <col min="5" max="5" width="26.375" style="3864" customWidth="1"/>
    <col min="6" max="6" width="27" style="3864" customWidth="1"/>
    <col min="7" max="7" width="29.375" style="3864" customWidth="1"/>
    <col min="8" max="8" width="11.625" style="3864" customWidth="1"/>
    <col min="9" max="9" width="9" style="3864"/>
    <col min="10" max="10" width="6.625" style="3864" customWidth="1"/>
    <col min="11" max="11" width="8.5" style="3864" customWidth="1"/>
    <col min="12" max="12" width="11.125" style="3864"/>
    <col min="13" max="13" width="12.5" style="3864" customWidth="1"/>
    <col min="14" max="14" width="11.25" style="3864" customWidth="1"/>
    <col min="15" max="15" width="10.125" style="3864" customWidth="1"/>
    <col min="16" max="16" width="8.625" style="3864" customWidth="1"/>
    <col min="17" max="17" width="11.125" style="3864"/>
    <col min="18" max="16384" width="9" style="3864"/>
  </cols>
  <sheetData>
    <row r="1" spans="1:13">
      <c r="A1" s="3865" t="s">
        <v>832</v>
      </c>
      <c r="B1" s="3865"/>
      <c r="C1" s="3865"/>
      <c r="D1" s="3865"/>
      <c r="E1" s="3865"/>
      <c r="F1" s="3865"/>
      <c r="G1" s="3865"/>
      <c r="H1" s="3865"/>
    </row>
    <row r="2" spans="1:13">
      <c r="A2" s="3866"/>
      <c r="B2" s="3866" t="s">
        <v>833</v>
      </c>
      <c r="C2" s="3866" t="s">
        <v>182</v>
      </c>
      <c r="D2" s="3866" t="s">
        <v>834</v>
      </c>
      <c r="E2" s="3866" t="s">
        <v>835</v>
      </c>
      <c r="F2" s="3866" t="s">
        <v>836</v>
      </c>
      <c r="G2" s="3866" t="s">
        <v>397</v>
      </c>
      <c r="H2" s="3866" t="s">
        <v>837</v>
      </c>
      <c r="J2" s="3867"/>
      <c r="K2" s="3867" t="s">
        <v>838</v>
      </c>
      <c r="L2" s="3867" t="s">
        <v>839</v>
      </c>
      <c r="M2" s="3867" t="s">
        <v>840</v>
      </c>
    </row>
    <row r="3" spans="1:13">
      <c r="A3" s="3866" t="s">
        <v>841</v>
      </c>
      <c r="B3" s="3866">
        <v>1</v>
      </c>
      <c r="C3" s="3866" t="s">
        <v>842</v>
      </c>
      <c r="D3" s="3866" t="s">
        <v>843</v>
      </c>
      <c r="E3" s="3866" t="s">
        <v>844</v>
      </c>
      <c r="F3" s="3866" t="s">
        <v>845</v>
      </c>
      <c r="G3" s="3866" t="s">
        <v>846</v>
      </c>
      <c r="H3" s="3866">
        <v>15019.6</v>
      </c>
      <c r="J3" s="3867" t="s">
        <v>491</v>
      </c>
      <c r="K3" s="3867" t="s">
        <v>847</v>
      </c>
      <c r="L3" s="3867">
        <v>24052.41</v>
      </c>
      <c r="M3" s="3867">
        <v>25919.38</v>
      </c>
    </row>
    <row r="4" spans="1:13">
      <c r="A4" s="3866"/>
      <c r="B4" s="3866"/>
      <c r="C4" s="3866"/>
      <c r="D4" s="3866"/>
      <c r="E4" s="3866"/>
      <c r="F4" s="3866"/>
      <c r="G4" s="3866"/>
      <c r="H4" s="3866"/>
      <c r="J4" s="3868" t="s">
        <v>848</v>
      </c>
      <c r="K4" s="3869"/>
      <c r="L4" s="3867">
        <v>24052.41</v>
      </c>
      <c r="M4" s="3867">
        <v>25919.38</v>
      </c>
    </row>
    <row r="5" spans="1:13">
      <c r="A5" s="3866"/>
      <c r="B5" s="3866" t="s">
        <v>833</v>
      </c>
      <c r="C5" s="3866" t="s">
        <v>849</v>
      </c>
      <c r="D5" s="3866" t="s">
        <v>850</v>
      </c>
      <c r="E5" s="3866" t="s">
        <v>851</v>
      </c>
      <c r="F5" s="3866" t="s">
        <v>852</v>
      </c>
      <c r="G5" s="3866" t="s">
        <v>853</v>
      </c>
      <c r="H5" s="3866" t="s">
        <v>854</v>
      </c>
      <c r="J5" s="3870" t="s">
        <v>494</v>
      </c>
      <c r="K5" s="3867" t="s">
        <v>855</v>
      </c>
      <c r="L5" s="3867">
        <v>6180.34</v>
      </c>
      <c r="M5" s="3867">
        <v>7128.3</v>
      </c>
    </row>
    <row r="6" spans="1:13">
      <c r="A6" s="3866" t="s">
        <v>856</v>
      </c>
      <c r="B6" s="3866">
        <v>1</v>
      </c>
      <c r="C6" s="3866" t="s">
        <v>857</v>
      </c>
      <c r="D6" s="3866" t="s">
        <v>843</v>
      </c>
      <c r="E6" s="3866" t="s">
        <v>858</v>
      </c>
      <c r="F6" s="3866" t="s">
        <v>859</v>
      </c>
      <c r="G6" s="3866">
        <v>5</v>
      </c>
      <c r="H6" s="3866">
        <v>6612.42</v>
      </c>
      <c r="J6" s="3871"/>
      <c r="K6" s="3867" t="s">
        <v>860</v>
      </c>
      <c r="L6" s="3867">
        <v>3774.75</v>
      </c>
      <c r="M6" s="3867">
        <v>8246.28</v>
      </c>
    </row>
    <row r="7" spans="1:13">
      <c r="A7" s="3866"/>
      <c r="B7" s="3866">
        <v>2</v>
      </c>
      <c r="C7" s="3866" t="s">
        <v>861</v>
      </c>
      <c r="D7" s="3866" t="s">
        <v>843</v>
      </c>
      <c r="E7" s="3866" t="s">
        <v>862</v>
      </c>
      <c r="F7" s="3866" t="s">
        <v>859</v>
      </c>
      <c r="G7" s="3866">
        <v>5</v>
      </c>
      <c r="H7" s="3866">
        <v>10715.57</v>
      </c>
      <c r="J7" s="3868" t="s">
        <v>848</v>
      </c>
      <c r="K7" s="3869"/>
      <c r="L7" s="3867">
        <v>9955.09</v>
      </c>
      <c r="M7" s="3867">
        <v>15374.58</v>
      </c>
    </row>
    <row r="8" spans="1:13">
      <c r="A8" s="3866"/>
      <c r="B8" s="3866">
        <v>3</v>
      </c>
      <c r="C8" s="3866" t="s">
        <v>863</v>
      </c>
      <c r="D8" s="3866" t="s">
        <v>843</v>
      </c>
      <c r="E8" s="3866" t="s">
        <v>864</v>
      </c>
      <c r="F8" s="3866" t="s">
        <v>859</v>
      </c>
      <c r="G8" s="3866">
        <v>5</v>
      </c>
      <c r="H8" s="3866">
        <v>6724.42</v>
      </c>
      <c r="J8" s="3868" t="s">
        <v>395</v>
      </c>
      <c r="K8" s="3869"/>
      <c r="L8" s="3867">
        <v>34007.5</v>
      </c>
      <c r="M8" s="3867">
        <v>41293.96</v>
      </c>
    </row>
    <row r="9" spans="1:13">
      <c r="A9" s="3866"/>
      <c r="B9" s="3866">
        <v>4</v>
      </c>
      <c r="C9" s="3866" t="s">
        <v>865</v>
      </c>
      <c r="D9" s="3866" t="s">
        <v>843</v>
      </c>
      <c r="E9" s="3866" t="s">
        <v>866</v>
      </c>
      <c r="F9" s="3866" t="s">
        <v>867</v>
      </c>
      <c r="G9" s="3866" t="s">
        <v>868</v>
      </c>
      <c r="H9" s="3866">
        <v>9955.09</v>
      </c>
    </row>
    <row r="10" spans="1:13">
      <c r="A10" s="3866"/>
      <c r="B10" s="3866" t="s">
        <v>395</v>
      </c>
      <c r="C10" s="3866"/>
      <c r="D10" s="3866"/>
      <c r="E10" s="3866"/>
      <c r="F10" s="3866"/>
      <c r="G10" s="3866"/>
      <c r="H10" s="3866">
        <f>SUM(H6:H9)</f>
        <v>34007.5</v>
      </c>
      <c r="L10" s="3864">
        <f>L7/L8</f>
        <v>0.292732191428361</v>
      </c>
      <c r="M10" s="3864">
        <f>M7/M8</f>
        <v>0.372320310282666</v>
      </c>
    </row>
    <row r="12" spans="1:13">
      <c r="A12" s="3872" t="s">
        <v>869</v>
      </c>
      <c r="B12" s="3872"/>
      <c r="C12" s="3872"/>
      <c r="D12" s="3872"/>
      <c r="E12" s="3872"/>
      <c r="F12" s="3872"/>
      <c r="G12" s="3872"/>
      <c r="H12" s="3872"/>
    </row>
    <row r="13" spans="1:13">
      <c r="A13" s="3866"/>
      <c r="B13" s="3866" t="s">
        <v>833</v>
      </c>
      <c r="C13" s="3866" t="s">
        <v>182</v>
      </c>
      <c r="D13" s="3866" t="s">
        <v>834</v>
      </c>
      <c r="E13" s="3866" t="s">
        <v>835</v>
      </c>
      <c r="F13" s="3866" t="s">
        <v>836</v>
      </c>
      <c r="G13" s="3866" t="s">
        <v>397</v>
      </c>
      <c r="H13" s="3866" t="s">
        <v>837</v>
      </c>
    </row>
    <row r="14" spans="1:13">
      <c r="A14" s="3866" t="s">
        <v>841</v>
      </c>
      <c r="B14" s="3866">
        <v>1</v>
      </c>
      <c r="C14" s="3866" t="s">
        <v>842</v>
      </c>
      <c r="D14" s="3866" t="s">
        <v>870</v>
      </c>
      <c r="E14" s="3866" t="s">
        <v>871</v>
      </c>
      <c r="F14" s="3866" t="s">
        <v>845</v>
      </c>
      <c r="G14" s="3866" t="s">
        <v>846</v>
      </c>
      <c r="H14" s="3866">
        <v>13315.65</v>
      </c>
    </row>
    <row r="15" spans="1:13">
      <c r="A15" s="3866"/>
      <c r="B15" s="3866"/>
      <c r="C15" s="3866"/>
      <c r="D15" s="3866"/>
      <c r="E15" s="3866"/>
      <c r="F15" s="3866"/>
      <c r="G15" s="3866"/>
      <c r="H15" s="3866"/>
    </row>
    <row r="16" spans="1:13">
      <c r="A16" s="3866"/>
      <c r="B16" s="3866" t="s">
        <v>833</v>
      </c>
      <c r="C16" s="3866" t="s">
        <v>849</v>
      </c>
      <c r="D16" s="3866" t="s">
        <v>850</v>
      </c>
      <c r="E16" s="3866" t="s">
        <v>851</v>
      </c>
      <c r="F16" s="3866" t="s">
        <v>852</v>
      </c>
      <c r="G16" s="3866" t="s">
        <v>853</v>
      </c>
      <c r="H16" s="3866" t="s">
        <v>854</v>
      </c>
    </row>
    <row r="17" spans="1:17">
      <c r="A17" s="3866" t="s">
        <v>856</v>
      </c>
      <c r="B17" s="3866">
        <v>1</v>
      </c>
      <c r="C17" s="3866" t="s">
        <v>857</v>
      </c>
      <c r="D17" s="3866" t="s">
        <v>870</v>
      </c>
      <c r="E17" s="3866" t="s">
        <v>872</v>
      </c>
      <c r="F17" s="3866" t="s">
        <v>859</v>
      </c>
      <c r="G17" s="3866">
        <v>5</v>
      </c>
      <c r="H17" s="3866">
        <v>9490.98</v>
      </c>
    </row>
    <row r="18" spans="1:17">
      <c r="A18" s="3866"/>
      <c r="B18" s="3866">
        <v>2</v>
      </c>
      <c r="C18" s="3866" t="s">
        <v>861</v>
      </c>
      <c r="D18" s="3866" t="s">
        <v>870</v>
      </c>
      <c r="E18" s="3866" t="s">
        <v>873</v>
      </c>
      <c r="F18" s="3866" t="s">
        <v>859</v>
      </c>
      <c r="G18" s="3866">
        <v>5</v>
      </c>
      <c r="H18" s="3866">
        <v>9996.02</v>
      </c>
    </row>
    <row r="19" spans="1:17">
      <c r="A19" s="3866"/>
      <c r="B19" s="3866">
        <v>3</v>
      </c>
      <c r="C19" s="3866" t="s">
        <v>863</v>
      </c>
      <c r="D19" s="3866" t="s">
        <v>870</v>
      </c>
      <c r="E19" s="3866" t="s">
        <v>874</v>
      </c>
      <c r="F19" s="3866" t="s">
        <v>859</v>
      </c>
      <c r="G19" s="3866">
        <v>5</v>
      </c>
      <c r="H19" s="3866">
        <v>6432.38</v>
      </c>
    </row>
    <row r="20" spans="1:17">
      <c r="A20" s="3866"/>
      <c r="B20" s="3866">
        <v>4</v>
      </c>
      <c r="C20" s="3866" t="s">
        <v>865</v>
      </c>
      <c r="D20" s="3866" t="s">
        <v>870</v>
      </c>
      <c r="E20" s="3866" t="s">
        <v>875</v>
      </c>
      <c r="F20" s="3866" t="s">
        <v>867</v>
      </c>
      <c r="G20" s="3866" t="s">
        <v>868</v>
      </c>
      <c r="H20" s="3866">
        <v>15374.58</v>
      </c>
    </row>
    <row r="21" spans="1:17">
      <c r="A21" s="3866"/>
      <c r="B21" s="3866" t="s">
        <v>395</v>
      </c>
      <c r="C21" s="3866"/>
      <c r="D21" s="3866"/>
      <c r="E21" s="3866"/>
      <c r="F21" s="3866"/>
      <c r="G21" s="3866"/>
      <c r="H21" s="3866">
        <f>SUM(H17:H20)</f>
        <v>41293.96</v>
      </c>
    </row>
    <row r="23" spans="1:17">
      <c r="J23" s="3867" t="s">
        <v>876</v>
      </c>
      <c r="K23" s="3867" t="s">
        <v>877</v>
      </c>
      <c r="L23" s="3867" t="s">
        <v>455</v>
      </c>
      <c r="M23" s="3867" t="s">
        <v>878</v>
      </c>
      <c r="N23" s="3867" t="s">
        <v>879</v>
      </c>
      <c r="O23" s="3867" t="s">
        <v>880</v>
      </c>
      <c r="P23" s="3867" t="s">
        <v>881</v>
      </c>
      <c r="Q23" s="3867" t="s">
        <v>882</v>
      </c>
    </row>
    <row r="24" spans="1:17">
      <c r="J24" s="3867" t="s">
        <v>840</v>
      </c>
      <c r="K24" s="3867" t="s">
        <v>883</v>
      </c>
      <c r="L24" s="3867" t="s">
        <v>884</v>
      </c>
      <c r="M24" s="3867">
        <v>8915.67</v>
      </c>
      <c r="N24" s="3867">
        <v>15294832.2</v>
      </c>
      <c r="O24" s="3867">
        <f>H17</f>
        <v>9490.98</v>
      </c>
      <c r="P24" s="3867">
        <f>ROUND(N24/M24/365,2)</f>
        <v>4.7</v>
      </c>
      <c r="Q24" s="3867">
        <f>ROUND((M24+M25+M26+M27+M28)/O32*H14,2)</f>
        <v>7936.47</v>
      </c>
    </row>
    <row r="25" spans="1:17">
      <c r="J25" s="3867"/>
      <c r="K25" s="3867" t="s">
        <v>885</v>
      </c>
      <c r="L25" s="3867" t="s">
        <v>229</v>
      </c>
      <c r="M25" s="3867">
        <v>2136.2</v>
      </c>
      <c r="N25" s="3867">
        <v>3804118.65</v>
      </c>
      <c r="O25" s="3867">
        <f>H18</f>
        <v>9996.02</v>
      </c>
      <c r="P25" s="3867">
        <f t="shared" ref="P25:P33" si="0">ROUND(N25/M25/365,2)</f>
        <v>4.88</v>
      </c>
      <c r="Q25" s="3867"/>
    </row>
    <row r="26" spans="1:17">
      <c r="J26" s="3867"/>
      <c r="K26" s="3867"/>
      <c r="L26" s="3867" t="s">
        <v>884</v>
      </c>
      <c r="M26" s="3867">
        <v>7470.69</v>
      </c>
      <c r="N26" s="3867">
        <v>2726801.85</v>
      </c>
      <c r="O26" s="3867"/>
      <c r="P26" s="3867">
        <f t="shared" si="0"/>
        <v>1</v>
      </c>
      <c r="Q26" s="3867"/>
    </row>
    <row r="27" spans="1:17">
      <c r="J27" s="3867"/>
      <c r="K27" s="3867" t="s">
        <v>886</v>
      </c>
      <c r="L27" s="3867" t="s">
        <v>229</v>
      </c>
      <c r="M27" s="3867">
        <v>311.35</v>
      </c>
      <c r="N27" s="3867">
        <v>387479.85</v>
      </c>
      <c r="O27" s="3867">
        <f>H19</f>
        <v>6432.38</v>
      </c>
      <c r="P27" s="3867">
        <f t="shared" si="0"/>
        <v>3.41</v>
      </c>
      <c r="Q27" s="3867"/>
    </row>
    <row r="28" spans="1:17">
      <c r="J28" s="3867"/>
      <c r="K28" s="3867"/>
      <c r="L28" s="3867" t="s">
        <v>884</v>
      </c>
      <c r="M28" s="3867">
        <v>5778.36</v>
      </c>
      <c r="N28" s="3867">
        <v>6476189.63</v>
      </c>
      <c r="O28" s="3867"/>
      <c r="P28" s="3867">
        <f t="shared" si="0"/>
        <v>3.07</v>
      </c>
      <c r="Q28" s="3867"/>
    </row>
    <row r="29" spans="1:17">
      <c r="J29" s="3867"/>
      <c r="K29" s="3867" t="s">
        <v>887</v>
      </c>
      <c r="L29" s="3867" t="s">
        <v>888</v>
      </c>
      <c r="M29" s="3867">
        <v>6788.98</v>
      </c>
      <c r="N29" s="3867">
        <v>429600</v>
      </c>
      <c r="O29" s="3870">
        <f>H20</f>
        <v>15374.58</v>
      </c>
      <c r="P29" s="3867">
        <f t="shared" si="0"/>
        <v>0.17</v>
      </c>
      <c r="Q29" s="3867">
        <f>ROUND(M29/O32*H14,2)</f>
        <v>2189.17</v>
      </c>
    </row>
    <row r="30" spans="1:17">
      <c r="J30" s="3867"/>
      <c r="K30" s="3867"/>
      <c r="L30" s="3867" t="s">
        <v>889</v>
      </c>
      <c r="M30" s="3867">
        <v>1484.99</v>
      </c>
      <c r="N30" s="3867">
        <v>735938.52</v>
      </c>
      <c r="O30" s="3873"/>
      <c r="P30" s="3867">
        <f t="shared" si="0"/>
        <v>1.36</v>
      </c>
      <c r="Q30" s="3867">
        <f>ROUND(M30/O32*H14,2)</f>
        <v>478.85</v>
      </c>
    </row>
    <row r="31" spans="1:17">
      <c r="J31" s="3867"/>
      <c r="K31" s="3867"/>
      <c r="L31" s="3867" t="s">
        <v>229</v>
      </c>
      <c r="M31" s="3867">
        <v>7019.07</v>
      </c>
      <c r="N31" s="3867">
        <v>2846738.49</v>
      </c>
      <c r="O31" s="3871"/>
      <c r="P31" s="3867">
        <f t="shared" si="0"/>
        <v>1.11</v>
      </c>
      <c r="Q31" s="3867">
        <f>ROUND(M31/O32*H14,2)</f>
        <v>2263.37</v>
      </c>
    </row>
    <row r="32" spans="1:17">
      <c r="J32" s="3867"/>
      <c r="K32" s="3874" t="s">
        <v>395</v>
      </c>
      <c r="L32" s="3874"/>
      <c r="M32" s="3875">
        <f>SUM(M24:M31)</f>
        <v>39905.31</v>
      </c>
      <c r="N32" s="3875">
        <f>SUM(N24:N31)</f>
        <v>32701699.19</v>
      </c>
      <c r="O32" s="3875">
        <f>SUM(O24:O31)</f>
        <v>41293.96</v>
      </c>
      <c r="P32" s="3875">
        <f t="shared" si="0"/>
        <v>2.25</v>
      </c>
      <c r="Q32" s="3875">
        <f>SUM(Q24:Q31)</f>
        <v>12867.86</v>
      </c>
    </row>
    <row r="33" spans="10:17">
      <c r="J33" s="3867" t="s">
        <v>839</v>
      </c>
      <c r="K33" s="3867" t="s">
        <v>890</v>
      </c>
      <c r="L33" s="3867" t="s">
        <v>229</v>
      </c>
      <c r="M33" s="3867">
        <v>1269.62</v>
      </c>
      <c r="N33" s="3867">
        <v>3525040.66</v>
      </c>
      <c r="O33" s="3867">
        <f>H6</f>
        <v>6612.42</v>
      </c>
      <c r="P33" s="3867">
        <f t="shared" si="0"/>
        <v>7.61</v>
      </c>
      <c r="Q33" s="3867">
        <f>ROUND((M33+M34+M35+M36+M37)/O42*H3,2)</f>
        <v>10187.39</v>
      </c>
    </row>
    <row r="34" spans="10:17">
      <c r="J34" s="3867"/>
      <c r="K34" s="3867"/>
      <c r="L34" s="3867" t="s">
        <v>884</v>
      </c>
      <c r="M34" s="3867">
        <v>4914.48</v>
      </c>
      <c r="N34" s="3867">
        <v>2708636.5</v>
      </c>
      <c r="O34" s="3867"/>
      <c r="P34" s="3867">
        <f t="shared" ref="P34:P42" si="1">ROUND(N34/M34/365,2)</f>
        <v>1.51</v>
      </c>
      <c r="Q34" s="3867"/>
    </row>
    <row r="35" spans="10:17">
      <c r="J35" s="3867"/>
      <c r="K35" s="3867" t="s">
        <v>891</v>
      </c>
      <c r="L35" s="3867" t="s">
        <v>884</v>
      </c>
      <c r="M35" s="3876">
        <v>10267.99</v>
      </c>
      <c r="N35" s="3867">
        <v>13866438.91</v>
      </c>
      <c r="O35" s="3867">
        <f>H7</f>
        <v>10715.57</v>
      </c>
      <c r="P35" s="3867">
        <f t="shared" si="1"/>
        <v>3.7</v>
      </c>
      <c r="Q35" s="3867"/>
    </row>
    <row r="36" spans="10:17">
      <c r="J36" s="3867"/>
      <c r="K36" s="3867" t="s">
        <v>892</v>
      </c>
      <c r="L36" s="3867" t="s">
        <v>229</v>
      </c>
      <c r="M36" s="3867">
        <v>489.06</v>
      </c>
      <c r="N36" s="3867">
        <v>1058231.76</v>
      </c>
      <c r="O36" s="3867">
        <f>H8</f>
        <v>6724.42</v>
      </c>
      <c r="P36" s="3867">
        <f t="shared" si="1"/>
        <v>5.93</v>
      </c>
      <c r="Q36" s="3867"/>
    </row>
    <row r="37" spans="10:17">
      <c r="J37" s="3867"/>
      <c r="K37" s="3867"/>
      <c r="L37" s="3867" t="s">
        <v>884</v>
      </c>
      <c r="M37" s="3867">
        <v>6125.21</v>
      </c>
      <c r="N37" s="3867">
        <v>8093004.71</v>
      </c>
      <c r="O37" s="3867"/>
      <c r="P37" s="3867">
        <f t="shared" si="1"/>
        <v>3.62</v>
      </c>
      <c r="Q37" s="3867"/>
    </row>
    <row r="38" spans="10:17">
      <c r="J38" s="3867"/>
      <c r="K38" s="3867" t="s">
        <v>893</v>
      </c>
      <c r="L38" s="3867" t="s">
        <v>888</v>
      </c>
      <c r="M38" s="3867">
        <v>3344.85</v>
      </c>
      <c r="N38" s="3867">
        <v>600000</v>
      </c>
      <c r="O38" s="3867">
        <f>H9</f>
        <v>9955.09</v>
      </c>
      <c r="P38" s="3867">
        <f t="shared" si="1"/>
        <v>0.49</v>
      </c>
      <c r="Q38" s="3867">
        <f>ROUND(M38/O42*H3,2)</f>
        <v>1477.27</v>
      </c>
    </row>
    <row r="39" spans="10:17">
      <c r="J39" s="3867"/>
      <c r="K39" s="3867"/>
      <c r="L39" s="3867" t="s">
        <v>889</v>
      </c>
      <c r="M39" s="3867">
        <v>365.25</v>
      </c>
      <c r="N39" s="3867">
        <v>80110.16</v>
      </c>
      <c r="O39" s="3867"/>
      <c r="P39" s="3867">
        <f t="shared" si="1"/>
        <v>0.6</v>
      </c>
      <c r="Q39" s="3867">
        <f>ROUND(M39/O42*H3,2)</f>
        <v>161.31</v>
      </c>
    </row>
    <row r="40" spans="10:17">
      <c r="J40" s="3867"/>
      <c r="K40" s="3867"/>
      <c r="L40" s="3867" t="s">
        <v>229</v>
      </c>
      <c r="M40" s="3867">
        <v>5305.91</v>
      </c>
      <c r="N40" s="3867">
        <v>3871364.02</v>
      </c>
      <c r="O40" s="3867"/>
      <c r="P40" s="3867">
        <f t="shared" si="1"/>
        <v>2</v>
      </c>
      <c r="Q40" s="3870">
        <f>ROUND((M40+M41)/O42*H3,2)</f>
        <v>2425.2</v>
      </c>
    </row>
    <row r="41" spans="10:17">
      <c r="J41" s="3867"/>
      <c r="K41" s="3867"/>
      <c r="L41" s="3867" t="s">
        <v>884</v>
      </c>
      <c r="M41" s="3867">
        <v>185.25</v>
      </c>
      <c r="N41" s="3867">
        <v>122497.56</v>
      </c>
      <c r="O41" s="3867"/>
      <c r="P41" s="3867">
        <f t="shared" si="1"/>
        <v>1.81</v>
      </c>
      <c r="Q41" s="3871"/>
    </row>
    <row r="42" spans="10:17">
      <c r="J42" s="3867"/>
      <c r="K42" s="3874" t="s">
        <v>395</v>
      </c>
      <c r="L42" s="3874"/>
      <c r="M42" s="3875">
        <f>SUM(M33:M41)</f>
        <v>32267.62</v>
      </c>
      <c r="N42" s="3875">
        <f>SUM(N33:N41)</f>
        <v>33925324.28</v>
      </c>
      <c r="O42" s="3875">
        <f>SUM(O33:O41)</f>
        <v>34007.5</v>
      </c>
      <c r="P42" s="3875">
        <f t="shared" si="1"/>
        <v>2.88</v>
      </c>
      <c r="Q42" s="3875">
        <f>SUM(Q33:Q41)</f>
        <v>14251.17</v>
      </c>
    </row>
    <row r="45" spans="10:17">
      <c r="N45" s="3864">
        <f>N32+N42</f>
        <v>66627023.47</v>
      </c>
    </row>
    <row r="46" spans="10:17">
      <c r="N46" s="3864">
        <f>N45/10000</f>
        <v>6662.702347</v>
      </c>
    </row>
  </sheetData>
  <mergeCells count="25">
    <mergeCell ref="A1:H1"/>
    <mergeCell ref="J4:K4"/>
    <mergeCell ref="J7:K7"/>
    <mergeCell ref="J8:K8"/>
    <mergeCell ref="A12:H12"/>
    <mergeCell ref="K32:L32"/>
    <mergeCell ref="K42:L42"/>
    <mergeCell ref="J5:J6"/>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topLeftCell="A38" workbookViewId="0">
      <selection activeCell="O74" sqref="O74"/>
    </sheetView>
  </sheetViews>
  <sheetFormatPr defaultColWidth="9" defaultRowHeight="14.25"/>
  <cols>
    <col min="1" max="1" width="9" style="3854"/>
    <col min="2" max="2" width="28.75" style="3854" customWidth="1"/>
    <col min="3" max="4" width="11.5" style="3855"/>
    <col min="5" max="5" width="10.875" style="3856" customWidth="1"/>
    <col min="6" max="6" width="11.125" style="3854" customWidth="1"/>
    <col min="7" max="7" width="8.625" style="3854" customWidth="1"/>
    <col min="8" max="16384" width="9" style="3854"/>
  </cols>
  <sheetData>
    <row r="1" s="3853" customFormat="1" spans="1:10">
      <c r="B1" s="3853" t="s">
        <v>894</v>
      </c>
      <c r="C1" s="3857"/>
      <c r="D1" s="3857"/>
      <c r="E1" s="3858"/>
    </row>
    <row r="2" spans="1:10">
      <c r="A2" s="3854" t="s">
        <v>455</v>
      </c>
      <c r="B2" s="3854" t="s">
        <v>876</v>
      </c>
      <c r="C2" s="3855" t="s">
        <v>895</v>
      </c>
      <c r="D2" s="3855" t="s">
        <v>896</v>
      </c>
      <c r="E2" s="3856" t="s">
        <v>897</v>
      </c>
      <c r="F2" s="3854" t="s">
        <v>898</v>
      </c>
      <c r="G2" s="3854" t="s">
        <v>899</v>
      </c>
      <c r="H2" s="3854" t="s">
        <v>900</v>
      </c>
    </row>
    <row r="3" spans="1:10">
      <c r="A3" s="3854" t="s">
        <v>884</v>
      </c>
      <c r="B3" s="3854" t="s">
        <v>901</v>
      </c>
      <c r="C3" s="3855">
        <v>45292</v>
      </c>
      <c r="D3" s="3855">
        <v>47483</v>
      </c>
      <c r="E3" s="3856">
        <v>8915.67</v>
      </c>
      <c r="F3" s="3854">
        <v>3.7</v>
      </c>
      <c r="G3" s="3854">
        <v>0</v>
      </c>
      <c r="H3" s="3854">
        <v>1</v>
      </c>
      <c r="J3" s="3854">
        <f>F3+G3</f>
        <v>3.7</v>
      </c>
    </row>
    <row r="4" spans="1:10">
      <c r="A4" s="3854" t="s">
        <v>884</v>
      </c>
      <c r="B4" s="3854" t="s">
        <v>902</v>
      </c>
      <c r="C4" s="3855">
        <v>45658</v>
      </c>
      <c r="D4" s="3855">
        <v>46022</v>
      </c>
      <c r="E4" s="3856">
        <v>760.06</v>
      </c>
      <c r="F4" s="3854">
        <v>1</v>
      </c>
      <c r="J4" s="3854">
        <f t="shared" ref="J4:J35" si="0">F4+G4</f>
        <v>1</v>
      </c>
    </row>
    <row r="5" spans="1:10">
      <c r="A5" s="3854" t="s">
        <v>229</v>
      </c>
      <c r="B5" s="3854" t="s">
        <v>903</v>
      </c>
      <c r="C5" s="3855">
        <v>45250</v>
      </c>
      <c r="D5" s="3855">
        <v>47502</v>
      </c>
      <c r="E5" s="3856">
        <v>140</v>
      </c>
      <c r="F5" s="3854">
        <v>3.38</v>
      </c>
      <c r="G5" s="3854">
        <v>2.98</v>
      </c>
      <c r="H5" s="3854">
        <v>1.5</v>
      </c>
      <c r="J5" s="3854">
        <f t="shared" si="0"/>
        <v>6.36</v>
      </c>
    </row>
    <row r="6" spans="1:10">
      <c r="A6" s="3854" t="s">
        <v>229</v>
      </c>
      <c r="B6" s="3854" t="s">
        <v>904</v>
      </c>
      <c r="C6" s="3855">
        <v>43435</v>
      </c>
      <c r="D6" s="3855">
        <v>46356</v>
      </c>
      <c r="E6" s="3856">
        <v>424.31</v>
      </c>
      <c r="F6" s="3854">
        <v>12.54</v>
      </c>
      <c r="G6" s="3854">
        <v>0</v>
      </c>
      <c r="H6" s="3854">
        <v>1.25</v>
      </c>
      <c r="J6" s="3854">
        <f t="shared" si="0"/>
        <v>12.54</v>
      </c>
    </row>
    <row r="7" spans="1:10">
      <c r="A7" s="3854" t="s">
        <v>229</v>
      </c>
      <c r="B7" s="3854" t="s">
        <v>905</v>
      </c>
      <c r="C7" s="3855">
        <v>44927</v>
      </c>
      <c r="D7" s="3855">
        <v>46022</v>
      </c>
      <c r="E7" s="3856">
        <v>375.95</v>
      </c>
      <c r="F7" s="3854">
        <v>7.52</v>
      </c>
      <c r="G7" s="3854">
        <v>0</v>
      </c>
      <c r="H7" s="3854">
        <v>1.49</v>
      </c>
      <c r="J7" s="3854">
        <f t="shared" si="0"/>
        <v>7.52</v>
      </c>
    </row>
    <row r="8" spans="1:10">
      <c r="A8" s="3854" t="s">
        <v>229</v>
      </c>
      <c r="B8" s="3854" t="s">
        <v>906</v>
      </c>
      <c r="C8" s="3855">
        <v>45656</v>
      </c>
      <c r="D8" s="3855">
        <v>47481</v>
      </c>
      <c r="E8" s="3856">
        <v>113.69</v>
      </c>
      <c r="F8" s="3854">
        <v>8.5</v>
      </c>
      <c r="J8" s="3854">
        <f t="shared" si="0"/>
        <v>8.5</v>
      </c>
    </row>
    <row r="9" spans="1:10">
      <c r="A9" s="3854" t="s">
        <v>229</v>
      </c>
      <c r="B9" s="3854" t="s">
        <v>907</v>
      </c>
      <c r="C9" s="3855">
        <v>43692</v>
      </c>
      <c r="D9" s="3855">
        <v>47422</v>
      </c>
      <c r="E9" s="3856">
        <v>322.19</v>
      </c>
      <c r="F9" s="3854">
        <v>6.75</v>
      </c>
      <c r="G9" s="3854">
        <v>0</v>
      </c>
      <c r="H9" s="3854">
        <v>1.25</v>
      </c>
      <c r="J9" s="3854">
        <f t="shared" si="0"/>
        <v>6.75</v>
      </c>
    </row>
    <row r="10" spans="1:10">
      <c r="A10" s="3854" t="s">
        <v>884</v>
      </c>
      <c r="B10" s="3854" t="s">
        <v>908</v>
      </c>
      <c r="C10" s="3855">
        <v>45658</v>
      </c>
      <c r="D10" s="3855">
        <v>46022</v>
      </c>
      <c r="E10" s="3856">
        <v>2608.62</v>
      </c>
      <c r="F10" s="3854">
        <v>1</v>
      </c>
      <c r="J10" s="3854">
        <f t="shared" si="0"/>
        <v>1</v>
      </c>
    </row>
    <row r="11" spans="1:10">
      <c r="A11" s="3854" t="s">
        <v>884</v>
      </c>
      <c r="B11" s="3854" t="s">
        <v>909</v>
      </c>
      <c r="C11" s="3855">
        <v>45658</v>
      </c>
      <c r="D11" s="3855">
        <v>46022</v>
      </c>
      <c r="E11" s="3856">
        <v>2620.59</v>
      </c>
      <c r="F11" s="3854">
        <v>1</v>
      </c>
      <c r="J11" s="3854">
        <f t="shared" si="0"/>
        <v>1</v>
      </c>
    </row>
    <row r="12" spans="1:10">
      <c r="A12" s="3854" t="s">
        <v>884</v>
      </c>
      <c r="B12" s="3854" t="s">
        <v>910</v>
      </c>
      <c r="C12" s="3855">
        <v>45658</v>
      </c>
      <c r="D12" s="3855">
        <v>46022</v>
      </c>
      <c r="E12" s="3856">
        <v>2241.48</v>
      </c>
      <c r="F12" s="3854">
        <v>1</v>
      </c>
      <c r="J12" s="3854">
        <f t="shared" si="0"/>
        <v>1</v>
      </c>
    </row>
    <row r="13" spans="1:10">
      <c r="A13" s="3854" t="s">
        <v>229</v>
      </c>
      <c r="B13" s="3854" t="s">
        <v>911</v>
      </c>
      <c r="C13" s="3855">
        <v>45731</v>
      </c>
      <c r="D13" s="3855">
        <v>46095</v>
      </c>
      <c r="E13" s="3859">
        <v>222.12</v>
      </c>
      <c r="F13" s="3854">
        <v>1</v>
      </c>
      <c r="H13" s="3854">
        <v>1.5</v>
      </c>
      <c r="J13" s="3854">
        <f t="shared" si="0"/>
        <v>1</v>
      </c>
    </row>
    <row r="14" spans="1:10">
      <c r="A14" s="3854" t="s">
        <v>884</v>
      </c>
      <c r="B14" s="3854" t="s">
        <v>912</v>
      </c>
      <c r="C14" s="3855">
        <v>45399</v>
      </c>
      <c r="D14" s="3855">
        <v>45793</v>
      </c>
      <c r="E14" s="3859">
        <v>238.25</v>
      </c>
      <c r="H14" s="3854">
        <v>1.5</v>
      </c>
      <c r="J14" s="3854">
        <f t="shared" si="0"/>
        <v>0</v>
      </c>
    </row>
    <row r="15" spans="1:10">
      <c r="A15" s="3854" t="s">
        <v>229</v>
      </c>
      <c r="B15" s="3854" t="s">
        <v>913</v>
      </c>
      <c r="C15" s="3855">
        <v>44454</v>
      </c>
      <c r="D15" s="3855">
        <v>45914</v>
      </c>
      <c r="E15" s="3859">
        <v>124.72</v>
      </c>
      <c r="F15" s="3854">
        <v>4</v>
      </c>
      <c r="G15" s="3854">
        <v>1.02</v>
      </c>
      <c r="H15" s="3854">
        <v>1.49</v>
      </c>
      <c r="J15" s="3854">
        <f t="shared" si="0"/>
        <v>5.02</v>
      </c>
    </row>
    <row r="16" spans="1:10">
      <c r="A16" s="3854" t="s">
        <v>229</v>
      </c>
      <c r="B16" s="3854" t="s">
        <v>914</v>
      </c>
      <c r="C16" s="3855">
        <v>45884</v>
      </c>
      <c r="D16" s="3855">
        <v>47726</v>
      </c>
      <c r="E16" s="3859">
        <v>89.23</v>
      </c>
      <c r="F16" s="3854">
        <v>5.26</v>
      </c>
      <c r="G16" s="3854">
        <v>0</v>
      </c>
      <c r="H16" s="3854">
        <v>1.5</v>
      </c>
      <c r="J16" s="3854">
        <f t="shared" si="0"/>
        <v>5.26</v>
      </c>
    </row>
    <row r="17" spans="1:12">
      <c r="A17" s="3854" t="s">
        <v>229</v>
      </c>
      <c r="B17" s="3854" t="s">
        <v>915</v>
      </c>
      <c r="C17" s="3855">
        <v>45901</v>
      </c>
      <c r="D17" s="3855">
        <v>46265</v>
      </c>
      <c r="E17" s="3859">
        <v>176.1</v>
      </c>
      <c r="H17" s="3854">
        <v>1.25</v>
      </c>
      <c r="J17" s="3854">
        <f t="shared" si="0"/>
        <v>0</v>
      </c>
    </row>
    <row r="18" spans="1:12">
      <c r="A18" s="3854" t="s">
        <v>884</v>
      </c>
      <c r="B18" s="3854" t="s">
        <v>916</v>
      </c>
      <c r="C18" s="3855">
        <v>44682</v>
      </c>
      <c r="D18" s="3855">
        <v>45777</v>
      </c>
      <c r="E18" s="3856">
        <v>989.94</v>
      </c>
      <c r="F18" s="3854">
        <v>1.5</v>
      </c>
      <c r="G18" s="3854">
        <v>1.86</v>
      </c>
      <c r="H18" s="3854">
        <v>0.99</v>
      </c>
      <c r="J18" s="3854">
        <f t="shared" si="0"/>
        <v>3.36</v>
      </c>
    </row>
    <row r="19" spans="1:12">
      <c r="A19" s="3854" t="s">
        <v>884</v>
      </c>
      <c r="B19" s="3854" t="s">
        <v>917</v>
      </c>
      <c r="C19" s="3855">
        <v>45397</v>
      </c>
      <c r="D19" s="3855">
        <v>46491</v>
      </c>
      <c r="E19" s="3859">
        <v>1643.47</v>
      </c>
      <c r="F19" s="3854">
        <v>2.9</v>
      </c>
      <c r="G19" s="3854">
        <v>1</v>
      </c>
      <c r="H19" s="3854">
        <v>1.6</v>
      </c>
      <c r="J19" s="3854">
        <f t="shared" si="0"/>
        <v>3.9</v>
      </c>
    </row>
    <row r="20" spans="1:12">
      <c r="A20" s="3854" t="s">
        <v>884</v>
      </c>
      <c r="B20" s="3854" t="s">
        <v>918</v>
      </c>
      <c r="C20" s="3855">
        <v>45870</v>
      </c>
      <c r="D20" s="3855">
        <v>46234</v>
      </c>
      <c r="E20" s="3856">
        <v>400</v>
      </c>
      <c r="F20" s="3854">
        <v>1</v>
      </c>
      <c r="G20" s="3854">
        <v>2.5</v>
      </c>
      <c r="H20" s="3854">
        <v>1</v>
      </c>
      <c r="J20" s="3854">
        <f t="shared" si="0"/>
        <v>3.5</v>
      </c>
    </row>
    <row r="21" spans="1:12">
      <c r="A21" s="3854" t="s">
        <v>884</v>
      </c>
      <c r="B21" s="3854" t="s">
        <v>919</v>
      </c>
      <c r="C21" s="3855">
        <v>45870</v>
      </c>
      <c r="D21" s="3855">
        <v>46234</v>
      </c>
      <c r="E21" s="3856">
        <v>581.45</v>
      </c>
      <c r="F21" s="3854">
        <v>1</v>
      </c>
      <c r="G21" s="3854">
        <v>2.5</v>
      </c>
      <c r="H21" s="3854">
        <v>1</v>
      </c>
      <c r="J21" s="3854">
        <f t="shared" si="0"/>
        <v>3.5</v>
      </c>
    </row>
    <row r="22" spans="1:12">
      <c r="A22" s="3854" t="s">
        <v>884</v>
      </c>
      <c r="B22" s="3854" t="s">
        <v>920</v>
      </c>
      <c r="C22" s="3855">
        <v>45658</v>
      </c>
      <c r="D22" s="3855">
        <v>46022</v>
      </c>
      <c r="E22" s="3856">
        <v>1624.43</v>
      </c>
      <c r="F22" s="3854">
        <v>1</v>
      </c>
      <c r="J22" s="3854">
        <f t="shared" si="0"/>
        <v>1</v>
      </c>
    </row>
    <row r="23" spans="1:12">
      <c r="E23" s="3856">
        <f>SUM(E3:E22)</f>
        <v>24612.27</v>
      </c>
      <c r="L23" s="3854">
        <f>ROUND((E3*J3+(E4+E10+E11+E12+E13+E22)*1+E5*J5+E6*J6+E7*J7+E8*J8+E9*J9+E15*J15+E16*J16+E18*J18+E19*J19+E20*J20+E21*J21)/(E23-E14-E17),1)</f>
        <v>2.9</v>
      </c>
    </row>
    <row r="24" spans="1:12">
      <c r="A24" s="3860" t="s">
        <v>884</v>
      </c>
      <c r="B24" s="3860" t="s">
        <v>921</v>
      </c>
      <c r="C24" s="3861">
        <v>45658</v>
      </c>
      <c r="D24" s="3861">
        <v>46022</v>
      </c>
      <c r="E24" s="3862">
        <v>237.34</v>
      </c>
      <c r="F24" s="3860">
        <v>1</v>
      </c>
      <c r="G24" s="3860"/>
      <c r="H24" s="3860"/>
      <c r="I24" s="3860"/>
      <c r="J24" s="3860">
        <f t="shared" ref="J24:J36" si="1">F24+G24</f>
        <v>1</v>
      </c>
    </row>
    <row r="25" spans="1:12">
      <c r="A25" s="3860" t="s">
        <v>884</v>
      </c>
      <c r="B25" s="3860" t="s">
        <v>922</v>
      </c>
      <c r="C25" s="3861">
        <v>45658</v>
      </c>
      <c r="D25" s="3861">
        <v>46022</v>
      </c>
      <c r="E25" s="3862">
        <v>797.46</v>
      </c>
      <c r="F25" s="3860">
        <v>1</v>
      </c>
      <c r="G25" s="3860"/>
      <c r="H25" s="3860"/>
      <c r="I25" s="3860"/>
      <c r="J25" s="3860">
        <f t="shared" si="1"/>
        <v>1</v>
      </c>
    </row>
    <row r="26" spans="1:12">
      <c r="A26" s="3860" t="s">
        <v>229</v>
      </c>
      <c r="B26" s="3860" t="s">
        <v>923</v>
      </c>
      <c r="C26" s="3861">
        <v>45287</v>
      </c>
      <c r="D26" s="3861">
        <v>47269</v>
      </c>
      <c r="E26" s="3862">
        <v>284.37</v>
      </c>
      <c r="F26" s="3860">
        <v>0</v>
      </c>
      <c r="G26" s="3860">
        <v>0</v>
      </c>
      <c r="H26" s="3860">
        <v>1.5</v>
      </c>
      <c r="I26" s="3860"/>
      <c r="J26" s="3860">
        <f t="shared" si="1"/>
        <v>0</v>
      </c>
      <c r="L26" s="3854">
        <f>ROUND(((E24+E25+E28+E29+E30+E31+E32)*1+E27*J27+E33*J33)/(E37-E36-E35-E34-E26),1)</f>
        <v>1.3</v>
      </c>
    </row>
    <row r="27" spans="1:12">
      <c r="A27" s="3860" t="s">
        <v>229</v>
      </c>
      <c r="B27" s="3860" t="s">
        <v>924</v>
      </c>
      <c r="C27" s="3861">
        <v>45214</v>
      </c>
      <c r="D27" s="3861">
        <v>46309</v>
      </c>
      <c r="E27" s="3862">
        <v>113.23</v>
      </c>
      <c r="F27" s="3860">
        <v>3</v>
      </c>
      <c r="G27" s="3860">
        <v>1</v>
      </c>
      <c r="H27" s="3860">
        <v>1.5</v>
      </c>
      <c r="I27" s="3860"/>
      <c r="J27" s="3860">
        <f t="shared" si="1"/>
        <v>4</v>
      </c>
    </row>
    <row r="28" spans="1:12">
      <c r="A28" s="3860" t="s">
        <v>884</v>
      </c>
      <c r="B28" s="3860" t="s">
        <v>925</v>
      </c>
      <c r="C28" s="3861">
        <v>45658</v>
      </c>
      <c r="D28" s="3861">
        <v>46022</v>
      </c>
      <c r="E28" s="3862">
        <v>327.55</v>
      </c>
      <c r="F28" s="3860">
        <v>1</v>
      </c>
      <c r="G28" s="3860"/>
      <c r="H28" s="3860"/>
      <c r="I28" s="3860"/>
      <c r="J28" s="3860">
        <f t="shared" si="1"/>
        <v>1</v>
      </c>
    </row>
    <row r="29" spans="1:12">
      <c r="A29" s="3860" t="s">
        <v>884</v>
      </c>
      <c r="B29" s="3860" t="s">
        <v>926</v>
      </c>
      <c r="C29" s="3861">
        <v>45658</v>
      </c>
      <c r="D29" s="3861">
        <v>46022</v>
      </c>
      <c r="E29" s="3862">
        <v>308.31</v>
      </c>
      <c r="F29" s="3860">
        <v>1</v>
      </c>
      <c r="G29" s="3860"/>
      <c r="H29" s="3860"/>
      <c r="I29" s="3860"/>
      <c r="J29" s="3860">
        <f t="shared" si="1"/>
        <v>1</v>
      </c>
    </row>
    <row r="30" spans="1:12">
      <c r="A30" s="3860" t="s">
        <v>884</v>
      </c>
      <c r="B30" s="3860" t="s">
        <v>927</v>
      </c>
      <c r="C30" s="3861">
        <v>45658</v>
      </c>
      <c r="D30" s="3861">
        <v>46022</v>
      </c>
      <c r="E30" s="3862">
        <v>1251.08</v>
      </c>
      <c r="F30" s="3860">
        <v>1</v>
      </c>
      <c r="G30" s="3860"/>
      <c r="H30" s="3860"/>
      <c r="I30" s="3860"/>
      <c r="J30" s="3860">
        <f t="shared" si="1"/>
        <v>1</v>
      </c>
    </row>
    <row r="31" spans="1:12">
      <c r="A31" s="3860" t="s">
        <v>884</v>
      </c>
      <c r="B31" s="3860" t="s">
        <v>928</v>
      </c>
      <c r="C31" s="3861">
        <v>45658</v>
      </c>
      <c r="D31" s="3861">
        <v>46022</v>
      </c>
      <c r="E31" s="3862">
        <v>1032</v>
      </c>
      <c r="F31" s="3860">
        <v>1</v>
      </c>
      <c r="G31" s="3860"/>
      <c r="H31" s="3860"/>
      <c r="I31" s="3860"/>
      <c r="J31" s="3860">
        <f t="shared" si="1"/>
        <v>1</v>
      </c>
    </row>
    <row r="32" spans="1:12">
      <c r="A32" s="3860" t="s">
        <v>884</v>
      </c>
      <c r="B32" s="3860" t="s">
        <v>929</v>
      </c>
      <c r="C32" s="3861">
        <v>45658</v>
      </c>
      <c r="D32" s="3861">
        <v>46022</v>
      </c>
      <c r="E32" s="3862">
        <v>2399.75</v>
      </c>
      <c r="F32" s="3860">
        <v>1</v>
      </c>
      <c r="G32" s="3860"/>
      <c r="H32" s="3860"/>
      <c r="I32" s="3860"/>
      <c r="J32" s="3860">
        <f t="shared" si="1"/>
        <v>1</v>
      </c>
    </row>
    <row r="33" spans="1:10">
      <c r="A33" s="3860" t="s">
        <v>229</v>
      </c>
      <c r="B33" s="3860" t="s">
        <v>930</v>
      </c>
      <c r="C33" s="3861">
        <v>44120</v>
      </c>
      <c r="D33" s="3861">
        <v>47041</v>
      </c>
      <c r="E33" s="3862">
        <v>267.98</v>
      </c>
      <c r="F33" s="3860">
        <v>4</v>
      </c>
      <c r="G33" s="3860">
        <v>3.6</v>
      </c>
      <c r="H33" s="3860">
        <v>1.49</v>
      </c>
      <c r="I33" s="3860"/>
      <c r="J33" s="3860">
        <f t="shared" si="1"/>
        <v>7.6</v>
      </c>
    </row>
    <row r="34" spans="1:10">
      <c r="A34" s="3860" t="s">
        <v>888</v>
      </c>
      <c r="B34" s="3860" t="s">
        <v>931</v>
      </c>
      <c r="C34" s="3861">
        <v>45658</v>
      </c>
      <c r="D34" s="3861">
        <v>46022</v>
      </c>
      <c r="E34" s="3862">
        <v>6788.98</v>
      </c>
      <c r="F34" s="3860"/>
      <c r="G34" s="3860"/>
      <c r="H34" s="3860"/>
      <c r="I34" s="3860"/>
      <c r="J34" s="3860">
        <f t="shared" si="1"/>
        <v>0</v>
      </c>
    </row>
    <row r="35" spans="1:10">
      <c r="A35" s="3860" t="s">
        <v>889</v>
      </c>
      <c r="B35" s="3860" t="s">
        <v>932</v>
      </c>
      <c r="C35" s="3861">
        <v>45658</v>
      </c>
      <c r="D35" s="3861">
        <v>46022</v>
      </c>
      <c r="E35" s="3862">
        <v>27.69</v>
      </c>
      <c r="F35" s="3860">
        <v>0.5</v>
      </c>
      <c r="G35" s="3860"/>
      <c r="H35" s="3860"/>
      <c r="I35" s="3860"/>
      <c r="J35" s="3860">
        <f t="shared" si="1"/>
        <v>0.5</v>
      </c>
    </row>
    <row r="36" spans="1:10">
      <c r="A36" s="3860" t="s">
        <v>889</v>
      </c>
      <c r="B36" s="3860" t="s">
        <v>933</v>
      </c>
      <c r="C36" s="3861">
        <v>45658</v>
      </c>
      <c r="D36" s="3861">
        <v>46022</v>
      </c>
      <c r="E36" s="3862">
        <v>1457.3</v>
      </c>
      <c r="F36" s="3860">
        <v>0.5</v>
      </c>
      <c r="G36" s="3860"/>
      <c r="H36" s="3860"/>
      <c r="I36" s="3860"/>
      <c r="J36" s="3860">
        <f t="shared" si="1"/>
        <v>0.5</v>
      </c>
    </row>
    <row r="37" spans="1:10">
      <c r="E37" s="3856">
        <f>SUM(E24:E36)</f>
        <v>15293.04</v>
      </c>
    </row>
    <row r="38" spans="1:10">
      <c r="E38" s="3856">
        <f>E23+E37</f>
        <v>39905.31</v>
      </c>
    </row>
    <row r="42" spans="1:10">
      <c r="B42" s="3854" t="s">
        <v>934</v>
      </c>
    </row>
    <row r="43" s="3854" customFormat="1" spans="1:10">
      <c r="A43" s="3854" t="s">
        <v>455</v>
      </c>
      <c r="B43" s="3854" t="s">
        <v>876</v>
      </c>
      <c r="C43" s="3855" t="s">
        <v>895</v>
      </c>
      <c r="D43" s="3855" t="s">
        <v>896</v>
      </c>
      <c r="E43" s="3856" t="s">
        <v>897</v>
      </c>
      <c r="F43" s="3854" t="s">
        <v>898</v>
      </c>
      <c r="G43" s="3854" t="s">
        <v>899</v>
      </c>
      <c r="H43" s="3854" t="s">
        <v>900</v>
      </c>
    </row>
    <row r="44" spans="1:10">
      <c r="A44" s="3855" t="s">
        <v>229</v>
      </c>
      <c r="B44" s="3854" t="s">
        <v>935</v>
      </c>
      <c r="C44" s="3855">
        <v>44190</v>
      </c>
      <c r="D44" s="3855">
        <v>46470</v>
      </c>
      <c r="E44" s="3856">
        <v>281.06</v>
      </c>
      <c r="F44" s="3854">
        <v>14.19</v>
      </c>
      <c r="G44" s="3854">
        <v>0</v>
      </c>
      <c r="H44" s="3854">
        <v>1.49</v>
      </c>
      <c r="J44" s="3854">
        <f>F44+G44</f>
        <v>14.19</v>
      </c>
    </row>
    <row r="45" spans="1:10">
      <c r="A45" s="3855" t="s">
        <v>229</v>
      </c>
      <c r="B45" s="3854" t="s">
        <v>936</v>
      </c>
      <c r="C45" s="3855">
        <v>44190</v>
      </c>
      <c r="D45" s="3855">
        <v>46470</v>
      </c>
      <c r="E45" s="3856">
        <v>264.7</v>
      </c>
      <c r="F45" s="3854">
        <v>14.19</v>
      </c>
      <c r="G45" s="3854">
        <v>0</v>
      </c>
      <c r="H45" s="3854">
        <v>1.49</v>
      </c>
      <c r="J45" s="3854">
        <f t="shared" ref="J45:J51" si="2">F45+G45</f>
        <v>14.19</v>
      </c>
    </row>
    <row r="46" s="3854" customFormat="1" spans="1:10">
      <c r="A46" s="3855" t="s">
        <v>884</v>
      </c>
      <c r="B46" s="3854" t="s">
        <v>937</v>
      </c>
      <c r="C46" s="3855">
        <v>45509</v>
      </c>
      <c r="D46" s="3855">
        <v>46605</v>
      </c>
      <c r="E46" s="3856">
        <v>1645.91</v>
      </c>
      <c r="F46" s="3854">
        <v>3</v>
      </c>
      <c r="G46" s="3854">
        <v>1.2</v>
      </c>
      <c r="H46" s="3854">
        <v>1</v>
      </c>
      <c r="J46" s="3854">
        <f t="shared" si="2"/>
        <v>4.2</v>
      </c>
    </row>
    <row r="47" s="3854" customFormat="1" spans="1:10">
      <c r="A47" s="3854" t="s">
        <v>884</v>
      </c>
      <c r="B47" s="3854" t="s">
        <v>938</v>
      </c>
      <c r="C47" s="3855">
        <v>45658</v>
      </c>
      <c r="D47" s="3855">
        <v>46022</v>
      </c>
      <c r="E47" s="3856">
        <v>1629.05</v>
      </c>
      <c r="F47" s="3854">
        <v>1</v>
      </c>
      <c r="J47" s="3854">
        <f t="shared" si="2"/>
        <v>1</v>
      </c>
    </row>
    <row r="48" s="3854" customFormat="1" spans="1:10">
      <c r="A48" s="3854" t="s">
        <v>884</v>
      </c>
      <c r="B48" s="3854" t="s">
        <v>939</v>
      </c>
      <c r="C48" s="3855">
        <v>45658</v>
      </c>
      <c r="D48" s="3855">
        <v>46022</v>
      </c>
      <c r="E48" s="3856">
        <v>1639.52</v>
      </c>
      <c r="F48" s="3854">
        <v>1</v>
      </c>
      <c r="J48" s="3854">
        <f t="shared" si="2"/>
        <v>1</v>
      </c>
    </row>
    <row r="49" s="3854" customFormat="1" spans="1:10">
      <c r="A49" s="3854" t="s">
        <v>229</v>
      </c>
      <c r="B49" s="3854" t="s">
        <v>940</v>
      </c>
      <c r="C49" s="3855">
        <v>45658</v>
      </c>
      <c r="D49" s="3855">
        <v>46022</v>
      </c>
      <c r="E49" s="3856">
        <v>723.86</v>
      </c>
      <c r="F49" s="3854">
        <v>1</v>
      </c>
      <c r="J49" s="3854">
        <f t="shared" si="2"/>
        <v>1</v>
      </c>
    </row>
    <row r="50" s="3854" customFormat="1" spans="1:10">
      <c r="A50" s="3855" t="s">
        <v>884</v>
      </c>
      <c r="B50" s="3854" t="s">
        <v>941</v>
      </c>
      <c r="C50" s="3855">
        <v>45245</v>
      </c>
      <c r="D50" s="3855">
        <v>46507</v>
      </c>
      <c r="E50" s="3856">
        <v>5133.48</v>
      </c>
      <c r="F50" s="3854">
        <v>3</v>
      </c>
      <c r="G50" s="3854">
        <v>0.6</v>
      </c>
      <c r="H50" s="3854">
        <v>1</v>
      </c>
      <c r="J50" s="3854">
        <f t="shared" si="2"/>
        <v>3.6</v>
      </c>
    </row>
    <row r="51" s="3854" customFormat="1" spans="1:10">
      <c r="A51" s="3855" t="s">
        <v>884</v>
      </c>
      <c r="B51" s="3854" t="s">
        <v>942</v>
      </c>
      <c r="C51" s="3855">
        <v>45352</v>
      </c>
      <c r="D51" s="3855">
        <v>46446</v>
      </c>
      <c r="E51" s="3856">
        <v>2590.25</v>
      </c>
      <c r="F51" s="3854">
        <v>3</v>
      </c>
      <c r="G51" s="3854">
        <v>0.9</v>
      </c>
      <c r="H51" s="3854">
        <v>1</v>
      </c>
      <c r="J51" s="3854">
        <f t="shared" si="2"/>
        <v>3.9</v>
      </c>
    </row>
    <row r="52" s="3854" customFormat="1" spans="1:10">
      <c r="A52" s="3855" t="s">
        <v>884</v>
      </c>
      <c r="B52" s="3854" t="s">
        <v>943</v>
      </c>
      <c r="C52" s="3855">
        <v>45978</v>
      </c>
      <c r="D52" s="3855">
        <v>47177</v>
      </c>
      <c r="E52" s="3856">
        <v>1208.83</v>
      </c>
      <c r="F52" s="3854">
        <v>1</v>
      </c>
      <c r="G52" s="3854">
        <v>2</v>
      </c>
      <c r="H52" s="3854">
        <v>1</v>
      </c>
      <c r="J52" s="3854">
        <f t="shared" ref="J52:J82" si="3">F52+G52</f>
        <v>3</v>
      </c>
    </row>
    <row r="53" s="3854" customFormat="1" spans="1:10">
      <c r="A53" s="3854" t="s">
        <v>884</v>
      </c>
      <c r="B53" s="3854" t="s">
        <v>944</v>
      </c>
      <c r="C53" s="3855">
        <v>45658</v>
      </c>
      <c r="D53" s="3855">
        <v>46022</v>
      </c>
      <c r="E53" s="3856">
        <v>2544.26</v>
      </c>
      <c r="F53" s="3854">
        <v>1</v>
      </c>
      <c r="J53" s="3854">
        <f t="shared" si="3"/>
        <v>1</v>
      </c>
    </row>
    <row r="54" s="3854" customFormat="1" spans="1:10">
      <c r="A54" s="3855" t="s">
        <v>229</v>
      </c>
      <c r="B54" s="3854" t="s">
        <v>945</v>
      </c>
      <c r="C54" s="3855">
        <v>44992</v>
      </c>
      <c r="D54" s="3855">
        <v>46087</v>
      </c>
      <c r="E54" s="3856">
        <v>76.74</v>
      </c>
      <c r="F54" s="3854">
        <v>4.5</v>
      </c>
      <c r="G54" s="3854">
        <v>9.52</v>
      </c>
      <c r="H54" s="3854">
        <v>1.49</v>
      </c>
      <c r="J54" s="3854">
        <f t="shared" si="3"/>
        <v>14.02</v>
      </c>
    </row>
    <row r="55" s="3854" customFormat="1" spans="1:10">
      <c r="A55" s="3855" t="s">
        <v>229</v>
      </c>
      <c r="B55" s="3854" t="s">
        <v>946</v>
      </c>
      <c r="C55" s="3855">
        <v>44986</v>
      </c>
      <c r="D55" s="3855">
        <v>47238</v>
      </c>
      <c r="E55" s="3856">
        <v>117.32</v>
      </c>
      <c r="F55" s="3854">
        <v>4</v>
      </c>
      <c r="G55" s="3854">
        <v>5.88</v>
      </c>
      <c r="H55" s="3854">
        <v>1.49</v>
      </c>
      <c r="J55" s="3854">
        <f t="shared" si="3"/>
        <v>9.88</v>
      </c>
    </row>
    <row r="56" s="3854" customFormat="1" spans="1:10">
      <c r="A56" s="3855" t="s">
        <v>229</v>
      </c>
      <c r="B56" s="3854" t="s">
        <v>947</v>
      </c>
      <c r="C56" s="3855">
        <v>45505</v>
      </c>
      <c r="D56" s="3855">
        <v>46660</v>
      </c>
      <c r="E56" s="3856">
        <v>295</v>
      </c>
      <c r="F56" s="3854">
        <v>0</v>
      </c>
      <c r="G56" s="3854">
        <v>0</v>
      </c>
      <c r="H56" s="3854">
        <v>1.5</v>
      </c>
      <c r="J56" s="3854">
        <f t="shared" si="3"/>
        <v>0</v>
      </c>
    </row>
    <row r="57" s="3854" customFormat="1" spans="1:10">
      <c r="A57" s="3855" t="s">
        <v>884</v>
      </c>
      <c r="B57" s="3854" t="s">
        <v>948</v>
      </c>
      <c r="C57" s="3855">
        <v>45880</v>
      </c>
      <c r="D57" s="3855">
        <v>46244</v>
      </c>
      <c r="E57" s="3856">
        <v>207.5</v>
      </c>
      <c r="F57" s="3854">
        <v>1.5</v>
      </c>
      <c r="J57" s="3854">
        <f t="shared" si="3"/>
        <v>1.5</v>
      </c>
    </row>
    <row r="58" s="3854" customFormat="1" spans="1:10">
      <c r="A58" s="3855" t="s">
        <v>229</v>
      </c>
      <c r="B58" s="3854" t="s">
        <v>949</v>
      </c>
      <c r="C58" s="3855">
        <v>45597</v>
      </c>
      <c r="D58" s="3855">
        <v>45777</v>
      </c>
      <c r="E58" s="3863">
        <v>216.7</v>
      </c>
      <c r="F58" s="3854">
        <v>16.25</v>
      </c>
      <c r="G58" s="3854">
        <v>0</v>
      </c>
      <c r="H58" s="3854">
        <v>0</v>
      </c>
      <c r="J58" s="3854">
        <f t="shared" si="3"/>
        <v>16.25</v>
      </c>
    </row>
    <row r="59" s="3854" customFormat="1" spans="1:10">
      <c r="A59" s="3855" t="s">
        <v>884</v>
      </c>
      <c r="B59" s="3854" t="s">
        <v>950</v>
      </c>
      <c r="C59" s="3855">
        <v>45717</v>
      </c>
      <c r="D59" s="3855">
        <v>46446</v>
      </c>
      <c r="E59" s="3856">
        <v>506.1</v>
      </c>
      <c r="F59" s="3854">
        <v>1.5</v>
      </c>
      <c r="G59" s="3854">
        <v>1</v>
      </c>
      <c r="H59" s="3854">
        <v>1</v>
      </c>
      <c r="J59" s="3854">
        <f t="shared" si="3"/>
        <v>2.5</v>
      </c>
    </row>
    <row r="60" s="3854" customFormat="1" spans="1:10">
      <c r="A60" s="3855" t="s">
        <v>884</v>
      </c>
      <c r="B60" s="3854" t="s">
        <v>951</v>
      </c>
      <c r="C60" s="3855">
        <v>45139</v>
      </c>
      <c r="D60" s="3855">
        <v>46234</v>
      </c>
      <c r="E60" s="3856">
        <v>1062.02</v>
      </c>
      <c r="F60" s="3854">
        <v>0</v>
      </c>
      <c r="G60" s="3854">
        <v>0</v>
      </c>
      <c r="H60" s="3854">
        <v>1</v>
      </c>
      <c r="J60" s="3854">
        <f t="shared" si="3"/>
        <v>0</v>
      </c>
    </row>
    <row r="61" s="3854" customFormat="1" spans="1:10">
      <c r="A61" s="3855" t="s">
        <v>884</v>
      </c>
      <c r="B61" s="3854" t="s">
        <v>952</v>
      </c>
      <c r="C61" s="3855">
        <v>45139</v>
      </c>
      <c r="D61" s="3855">
        <v>46234</v>
      </c>
      <c r="E61" s="3856">
        <v>195</v>
      </c>
      <c r="F61" s="3854">
        <v>0</v>
      </c>
      <c r="G61" s="3854">
        <v>0</v>
      </c>
      <c r="H61" s="3854">
        <v>1</v>
      </c>
      <c r="J61" s="3854">
        <f t="shared" si="3"/>
        <v>0</v>
      </c>
    </row>
    <row r="62" s="3854" customFormat="1" spans="1:10">
      <c r="A62" s="3855" t="s">
        <v>884</v>
      </c>
      <c r="B62" s="3854" t="s">
        <v>953</v>
      </c>
      <c r="C62" s="3855">
        <v>44981</v>
      </c>
      <c r="D62" s="3855">
        <v>46076</v>
      </c>
      <c r="E62" s="3863">
        <v>506.1</v>
      </c>
      <c r="F62" s="3854">
        <v>3</v>
      </c>
      <c r="G62" s="3854">
        <v>2.01</v>
      </c>
      <c r="H62" s="3854">
        <v>0.99</v>
      </c>
      <c r="J62" s="3854">
        <f t="shared" si="3"/>
        <v>5.01</v>
      </c>
    </row>
    <row r="63" s="3854" customFormat="1" spans="1:10">
      <c r="A63" s="3855" t="s">
        <v>884</v>
      </c>
      <c r="B63" s="3854" t="s">
        <v>954</v>
      </c>
      <c r="C63" s="3855">
        <v>45078</v>
      </c>
      <c r="D63" s="3855">
        <v>46163</v>
      </c>
      <c r="E63" s="3856">
        <v>840.23</v>
      </c>
      <c r="F63" s="3854">
        <v>3</v>
      </c>
      <c r="G63" s="3854">
        <v>1.01</v>
      </c>
      <c r="H63" s="3854">
        <v>0.99</v>
      </c>
      <c r="J63" s="3854">
        <f t="shared" si="3"/>
        <v>4.01</v>
      </c>
    </row>
    <row r="64" s="3854" customFormat="1" spans="1:10">
      <c r="A64" s="3855" t="s">
        <v>884</v>
      </c>
      <c r="B64" s="3854" t="s">
        <v>955</v>
      </c>
      <c r="C64" s="3855">
        <v>45047</v>
      </c>
      <c r="D64" s="3855">
        <v>46446</v>
      </c>
      <c r="E64" s="3856">
        <v>971.91</v>
      </c>
      <c r="F64" s="3854">
        <v>4</v>
      </c>
      <c r="G64" s="3854">
        <v>1.01</v>
      </c>
      <c r="H64" s="3854">
        <v>0.99</v>
      </c>
      <c r="J64" s="3854">
        <f t="shared" si="3"/>
        <v>5.01</v>
      </c>
    </row>
    <row r="65" s="3854" customFormat="1" spans="1:12">
      <c r="A65" s="3855" t="s">
        <v>884</v>
      </c>
      <c r="B65" s="3854" t="s">
        <v>956</v>
      </c>
      <c r="C65" s="3855">
        <v>45213</v>
      </c>
      <c r="D65" s="3855">
        <v>45943</v>
      </c>
      <c r="E65" s="3856">
        <v>582.94</v>
      </c>
      <c r="F65" s="3854">
        <v>2</v>
      </c>
      <c r="G65" s="3854">
        <v>1.3</v>
      </c>
      <c r="H65" s="3854">
        <v>1</v>
      </c>
      <c r="J65" s="3854">
        <f t="shared" si="3"/>
        <v>3.3</v>
      </c>
    </row>
    <row r="66" s="3854" customFormat="1" spans="1:12">
      <c r="A66" s="3855" t="s">
        <v>884</v>
      </c>
      <c r="B66" s="3854" t="s">
        <v>957</v>
      </c>
      <c r="C66" s="3855">
        <v>46082</v>
      </c>
      <c r="D66" s="3855">
        <v>47177</v>
      </c>
      <c r="E66" s="3863">
        <v>268.15</v>
      </c>
      <c r="F66" s="3854">
        <v>1</v>
      </c>
      <c r="G66" s="3854">
        <v>1.5</v>
      </c>
      <c r="H66" s="3854">
        <v>1</v>
      </c>
      <c r="J66" s="3854">
        <f t="shared" si="3"/>
        <v>2.5</v>
      </c>
    </row>
    <row r="67" s="3854" customFormat="1" spans="1:12">
      <c r="A67" s="3855" t="s">
        <v>884</v>
      </c>
      <c r="B67" s="3854" t="s">
        <v>958</v>
      </c>
      <c r="C67" s="3855">
        <v>45352</v>
      </c>
      <c r="D67" s="3855">
        <v>46446</v>
      </c>
      <c r="E67" s="3856">
        <v>1229.94</v>
      </c>
      <c r="F67" s="3854">
        <v>4</v>
      </c>
      <c r="G67" s="3854">
        <v>0.81</v>
      </c>
      <c r="H67" s="3854">
        <v>0.99</v>
      </c>
      <c r="J67" s="3854">
        <f t="shared" si="3"/>
        <v>4.81</v>
      </c>
    </row>
    <row r="68" s="3854" customFormat="1" spans="1:12">
      <c r="A68" s="3854" t="s">
        <v>884</v>
      </c>
      <c r="B68" s="3854" t="s">
        <v>959</v>
      </c>
      <c r="C68" s="3855">
        <v>45658</v>
      </c>
      <c r="D68" s="3855">
        <v>46022</v>
      </c>
      <c r="E68" s="3856">
        <v>529.57</v>
      </c>
      <c r="F68" s="3854">
        <v>1</v>
      </c>
      <c r="J68" s="3854">
        <f t="shared" si="3"/>
        <v>1</v>
      </c>
      <c r="L68" s="3854">
        <f>ROUND((E44*J44+E45*J45+E46*J46+(E47+E48+E49+E53+E68)*1+E50*J50+E51*J51+E52*J52+E54*J54+E55*J55+E57*J57+E58*J58+E59*J59+E62*J62+E63*J63+E64*J64+E65*J65+E66*J66+E67*J67)/(E69-E56-E60-E61),2)</f>
        <v>3.4</v>
      </c>
    </row>
    <row r="69" s="3854" customFormat="1" spans="1:12">
      <c r="C69" s="3855"/>
      <c r="D69" s="3855"/>
      <c r="E69" s="3856">
        <f>SUM(E44:E68)</f>
        <v>25266.14</v>
      </c>
    </row>
    <row r="70" s="3854" customFormat="1" spans="1:12">
      <c r="A70" s="3861" t="s">
        <v>229</v>
      </c>
      <c r="B70" s="3860" t="s">
        <v>960</v>
      </c>
      <c r="C70" s="3861">
        <v>45966</v>
      </c>
      <c r="D70" s="3861">
        <v>48156</v>
      </c>
      <c r="E70" s="3862">
        <v>495.97</v>
      </c>
      <c r="F70" s="3860"/>
      <c r="G70" s="3860"/>
      <c r="H70" s="3860">
        <v>1.5</v>
      </c>
      <c r="I70" s="3860"/>
      <c r="J70" s="3860">
        <f t="shared" ref="J70:J83" si="4">F70+G70</f>
        <v>0</v>
      </c>
    </row>
    <row r="71" s="3854" customFormat="1" spans="1:12">
      <c r="A71" s="3861" t="s">
        <v>229</v>
      </c>
      <c r="B71" s="3860" t="s">
        <v>961</v>
      </c>
      <c r="C71" s="3861">
        <v>45901</v>
      </c>
      <c r="D71" s="3861">
        <v>46996</v>
      </c>
      <c r="E71" s="3862">
        <v>185.25</v>
      </c>
      <c r="F71" s="3860">
        <v>2</v>
      </c>
      <c r="G71" s="3860">
        <v>0</v>
      </c>
      <c r="H71" s="3860">
        <v>1.5</v>
      </c>
      <c r="I71" s="3860"/>
      <c r="J71" s="3860">
        <f t="shared" si="4"/>
        <v>2</v>
      </c>
    </row>
    <row r="72" spans="1:12">
      <c r="A72" s="3861" t="s">
        <v>229</v>
      </c>
      <c r="B72" s="3860" t="s">
        <v>962</v>
      </c>
      <c r="C72" s="3861">
        <v>44440</v>
      </c>
      <c r="D72" s="3861">
        <v>46265</v>
      </c>
      <c r="E72" s="3862">
        <v>105.63</v>
      </c>
      <c r="F72" s="3860">
        <v>21.02</v>
      </c>
      <c r="G72" s="3860">
        <v>0</v>
      </c>
      <c r="H72" s="3860">
        <v>1.49</v>
      </c>
      <c r="I72" s="3860"/>
      <c r="J72" s="3860">
        <f t="shared" si="4"/>
        <v>21.02</v>
      </c>
    </row>
    <row r="73" spans="1:12">
      <c r="A73" s="3861" t="s">
        <v>229</v>
      </c>
      <c r="B73" s="3860" t="s">
        <v>963</v>
      </c>
      <c r="C73" s="3861">
        <v>44501</v>
      </c>
      <c r="D73" s="3861">
        <v>46691</v>
      </c>
      <c r="E73" s="3862">
        <v>273.85</v>
      </c>
      <c r="F73" s="3860">
        <v>4</v>
      </c>
      <c r="G73" s="3860">
        <v>3</v>
      </c>
      <c r="H73" s="3860">
        <v>1.49</v>
      </c>
      <c r="I73" s="3860"/>
      <c r="J73" s="3860">
        <f t="shared" si="4"/>
        <v>7</v>
      </c>
    </row>
    <row r="74" spans="1:12">
      <c r="A74" s="3861" t="s">
        <v>229</v>
      </c>
      <c r="B74" s="3860" t="s">
        <v>964</v>
      </c>
      <c r="C74" s="3861">
        <v>44641</v>
      </c>
      <c r="D74" s="3861">
        <v>46511</v>
      </c>
      <c r="E74" s="3862">
        <v>143.82</v>
      </c>
      <c r="F74" s="3860">
        <v>4</v>
      </c>
      <c r="G74" s="3860">
        <v>3.03</v>
      </c>
      <c r="H74" s="3860">
        <v>1.49</v>
      </c>
      <c r="I74" s="3860"/>
      <c r="J74" s="3860">
        <f t="shared" si="4"/>
        <v>7.03</v>
      </c>
    </row>
    <row r="75" spans="1:12">
      <c r="A75" s="3861" t="s">
        <v>229</v>
      </c>
      <c r="B75" s="3860" t="s">
        <v>965</v>
      </c>
      <c r="C75" s="3861">
        <v>45184</v>
      </c>
      <c r="D75" s="3861">
        <v>48822</v>
      </c>
      <c r="E75" s="3862">
        <v>1587.74</v>
      </c>
      <c r="F75" s="3860">
        <v>0</v>
      </c>
      <c r="G75" s="3860">
        <v>0</v>
      </c>
      <c r="H75" s="3860">
        <v>1.5</v>
      </c>
      <c r="I75" s="3860"/>
      <c r="J75" s="3860">
        <f t="shared" si="4"/>
        <v>0</v>
      </c>
      <c r="L75" s="3854">
        <f>ROUND((E71*J71+E72*J72+E73*J73+E74*J74+E76*J76+(E77+E78+E79+E80+E81)*1)/(E84-E83-E82-E75-E70),1)</f>
        <v>2.7</v>
      </c>
    </row>
    <row r="76" spans="1:12">
      <c r="A76" s="3861" t="s">
        <v>229</v>
      </c>
      <c r="B76" s="3860" t="s">
        <v>966</v>
      </c>
      <c r="C76" s="3861">
        <v>44531</v>
      </c>
      <c r="D76" s="3861">
        <v>48244</v>
      </c>
      <c r="E76" s="3862">
        <v>217.8</v>
      </c>
      <c r="F76" s="3860">
        <v>4</v>
      </c>
      <c r="G76" s="3860">
        <v>1.55</v>
      </c>
      <c r="H76" s="3860">
        <v>1.49</v>
      </c>
      <c r="I76" s="3860"/>
      <c r="J76" s="3860">
        <f t="shared" si="4"/>
        <v>5.55</v>
      </c>
    </row>
    <row r="77" spans="1:12">
      <c r="A77" s="3860" t="s">
        <v>229</v>
      </c>
      <c r="B77" s="3860" t="s">
        <v>967</v>
      </c>
      <c r="C77" s="3861">
        <v>45658</v>
      </c>
      <c r="D77" s="3861">
        <v>46022</v>
      </c>
      <c r="E77" s="3862">
        <v>793.01</v>
      </c>
      <c r="F77" s="3860">
        <v>1</v>
      </c>
      <c r="G77" s="3860"/>
      <c r="H77" s="3860"/>
      <c r="I77" s="3860"/>
      <c r="J77" s="3860">
        <f t="shared" si="4"/>
        <v>1</v>
      </c>
    </row>
    <row r="78" spans="1:12">
      <c r="A78" s="3860" t="s">
        <v>229</v>
      </c>
      <c r="B78" s="3860" t="s">
        <v>968</v>
      </c>
      <c r="C78" s="3861">
        <v>45658</v>
      </c>
      <c r="D78" s="3861">
        <v>46022</v>
      </c>
      <c r="E78" s="3862">
        <v>153.83</v>
      </c>
      <c r="F78" s="3860">
        <v>1</v>
      </c>
      <c r="G78" s="3860"/>
      <c r="H78" s="3860"/>
      <c r="I78" s="3860"/>
      <c r="J78" s="3860">
        <f t="shared" si="4"/>
        <v>1</v>
      </c>
    </row>
    <row r="79" spans="1:12">
      <c r="A79" s="3860" t="s">
        <v>229</v>
      </c>
      <c r="B79" s="3860" t="s">
        <v>969</v>
      </c>
      <c r="C79" s="3861">
        <v>45658</v>
      </c>
      <c r="D79" s="3861">
        <v>46022</v>
      </c>
      <c r="E79" s="3862">
        <v>964.02</v>
      </c>
      <c r="F79" s="3860">
        <v>1</v>
      </c>
      <c r="G79" s="3860"/>
      <c r="H79" s="3860"/>
      <c r="I79" s="3860"/>
      <c r="J79" s="3860">
        <f t="shared" si="4"/>
        <v>1</v>
      </c>
    </row>
    <row r="80" spans="1:12">
      <c r="A80" s="3860" t="s">
        <v>229</v>
      </c>
      <c r="B80" s="3860" t="s">
        <v>970</v>
      </c>
      <c r="C80" s="3861">
        <v>45658</v>
      </c>
      <c r="D80" s="3861">
        <v>46022</v>
      </c>
      <c r="E80" s="3862">
        <v>308.24</v>
      </c>
      <c r="F80" s="3860">
        <v>1</v>
      </c>
      <c r="G80" s="3860"/>
      <c r="H80" s="3860"/>
      <c r="I80" s="3860"/>
      <c r="J80" s="3860">
        <f t="shared" si="4"/>
        <v>1</v>
      </c>
    </row>
    <row r="81" spans="1:10">
      <c r="A81" s="3860" t="s">
        <v>229</v>
      </c>
      <c r="B81" s="3860" t="s">
        <v>971</v>
      </c>
      <c r="C81" s="3861">
        <v>45658</v>
      </c>
      <c r="D81" s="3861">
        <v>46022</v>
      </c>
      <c r="E81" s="3862">
        <v>262</v>
      </c>
      <c r="F81" s="3860">
        <v>1</v>
      </c>
      <c r="G81" s="3860"/>
      <c r="H81" s="3860"/>
      <c r="I81" s="3860"/>
      <c r="J81" s="3860">
        <f t="shared" si="4"/>
        <v>1</v>
      </c>
    </row>
    <row r="82" s="3854" customFormat="1" spans="1:10">
      <c r="A82" s="3860" t="s">
        <v>889</v>
      </c>
      <c r="B82" s="3860" t="s">
        <v>972</v>
      </c>
      <c r="C82" s="3861">
        <v>45658</v>
      </c>
      <c r="D82" s="3861">
        <v>46022</v>
      </c>
      <c r="E82" s="3862">
        <v>328.4</v>
      </c>
      <c r="F82" s="3860">
        <v>0.5</v>
      </c>
      <c r="G82" s="3860"/>
      <c r="H82" s="3860"/>
      <c r="I82" s="3860"/>
      <c r="J82" s="3860">
        <f t="shared" si="4"/>
        <v>0.5</v>
      </c>
    </row>
    <row r="83" s="3854" customFormat="1" spans="1:10">
      <c r="A83" s="3860" t="s">
        <v>888</v>
      </c>
      <c r="B83" s="3860" t="s">
        <v>973</v>
      </c>
      <c r="C83" s="3861">
        <v>45658</v>
      </c>
      <c r="D83" s="3861">
        <v>46022</v>
      </c>
      <c r="E83" s="3862">
        <v>3344.85</v>
      </c>
      <c r="F83" s="3860"/>
      <c r="G83" s="3860"/>
      <c r="H83" s="3860"/>
      <c r="I83" s="3860"/>
      <c r="J83" s="3860">
        <f t="shared" si="4"/>
        <v>0</v>
      </c>
    </row>
    <row r="84" spans="1:10">
      <c r="E84" s="3856">
        <f>SUM(E70:E83)</f>
        <v>9164.41</v>
      </c>
    </row>
    <row r="85" spans="1:10">
      <c r="E85" s="3856">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9" defaultRowHeight="13.5"/>
  <cols>
    <col min="1" max="1" width="25" style="3835" customWidth="1"/>
    <col min="2" max="9" width="15.75" style="3835" customWidth="1"/>
    <col min="10" max="16384" width="9" style="3835"/>
  </cols>
  <sheetData>
    <row r="1" ht="16.5" spans="1:11">
      <c r="A1" s="3836" t="s">
        <v>974</v>
      </c>
      <c r="B1" s="3836">
        <f>SUM(B14:B23)</f>
        <v>32267.62</v>
      </c>
      <c r="C1" s="3837"/>
      <c r="D1" s="3837"/>
      <c r="E1" s="3837"/>
      <c r="F1" s="3837"/>
      <c r="G1" s="3838"/>
      <c r="H1" s="3839"/>
      <c r="I1" s="3839"/>
      <c r="J1" s="3839"/>
      <c r="K1" s="3839"/>
    </row>
    <row r="2" ht="16.5" spans="1:11">
      <c r="A2" s="3836" t="s">
        <v>975</v>
      </c>
      <c r="B2" s="3836">
        <f>SUM(C14:C23)</f>
        <v>14251.16</v>
      </c>
      <c r="C2" s="3837"/>
      <c r="D2" s="3837"/>
      <c r="E2" s="3837"/>
      <c r="F2" s="3837"/>
      <c r="G2" s="3838"/>
      <c r="H2" s="3839"/>
      <c r="I2" s="3839"/>
      <c r="J2" s="3839"/>
      <c r="K2" s="3839"/>
    </row>
    <row r="3" ht="16.5" spans="1:11">
      <c r="A3" s="3836" t="s">
        <v>976</v>
      </c>
      <c r="B3" s="3840">
        <f>项目基本情况!D3</f>
        <v>46022</v>
      </c>
      <c r="C3" s="3837"/>
      <c r="D3" s="3837"/>
      <c r="E3" s="3837"/>
      <c r="F3" s="3837"/>
      <c r="G3" s="3838"/>
      <c r="H3" s="3839"/>
      <c r="I3" s="3839"/>
      <c r="J3" s="3839"/>
      <c r="K3" s="3839"/>
    </row>
    <row r="4" ht="33" spans="1:11">
      <c r="A4" s="3836" t="s">
        <v>977</v>
      </c>
      <c r="B4" s="3836" t="s">
        <v>978</v>
      </c>
      <c r="C4" s="3836" t="s">
        <v>979</v>
      </c>
      <c r="D4" s="3836" t="s">
        <v>980</v>
      </c>
      <c r="E4" s="3837"/>
      <c r="F4" s="3838"/>
      <c r="G4" s="3838"/>
      <c r="H4" s="3839"/>
      <c r="I4" s="3839"/>
      <c r="J4" s="3839"/>
      <c r="K4" s="3839"/>
    </row>
    <row r="5" ht="16.5" spans="1:11">
      <c r="A5" s="3836" t="s">
        <v>981</v>
      </c>
      <c r="B5" s="3836">
        <f ca="1">SUM(D14:D23)</f>
        <v>93618</v>
      </c>
      <c r="C5" s="3836">
        <f ca="1">ROUND(B5*10000/$B$1,0)</f>
        <v>29013</v>
      </c>
      <c r="D5" s="3836">
        <f ca="1">ROUND(B5*10000/$B$2,0)</f>
        <v>65691</v>
      </c>
      <c r="E5" s="3837"/>
      <c r="F5" s="3838"/>
      <c r="G5" s="3838"/>
      <c r="H5" s="3839"/>
      <c r="I5" s="3839"/>
      <c r="J5" s="3839"/>
      <c r="K5" s="3839"/>
    </row>
    <row r="6" ht="16.5" spans="1:11">
      <c r="A6" s="3836" t="s">
        <v>982</v>
      </c>
      <c r="B6" s="3836">
        <f>SUM(G14:G23)</f>
        <v>0</v>
      </c>
      <c r="C6" s="3836">
        <f>ROUND(B6*10000/$B$1,0)</f>
        <v>0</v>
      </c>
      <c r="D6" s="3836">
        <f>ROUND(B6*10000/$B$2,0)</f>
        <v>0</v>
      </c>
      <c r="E6" s="3837"/>
      <c r="F6" s="3838"/>
      <c r="G6" s="3838"/>
      <c r="H6" s="3839"/>
      <c r="I6" s="3839"/>
      <c r="J6" s="3839"/>
      <c r="K6" s="3839"/>
    </row>
    <row r="7" ht="16.5" spans="1:11">
      <c r="A7" s="3836" t="s">
        <v>983</v>
      </c>
      <c r="B7" s="3836">
        <f>SUM(H14:H23)</f>
        <v>0</v>
      </c>
      <c r="C7" s="3836" t="str">
        <f ca="1">IF(B7=H14,结果表!H110,ROUND(B7*10000/$B$1,0))</f>
        <v>——</v>
      </c>
      <c r="D7" s="3836">
        <f>ROUND(B7*10000/$B$2,0)</f>
        <v>0</v>
      </c>
      <c r="E7" s="3837"/>
      <c r="F7" s="3838"/>
      <c r="G7" s="3838"/>
      <c r="H7" s="3839"/>
      <c r="I7" s="3839"/>
      <c r="J7" s="3839"/>
      <c r="K7" s="3839"/>
    </row>
    <row r="8" ht="16.5" spans="1:11">
      <c r="A8" s="3836" t="s">
        <v>381</v>
      </c>
      <c r="B8" s="3836">
        <f>SUM(I14:I23)</f>
        <v>0</v>
      </c>
      <c r="C8" s="3836" t="str">
        <f ca="1">IF(B8=I14,结果表!H112,ROUND(B8*10000/$B$1,0))</f>
        <v>——</v>
      </c>
      <c r="D8" s="3836">
        <f>ROUND(B8*10000/$B$2,0)</f>
        <v>0</v>
      </c>
      <c r="E8" s="3837"/>
      <c r="F8" s="3838"/>
      <c r="G8" s="3838"/>
      <c r="H8" s="3839"/>
      <c r="I8" s="3839"/>
      <c r="J8" s="3839"/>
      <c r="K8" s="3839"/>
    </row>
    <row r="9" ht="16.5" spans="1:11">
      <c r="A9" s="3836" t="s">
        <v>984</v>
      </c>
      <c r="B9" s="3841"/>
      <c r="C9" s="3842"/>
      <c r="D9" s="3842"/>
      <c r="E9" s="3837"/>
      <c r="F9" s="3838"/>
      <c r="G9" s="3838"/>
      <c r="H9" s="3839"/>
      <c r="I9" s="3839"/>
      <c r="J9" s="3839"/>
      <c r="K9" s="3839"/>
    </row>
    <row r="10" ht="16.5" spans="1:11">
      <c r="A10" s="3836" t="s">
        <v>985</v>
      </c>
      <c r="B10" s="3836">
        <f>IF(E10="",0,ROUND(B1*(E10*365/G10)/10000,0))</f>
        <v>0</v>
      </c>
      <c r="C10" s="3836" t="s">
        <v>986</v>
      </c>
      <c r="D10" s="3836" t="s">
        <v>985</v>
      </c>
      <c r="E10" s="3843"/>
      <c r="F10" s="3844" t="s">
        <v>987</v>
      </c>
      <c r="G10" s="3845"/>
      <c r="H10" s="3839"/>
      <c r="I10" s="3839"/>
      <c r="J10" s="3839"/>
      <c r="K10" s="3839"/>
    </row>
    <row r="11" ht="16.5" spans="1:11">
      <c r="A11" s="3836" t="s">
        <v>988</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989</v>
      </c>
      <c r="B13" s="3848" t="s">
        <v>974</v>
      </c>
      <c r="C13" s="3848" t="s">
        <v>975</v>
      </c>
      <c r="D13" s="3848" t="s">
        <v>990</v>
      </c>
      <c r="E13" s="3836" t="s">
        <v>979</v>
      </c>
      <c r="F13" s="3836" t="s">
        <v>980</v>
      </c>
      <c r="G13" s="3848" t="s">
        <v>991</v>
      </c>
      <c r="H13" s="3848" t="s">
        <v>992</v>
      </c>
      <c r="I13" s="3848" t="s">
        <v>993</v>
      </c>
      <c r="J13" s="3838"/>
      <c r="K13" s="3839"/>
    </row>
    <row r="14" ht="16.5" spans="1:11">
      <c r="A14" s="3849" t="s">
        <v>994</v>
      </c>
      <c r="B14" s="3850">
        <f>'数据-汇总表'!E31</f>
        <v>32267.62</v>
      </c>
      <c r="C14" s="3850">
        <f>'数据-汇总表'!D31</f>
        <v>14251.16</v>
      </c>
      <c r="D14" s="3850">
        <f ca="1">结果表!G19</f>
        <v>93618</v>
      </c>
      <c r="E14" s="3850">
        <f ca="1">ROUND(D14*10000/B14,0)</f>
        <v>29013</v>
      </c>
      <c r="F14" s="3850">
        <f ca="1">ROUND(D14*10000/C14,0)</f>
        <v>65691</v>
      </c>
      <c r="G14" s="3850"/>
      <c r="H14" s="3850"/>
      <c r="I14" s="3850"/>
      <c r="J14" s="3838"/>
      <c r="K14" s="3839"/>
    </row>
    <row r="15" ht="16.5" spans="1:11">
      <c r="A15" s="3849" t="s">
        <v>995</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996</v>
      </c>
      <c r="B16" s="3851"/>
      <c r="C16" s="3851"/>
      <c r="D16" s="3851"/>
      <c r="E16" s="3850" t="e">
        <f t="shared" si="0"/>
        <v>#DIV/0!</v>
      </c>
      <c r="F16" s="3850" t="e">
        <f t="shared" si="1"/>
        <v>#DIV/0!</v>
      </c>
      <c r="G16" s="3852"/>
      <c r="H16" s="3852"/>
      <c r="I16" s="3851"/>
      <c r="J16" s="3839"/>
      <c r="K16" s="3839"/>
    </row>
    <row r="17" ht="16.5" spans="1:11">
      <c r="A17" s="3849" t="s">
        <v>997</v>
      </c>
      <c r="B17" s="3851"/>
      <c r="C17" s="3851"/>
      <c r="D17" s="3851"/>
      <c r="E17" s="3850" t="e">
        <f t="shared" si="0"/>
        <v>#DIV/0!</v>
      </c>
      <c r="F17" s="3850" t="e">
        <f t="shared" si="1"/>
        <v>#DIV/0!</v>
      </c>
      <c r="G17" s="3852"/>
      <c r="H17" s="3852"/>
      <c r="I17" s="3851"/>
      <c r="J17" s="3839"/>
      <c r="K17" s="3839"/>
    </row>
    <row r="18" ht="16.5" spans="1:11">
      <c r="A18" s="3849" t="s">
        <v>998</v>
      </c>
      <c r="B18" s="3851"/>
      <c r="C18" s="3851"/>
      <c r="D18" s="3851"/>
      <c r="E18" s="3850" t="e">
        <f t="shared" si="0"/>
        <v>#DIV/0!</v>
      </c>
      <c r="F18" s="3850" t="e">
        <f t="shared" si="1"/>
        <v>#DIV/0!</v>
      </c>
      <c r="G18" s="3851"/>
      <c r="H18" s="3851"/>
      <c r="I18" s="3851"/>
      <c r="J18" s="3839"/>
      <c r="K18" s="3839"/>
    </row>
    <row r="19" ht="16.5" spans="1:11">
      <c r="A19" s="3849" t="s">
        <v>999</v>
      </c>
      <c r="B19" s="3851"/>
      <c r="C19" s="3851"/>
      <c r="D19" s="3851"/>
      <c r="E19" s="3850" t="e">
        <f t="shared" si="0"/>
        <v>#DIV/0!</v>
      </c>
      <c r="F19" s="3850" t="e">
        <f t="shared" si="1"/>
        <v>#DIV/0!</v>
      </c>
      <c r="G19" s="3851"/>
      <c r="H19" s="3851"/>
      <c r="I19" s="3851"/>
      <c r="J19" s="3839"/>
      <c r="K19" s="3839"/>
    </row>
    <row r="20" ht="16.5" spans="1:11">
      <c r="A20" s="3849" t="s">
        <v>1000</v>
      </c>
      <c r="B20" s="3851"/>
      <c r="C20" s="3851"/>
      <c r="D20" s="3851"/>
      <c r="E20" s="3850" t="e">
        <f t="shared" si="0"/>
        <v>#DIV/0!</v>
      </c>
      <c r="F20" s="3850" t="e">
        <f t="shared" si="1"/>
        <v>#DIV/0!</v>
      </c>
      <c r="G20" s="3851"/>
      <c r="H20" s="3851"/>
      <c r="I20" s="3851"/>
      <c r="J20" s="3839"/>
      <c r="K20" s="3839"/>
    </row>
    <row r="21" ht="16.5" spans="1:11">
      <c r="A21" s="3849" t="s">
        <v>1001</v>
      </c>
      <c r="B21" s="3851"/>
      <c r="C21" s="3851"/>
      <c r="D21" s="3851"/>
      <c r="E21" s="3850" t="e">
        <f t="shared" si="0"/>
        <v>#DIV/0!</v>
      </c>
      <c r="F21" s="3850" t="e">
        <f t="shared" si="1"/>
        <v>#DIV/0!</v>
      </c>
      <c r="G21" s="3851"/>
      <c r="H21" s="3851"/>
      <c r="I21" s="3851"/>
      <c r="J21" s="3839"/>
      <c r="K21" s="3839"/>
    </row>
    <row r="22" ht="16.5" spans="1:11">
      <c r="A22" s="3849" t="s">
        <v>1002</v>
      </c>
      <c r="B22" s="3851"/>
      <c r="C22" s="3851"/>
      <c r="D22" s="3851"/>
      <c r="E22" s="3850" t="e">
        <f t="shared" si="0"/>
        <v>#DIV/0!</v>
      </c>
      <c r="F22" s="3850" t="e">
        <f t="shared" si="1"/>
        <v>#DIV/0!</v>
      </c>
      <c r="G22" s="3851"/>
      <c r="H22" s="3851"/>
      <c r="I22" s="3851"/>
      <c r="J22" s="3839"/>
      <c r="K22" s="3839"/>
    </row>
    <row r="23" ht="16.5" spans="1:11">
      <c r="A23" s="3849" t="s">
        <v>1003</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9" sqref="J29"/>
    </sheetView>
  </sheetViews>
  <sheetFormatPr defaultColWidth="12.625" defaultRowHeight="21.75" customHeight="1"/>
  <cols>
    <col min="1" max="2" width="12.625" style="3443"/>
    <col min="3" max="4" width="12.625" style="3443" customWidth="1"/>
    <col min="5" max="9" width="12.625" style="3443"/>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2"/>
    <col min="36" max="16384" width="12.625" style="3443"/>
  </cols>
  <sheetData>
    <row r="1" customHeight="1" spans="1:12">
      <c r="A1" s="3444" t="s">
        <v>1004</v>
      </c>
      <c r="B1" s="3445"/>
      <c r="C1" s="3446"/>
      <c r="D1" s="3445"/>
      <c r="E1" s="3445"/>
      <c r="F1" s="3447" t="s">
        <v>1005</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1006</v>
      </c>
      <c r="B3" s="2697"/>
      <c r="C3" s="2697"/>
      <c r="D3" s="2697"/>
      <c r="E3" s="2697"/>
      <c r="F3" s="2697"/>
      <c r="G3" s="2697"/>
      <c r="H3" s="2697"/>
      <c r="I3" s="2697"/>
    </row>
    <row r="4" ht="14.25" spans="1:12">
      <c r="A4" s="3454" t="s">
        <v>1007</v>
      </c>
      <c r="B4" s="3455" t="s">
        <v>1008</v>
      </c>
      <c r="C4" s="3456" t="s">
        <v>1009</v>
      </c>
      <c r="D4" s="3456" t="s">
        <v>294</v>
      </c>
      <c r="E4" s="3457" t="s">
        <v>1010</v>
      </c>
      <c r="F4" s="3458"/>
      <c r="G4" s="3458"/>
      <c r="H4" s="3458"/>
      <c r="I4" s="3459"/>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1011</v>
      </c>
      <c r="B5" s="3460">
        <v>25</v>
      </c>
      <c r="C5" s="3461"/>
      <c r="D5" s="3462"/>
      <c r="E5" s="2701" t="s">
        <v>1012</v>
      </c>
      <c r="F5" s="3463"/>
      <c r="G5" s="3463"/>
      <c r="H5" s="3463"/>
      <c r="I5" s="3070"/>
    </row>
    <row r="6" ht="13.5" spans="1:12">
      <c r="A6" s="1205"/>
      <c r="B6" s="3460"/>
      <c r="C6" s="3464"/>
      <c r="D6" s="3462"/>
      <c r="E6" s="2701" t="s">
        <v>1013</v>
      </c>
      <c r="F6" s="3463"/>
      <c r="G6" s="3463"/>
      <c r="H6" s="3463"/>
      <c r="I6" s="3070"/>
    </row>
    <row r="7" ht="13.5" spans="1:12">
      <c r="A7" s="1205"/>
      <c r="B7" s="3460"/>
      <c r="C7" s="3465"/>
      <c r="D7" s="3462"/>
      <c r="E7" s="2701" t="s">
        <v>1014</v>
      </c>
      <c r="F7" s="3463"/>
      <c r="G7" s="3463"/>
      <c r="H7" s="3463"/>
      <c r="I7" s="3070"/>
    </row>
    <row r="8" ht="13.5" spans="1:12">
      <c r="A8" s="1205" t="s">
        <v>1015</v>
      </c>
      <c r="B8" s="3460">
        <v>15</v>
      </c>
      <c r="C8" s="3461"/>
      <c r="D8" s="3462"/>
      <c r="E8" s="2701" t="s">
        <v>1016</v>
      </c>
      <c r="F8" s="3463"/>
      <c r="G8" s="3463"/>
      <c r="H8" s="3463"/>
      <c r="I8" s="3070"/>
    </row>
    <row r="9" ht="13.5" spans="1:12">
      <c r="A9" s="1205"/>
      <c r="B9" s="3460"/>
      <c r="C9" s="3465"/>
      <c r="D9" s="3462"/>
      <c r="E9" s="2701" t="s">
        <v>1017</v>
      </c>
      <c r="F9" s="3463"/>
      <c r="G9" s="3463"/>
      <c r="H9" s="3463"/>
      <c r="I9" s="3070"/>
    </row>
    <row r="10" ht="13.5" spans="1:12">
      <c r="A10" s="1205" t="s">
        <v>1018</v>
      </c>
      <c r="B10" s="3460">
        <v>15</v>
      </c>
      <c r="C10" s="3461"/>
      <c r="D10" s="3462"/>
      <c r="E10" s="2701" t="s">
        <v>1019</v>
      </c>
      <c r="F10" s="3463"/>
      <c r="G10" s="3463"/>
      <c r="H10" s="3463"/>
      <c r="I10" s="3070"/>
    </row>
    <row r="11" ht="13.5" spans="1:12">
      <c r="A11" s="1205"/>
      <c r="B11" s="3460"/>
      <c r="C11" s="3465"/>
      <c r="D11" s="3462"/>
      <c r="E11" s="2701" t="s">
        <v>1020</v>
      </c>
      <c r="F11" s="3463"/>
      <c r="G11" s="3463"/>
      <c r="H11" s="3463"/>
      <c r="I11" s="3070"/>
    </row>
    <row r="12" ht="13.5" spans="1:12">
      <c r="A12" s="1205" t="s">
        <v>1021</v>
      </c>
      <c r="B12" s="3460">
        <v>15</v>
      </c>
      <c r="C12" s="3461"/>
      <c r="D12" s="3462"/>
      <c r="E12" s="2701" t="s">
        <v>1022</v>
      </c>
      <c r="F12" s="3463"/>
      <c r="G12" s="3463"/>
      <c r="H12" s="3463"/>
      <c r="I12" s="3070"/>
    </row>
    <row r="13" ht="13.5" spans="1:12">
      <c r="A13" s="1205"/>
      <c r="B13" s="3460"/>
      <c r="C13" s="3465"/>
      <c r="D13" s="3462"/>
      <c r="E13" s="2701" t="s">
        <v>1023</v>
      </c>
      <c r="F13" s="3463"/>
      <c r="G13" s="3463"/>
      <c r="H13" s="3463"/>
      <c r="I13" s="3070"/>
    </row>
    <row r="14" ht="13.5" spans="1:12">
      <c r="A14" s="1205" t="s">
        <v>1024</v>
      </c>
      <c r="B14" s="3460">
        <v>30</v>
      </c>
      <c r="C14" s="3461">
        <v>7</v>
      </c>
      <c r="D14" s="3462">
        <v>3</v>
      </c>
      <c r="E14" s="2701" t="s">
        <v>1025</v>
      </c>
      <c r="F14" s="3463"/>
      <c r="G14" s="3463"/>
      <c r="H14" s="3463"/>
      <c r="I14" s="3070"/>
    </row>
    <row r="15" ht="13.5" spans="1:12">
      <c r="A15" s="1205"/>
      <c r="B15" s="3460"/>
      <c r="C15" s="3464"/>
      <c r="D15" s="3462"/>
      <c r="E15" s="2701" t="s">
        <v>1026</v>
      </c>
      <c r="F15" s="3463"/>
      <c r="G15" s="3463"/>
      <c r="H15" s="3463"/>
      <c r="I15" s="3070"/>
    </row>
    <row r="16" ht="13.5" spans="1:12">
      <c r="A16" s="1205"/>
      <c r="B16" s="3460"/>
      <c r="C16" s="3465"/>
      <c r="D16" s="3462"/>
      <c r="E16" s="2701" t="s">
        <v>1027</v>
      </c>
      <c r="F16" s="3463"/>
      <c r="G16" s="3463"/>
      <c r="H16" s="3463"/>
      <c r="I16" s="3070"/>
    </row>
    <row r="17" ht="14.25" spans="1:36">
      <c r="A17" s="3466" t="s">
        <v>1028</v>
      </c>
      <c r="B17" s="1439"/>
      <c r="C17" s="3467">
        <f>SUM(C5:C16)</f>
        <v>7</v>
      </c>
      <c r="D17" s="3467">
        <f>SUM(D5:D16)</f>
        <v>3</v>
      </c>
      <c r="E17" s="2303"/>
      <c r="F17" s="2303"/>
      <c r="G17" s="2303"/>
      <c r="H17" s="2303"/>
      <c r="I17" s="2303"/>
      <c r="K17" s="1301"/>
      <c r="L17" s="1301" t="s">
        <v>1029</v>
      </c>
      <c r="M17" s="1301" t="s">
        <v>1030</v>
      </c>
    </row>
    <row r="18" ht="31.9" customHeight="1" spans="1:36">
      <c r="A18" s="3468" t="s">
        <v>1031</v>
      </c>
      <c r="B18" s="3469"/>
      <c r="C18" s="3470">
        <f>ROUND(C17/SUM(C17:D17),2)</f>
        <v>0.7</v>
      </c>
      <c r="D18" s="3470">
        <f>1-C18</f>
        <v>0.3</v>
      </c>
      <c r="E18" s="3471" t="s">
        <v>1032</v>
      </c>
      <c r="F18" s="3472"/>
      <c r="G18" s="3472"/>
      <c r="H18" s="3472"/>
      <c r="I18" s="3472"/>
      <c r="K18" s="1301" t="s">
        <v>544</v>
      </c>
      <c r="L18" s="2318">
        <f>IF(C1="",'数据-汇总表'!E3,SUMIF(项目类型,C1,'数据-汇总表'!E17:E26)+SUMIF(项目类型,C1,'数据-汇总表'!I17:I26))</f>
        <v>32267.62</v>
      </c>
      <c r="M18" s="2318">
        <f>IF(C1="",'数据-汇总表'!E3,SUMIF(项目类型,C1,'数据-汇总表'!E17:E26))</f>
        <v>32267.62</v>
      </c>
    </row>
    <row r="19" ht="14.25" spans="1:36">
      <c r="A19" s="1641" t="s">
        <v>1033</v>
      </c>
      <c r="B19" s="3473" t="s">
        <v>1034</v>
      </c>
      <c r="C19" s="3474">
        <f ca="1">SUMIF(INDIRECT("'"&amp;C4&amp;"'"&amp;"!A:A"),结果表!B19,INDIRECT("'"&amp;C4&amp;"'"&amp;"!B:B"))</f>
        <v>108126</v>
      </c>
      <c r="D19" s="3475">
        <f ca="1">SUMIF(INDIRECT("'"&amp;D4&amp;"'"&amp;"!A:A"),结果表!B19,INDIRECT("'"&amp;D4&amp;"'"&amp;"!B:B"))</f>
        <v>59766</v>
      </c>
      <c r="E19" s="1641" t="s">
        <v>1035</v>
      </c>
      <c r="F19" s="3473" t="s">
        <v>1034</v>
      </c>
      <c r="G19" s="3476">
        <f ca="1">ROUND(C19*$C$18+D19*$D$18,0)</f>
        <v>93618</v>
      </c>
      <c r="H19" s="3477" t="s">
        <v>1036</v>
      </c>
      <c r="I19" s="2303">
        <f ca="1">ROUND(C19*$C$18+D19*$D$18,4)</f>
        <v>93618</v>
      </c>
      <c r="K19" s="1301" t="s">
        <v>548</v>
      </c>
      <c r="L19" s="2318">
        <f>IF(C1="",'数据-汇总表'!D3,SUMIF(项目类型,C1,'数据-汇总表'!D17:D26)+SUMIF(项目类型,C1,'数据-汇总表'!H17:H27))</f>
        <v>14251.17</v>
      </c>
      <c r="M19" s="2318">
        <f>IF(C1="",'数据-汇总表'!D3,SUMIF(项目类型,C1,'数据-汇总表'!D17:D26))</f>
        <v>14251.17</v>
      </c>
    </row>
    <row r="20" ht="15" spans="1:36">
      <c r="A20" s="3478"/>
      <c r="B20" s="3479" t="s">
        <v>1037</v>
      </c>
      <c r="C20" s="3480">
        <f ca="1">SUMIF(INDIRECT("'"&amp;C4&amp;"'"&amp;"!A:A"),结果表!B20,INDIRECT("'"&amp;C4&amp;"'"&amp;"!B:B"))</f>
        <v>36525</v>
      </c>
      <c r="D20" s="3481">
        <f ca="1">SUMIF(INDIRECT("'"&amp;D4&amp;"'"&amp;"!A:A"),结果表!B20,INDIRECT("'"&amp;D4&amp;"'"&amp;"!B:B"))</f>
        <v>18522</v>
      </c>
      <c r="E20" s="3478"/>
      <c r="F20" s="3479" t="s">
        <v>1037</v>
      </c>
      <c r="G20" s="2057">
        <f ca="1">ROUND(C20*$C$18+D20*$D$18,0)</f>
        <v>31124</v>
      </c>
      <c r="H20" s="768" t="s">
        <v>1038</v>
      </c>
      <c r="I20" s="2303"/>
    </row>
    <row r="21" ht="15" customHeight="1" spans="1:36">
      <c r="A21" s="1652"/>
      <c r="B21" s="3482" t="s">
        <v>1039</v>
      </c>
      <c r="C21" s="3483">
        <f ca="1">SUMIF(INDIRECT("'"&amp;C4&amp;"'"&amp;"!A:A"),结果表!B21,INDIRECT("'"&amp;C4&amp;"'"&amp;"!B:B"))</f>
        <v>0</v>
      </c>
      <c r="D21" s="3484">
        <f ca="1">SUMIF(INDIRECT("'"&amp;D4&amp;"'"&amp;"!A:A"),结果表!B21,INDIRECT("'"&amp;D4&amp;"'"&amp;"!B:B"))</f>
        <v>0</v>
      </c>
      <c r="E21" s="3478"/>
      <c r="F21" s="3485" t="s">
        <v>1040</v>
      </c>
      <c r="G21" s="2057">
        <f ca="1">ROUND(C21*$C$18+D21*$D$18,0)</f>
        <v>0</v>
      </c>
      <c r="H21" s="768" t="s">
        <v>1038</v>
      </c>
      <c r="I21" s="2303"/>
      <c r="J21" s="2217">
        <v>97285</v>
      </c>
      <c r="K21" s="2217">
        <v>29905</v>
      </c>
    </row>
    <row r="22" ht="15" spans="1:36">
      <c r="A22" s="3486" t="s">
        <v>1041</v>
      </c>
      <c r="B22" s="3487"/>
      <c r="C22" s="3488"/>
      <c r="D22" s="3489">
        <f ca="1">IF(C19&lt;D19,D19/C19-1,C19/D19-1)</f>
        <v>0.809155707258307</v>
      </c>
      <c r="E22" s="3490"/>
      <c r="F22" s="3491"/>
      <c r="G22" s="3492">
        <f ca="1">ROUND(G19/('数据-汇总表'!D3/666.67),0)</f>
        <v>4379</v>
      </c>
      <c r="H22" s="3493" t="s">
        <v>1042</v>
      </c>
      <c r="I22" s="2303"/>
      <c r="J22" s="2217">
        <f ca="1">G19-J21</f>
        <v>-3667</v>
      </c>
      <c r="K22" s="2217">
        <f ca="1">I118</f>
        <v>29013</v>
      </c>
    </row>
    <row r="23" ht="14.25" spans="1:36">
      <c r="A23" s="3445"/>
      <c r="B23" s="3445"/>
      <c r="C23" s="3445"/>
      <c r="D23" s="3445"/>
      <c r="E23" s="2303"/>
      <c r="F23" s="2303"/>
      <c r="G23" s="2303"/>
      <c r="H23" s="2303"/>
      <c r="I23" s="2303"/>
    </row>
    <row r="24" ht="14.25" spans="1:36">
      <c r="A24" s="1446" t="s">
        <v>1043</v>
      </c>
      <c r="B24" s="3473" t="s">
        <v>1034</v>
      </c>
      <c r="C24" s="3476">
        <f>IF(B30=0,0,D30)</f>
        <v>0</v>
      </c>
      <c r="D24" s="3494"/>
      <c r="E24" s="2303"/>
      <c r="F24" s="2303"/>
      <c r="G24" s="2303"/>
      <c r="H24" s="2303"/>
      <c r="I24" s="2303"/>
    </row>
    <row r="25" ht="14.25" spans="1:36">
      <c r="A25" s="3495"/>
      <c r="B25" s="3496" t="s">
        <v>1044</v>
      </c>
      <c r="C25" s="3497">
        <f>IF(B30=0,0,C30)</f>
        <v>0</v>
      </c>
      <c r="D25" s="3498"/>
      <c r="E25" s="2303"/>
      <c r="F25" s="2303"/>
      <c r="G25" s="2303"/>
      <c r="H25" s="2303"/>
      <c r="I25" s="2303"/>
    </row>
    <row r="26" ht="13.5" customHeight="1" spans="1:36">
      <c r="A26" s="3499" t="s">
        <v>1045</v>
      </c>
      <c r="B26" s="3500" t="s">
        <v>1046</v>
      </c>
      <c r="C26" s="3500" t="s">
        <v>1047</v>
      </c>
      <c r="D26" s="3501" t="s">
        <v>1048</v>
      </c>
      <c r="E26" s="2303"/>
      <c r="F26" s="2303"/>
      <c r="G26" s="2303"/>
      <c r="H26" s="2303"/>
      <c r="I26" s="2303"/>
    </row>
    <row r="27" ht="14.25" spans="1:36">
      <c r="A27" s="3499"/>
      <c r="B27" s="3502">
        <v>0</v>
      </c>
      <c r="C27" s="3502">
        <v>0</v>
      </c>
      <c r="D27" s="3503">
        <f>ROUND(C27*B27/10000,0)</f>
        <v>0</v>
      </c>
      <c r="E27" s="2303"/>
      <c r="F27" s="2303"/>
      <c r="G27" s="2303"/>
      <c r="H27" s="2303"/>
      <c r="I27" s="2303"/>
    </row>
    <row r="28" ht="14.25" spans="1:36">
      <c r="A28" s="3499"/>
      <c r="B28" s="3502"/>
      <c r="C28" s="3502"/>
      <c r="D28" s="3503"/>
      <c r="E28" s="2303"/>
      <c r="F28" s="2303"/>
      <c r="G28" s="2303"/>
      <c r="H28" s="2303"/>
      <c r="I28" s="2303"/>
    </row>
    <row r="29" ht="14.25" spans="1:36">
      <c r="A29" s="3499"/>
      <c r="B29" s="3502"/>
      <c r="C29" s="3502"/>
      <c r="D29" s="3503"/>
      <c r="E29" s="2303"/>
      <c r="F29" s="2303"/>
      <c r="G29" s="2303"/>
      <c r="H29" s="2303"/>
      <c r="I29" s="2303"/>
    </row>
    <row r="30" ht="15" spans="1:36">
      <c r="A30" s="3500" t="s">
        <v>1049</v>
      </c>
      <c r="B30" s="3502"/>
      <c r="C30" s="3502"/>
      <c r="D30" s="3502"/>
      <c r="E30" s="3504" t="s">
        <v>1050</v>
      </c>
      <c r="F30" s="2303"/>
      <c r="G30" s="2303"/>
      <c r="H30" s="2303"/>
      <c r="I30" s="2303"/>
    </row>
    <row r="31" s="3439" customFormat="1" ht="26.45" customHeight="1" spans="1:36">
      <c r="A31" s="3505"/>
      <c r="B31" s="3506"/>
      <c r="C31" s="3506"/>
      <c r="D31" s="3506"/>
      <c r="E31" s="3506"/>
      <c r="F31" s="3506"/>
      <c r="G31" s="3506"/>
      <c r="H31" s="3506"/>
      <c r="I31" s="3507" t="s">
        <v>1051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1052</v>
      </c>
      <c r="B32" s="3512"/>
      <c r="C32" s="3513">
        <f ca="1">IF(D32="总价",G19-C24,G20-C25)</f>
        <v>93618</v>
      </c>
      <c r="D32" s="3514" t="s">
        <v>1053</v>
      </c>
      <c r="E32" s="2303"/>
      <c r="F32" s="2303"/>
      <c r="G32" s="2303"/>
      <c r="H32" s="2303"/>
      <c r="I32" s="2303"/>
    </row>
    <row r="33" ht="15" spans="1:19">
      <c r="A33" s="3515" t="s">
        <v>1054</v>
      </c>
      <c r="B33" s="3516"/>
      <c r="C33" s="3517" t="s">
        <v>1055</v>
      </c>
      <c r="D33" s="3518"/>
      <c r="E33" s="3519" t="s">
        <v>1056</v>
      </c>
      <c r="F33" s="3520" t="str">
        <f>IF(D32="楼面单价","取值（单价）","取值（总价）")</f>
        <v>取值（总价）</v>
      </c>
      <c r="G33" s="2303"/>
      <c r="H33" s="2303"/>
      <c r="I33" s="2303"/>
    </row>
    <row r="34" ht="15" spans="1:19">
      <c r="A34" s="3521"/>
      <c r="B34" s="3522" t="s">
        <v>1057</v>
      </c>
      <c r="C34" s="3523">
        <f ca="1">IF(C33="自定义",F34,C32-C35)</f>
        <v>60103</v>
      </c>
      <c r="D34" s="3524">
        <f ca="1">IF(C33="自定义",ROUND(C34/C32,3),IF(C33="收益比率",SUMIF(INDIRECT("'"&amp;D33&amp;"'"&amp;"!b:b"),"土地收益比率",INDIRECT("'"&amp;D33&amp;"'"&amp;"!c:c")),SUMIF(INDIRECT("'"&amp;D33&amp;"'"&amp;"!b:b"),"土地成本比率",INDIRECT("'"&amp;D33&amp;"'"&amp;"!c:c"))))</f>
        <v>0.642</v>
      </c>
      <c r="E34" s="3525" t="s">
        <v>1058</v>
      </c>
      <c r="F34" s="3526">
        <f ca="1">G19-F35</f>
        <v>60103</v>
      </c>
      <c r="G34" s="2303"/>
      <c r="H34" s="2303"/>
      <c r="I34" s="2303"/>
    </row>
    <row r="35" ht="15.75" spans="1:19">
      <c r="A35" s="3527"/>
      <c r="B35" s="3528" t="s">
        <v>1059</v>
      </c>
      <c r="C35" s="3529">
        <f ca="1">IF(C33="自定义",F35,ROUND(C32*D35,0))</f>
        <v>33515</v>
      </c>
      <c r="D35" s="3530">
        <f ca="1">IF(C33="自定义",ROUND(C35/C32,3),IF(C33="收益比率",SUMIF(INDIRECT("'"&amp;D33&amp;"'"&amp;"!b:b"),"建筑物收益比率",INDIRECT("'"&amp;D33&amp;"'"&amp;"!c:c")),SUMIF(INDIRECT("'"&amp;D33&amp;"'"&amp;"!b:b"),"建筑物成本比率",INDIRECT("'"&amp;D33&amp;"'"&amp;"!c:c"))))</f>
        <v>0.358</v>
      </c>
      <c r="E35" s="3531" t="s">
        <v>1060</v>
      </c>
      <c r="F35" s="3532">
        <f ca="1">ROUND(G19*收益法办公!C92,0)</f>
        <v>33515</v>
      </c>
      <c r="G35" s="2303"/>
      <c r="H35" s="2303"/>
      <c r="I35" s="2303"/>
    </row>
    <row r="36" ht="15.75" spans="1:19">
      <c r="A36" s="3533" t="s">
        <v>1061</v>
      </c>
      <c r="B36" s="3534" t="s">
        <v>1062</v>
      </c>
      <c r="C36" s="3535"/>
      <c r="D36" s="3536"/>
      <c r="E36" s="3537"/>
      <c r="F36" s="3538"/>
      <c r="G36" s="2303"/>
      <c r="H36" s="2303"/>
      <c r="I36" s="2303"/>
    </row>
    <row r="37" ht="15.75" spans="1:19">
      <c r="A37" s="3539"/>
      <c r="B37" s="1445" t="s">
        <v>1063</v>
      </c>
      <c r="C37" s="3540"/>
      <c r="D37" s="3541"/>
      <c r="E37" s="3541"/>
      <c r="F37" s="3538"/>
      <c r="G37" s="2303"/>
      <c r="H37" s="2303"/>
      <c r="I37" s="2303"/>
    </row>
    <row r="38" ht="15.75" spans="1:19">
      <c r="A38" s="3542"/>
      <c r="B38" s="3543" t="s">
        <v>1064</v>
      </c>
      <c r="C38" s="3544"/>
      <c r="D38" s="3545" t="s">
        <v>1065</v>
      </c>
      <c r="E38" s="3541"/>
      <c r="F38" s="3538"/>
      <c r="G38" s="2303"/>
      <c r="H38" s="2303"/>
      <c r="I38" s="2303"/>
    </row>
    <row r="39" ht="14.25" spans="1:19">
      <c r="A39" s="3478" t="s">
        <v>1066</v>
      </c>
      <c r="B39" s="3546" t="s">
        <v>1046</v>
      </c>
      <c r="C39" s="3547" t="s">
        <v>1047</v>
      </c>
      <c r="D39" s="3547" t="s">
        <v>1067</v>
      </c>
      <c r="E39" s="3548" t="s">
        <v>1048</v>
      </c>
      <c r="F39" s="3538"/>
      <c r="G39" s="2303"/>
      <c r="H39" s="2303"/>
      <c r="I39" s="2303"/>
    </row>
    <row r="40" ht="14.25" spans="1:19">
      <c r="A40" s="3549" t="s">
        <v>1068</v>
      </c>
      <c r="B40" s="3550"/>
      <c r="C40" s="3551"/>
      <c r="D40" s="3551"/>
      <c r="E40" s="3552"/>
      <c r="F40" s="3538"/>
      <c r="G40" s="2303"/>
      <c r="H40" s="2303"/>
      <c r="I40" s="2303"/>
    </row>
    <row r="41" ht="14.25" spans="1:19">
      <c r="A41" s="3549" t="s">
        <v>1069</v>
      </c>
      <c r="B41" s="3550"/>
      <c r="C41" s="3551"/>
      <c r="D41" s="3551"/>
      <c r="E41" s="3552"/>
      <c r="F41" s="3538"/>
      <c r="G41" s="2303"/>
      <c r="H41" s="2303"/>
      <c r="I41" s="2303"/>
    </row>
    <row r="42" ht="15" spans="1:19">
      <c r="A42" s="3553"/>
      <c r="B42" s="3554"/>
      <c r="C42" s="3555"/>
      <c r="D42" s="3555"/>
      <c r="E42" s="3532"/>
      <c r="F42" s="3538"/>
      <c r="G42" s="2303"/>
      <c r="H42" s="2303"/>
      <c r="I42" s="2303"/>
    </row>
    <row r="43" ht="13.5" spans="1:19">
      <c r="A43" s="3556"/>
      <c r="B43" s="3556"/>
      <c r="C43" s="3556"/>
      <c r="D43" s="3556"/>
      <c r="E43" s="3556"/>
      <c r="F43" s="3557"/>
      <c r="G43" s="3557"/>
      <c r="H43" s="3557"/>
      <c r="I43" s="3558"/>
    </row>
    <row r="44" ht="18.75" spans="1:19">
      <c r="A44" s="3559" t="s">
        <v>1070</v>
      </c>
      <c r="B44" s="3560"/>
      <c r="C44" s="3560"/>
      <c r="D44" s="3561"/>
      <c r="E44" s="3561"/>
      <c r="F44" s="3562"/>
      <c r="G44" s="3562"/>
      <c r="H44" s="3562"/>
      <c r="I44" s="3562"/>
      <c r="J44" s="3563" t="s">
        <v>1071</v>
      </c>
      <c r="K44" s="939"/>
      <c r="L44" s="939"/>
      <c r="M44" s="939"/>
      <c r="N44" s="939"/>
      <c r="O44" s="939"/>
    </row>
    <row r="45" ht="14.25" customHeight="1" spans="1:19">
      <c r="A45" s="3564" t="s">
        <v>1072</v>
      </c>
      <c r="B45" s="3565"/>
      <c r="C45" s="3566"/>
      <c r="D45" s="2642">
        <f ca="1">ROUND(H101*F45,0)</f>
        <v>93618</v>
      </c>
      <c r="E45" s="3567" t="s">
        <v>1073</v>
      </c>
      <c r="F45" s="3568">
        <v>1</v>
      </c>
      <c r="G45" s="3569" t="s">
        <v>1074</v>
      </c>
      <c r="H45" s="2303"/>
      <c r="I45" s="2303"/>
      <c r="J45" s="3570" t="s">
        <v>1075</v>
      </c>
      <c r="K45" s="3570"/>
      <c r="L45" s="3570"/>
      <c r="M45" s="3570"/>
      <c r="N45" s="3570"/>
      <c r="O45" s="3570"/>
    </row>
    <row r="46" ht="14.25" customHeight="1" spans="1:19">
      <c r="A46" s="3571" t="s">
        <v>1076</v>
      </c>
      <c r="B46" s="3572"/>
      <c r="C46" s="3572"/>
      <c r="D46" s="3572"/>
      <c r="E46" s="3572"/>
      <c r="F46" s="3572"/>
      <c r="G46" s="3573"/>
      <c r="H46" s="3574"/>
      <c r="I46" s="2304"/>
      <c r="J46" s="967">
        <v>1</v>
      </c>
      <c r="K46" s="3575" t="s">
        <v>1077</v>
      </c>
      <c r="L46" s="3575"/>
      <c r="M46" s="3576"/>
      <c r="N46" s="3576"/>
      <c r="O46" s="3576"/>
    </row>
    <row r="47" ht="12" customHeight="1" spans="1:19">
      <c r="A47" s="3577" t="s">
        <v>1078</v>
      </c>
      <c r="B47" s="3578"/>
      <c r="C47" s="3579"/>
      <c r="D47" s="2681" t="s">
        <v>1079</v>
      </c>
      <c r="E47" s="1301" t="s">
        <v>1080</v>
      </c>
      <c r="F47" s="3268" t="s">
        <v>1081</v>
      </c>
      <c r="G47" s="3580" t="s">
        <v>1082</v>
      </c>
      <c r="H47" s="3581"/>
      <c r="I47" s="2304"/>
      <c r="J47" s="967">
        <v>2</v>
      </c>
      <c r="K47" s="3575" t="s">
        <v>1083</v>
      </c>
      <c r="L47" s="3575"/>
      <c r="M47" s="3582">
        <f>'数据-取费表'!B2</f>
        <v>46022</v>
      </c>
      <c r="N47" s="3582"/>
      <c r="O47" s="3582"/>
    </row>
    <row r="48" ht="24.75" spans="1:19">
      <c r="A48" s="3583" t="s">
        <v>1084</v>
      </c>
      <c r="B48" s="2321"/>
      <c r="C48" s="2321"/>
      <c r="D48" s="3584">
        <f ca="1">ROUND(IF(H48="情况1",0,IF(H48="情况2",D52,IF(H48="情况3",D53,IF(H48="情况4",D54))))*(1+'数据-取费表'!B44),0)</f>
        <v>0</v>
      </c>
      <c r="E48" s="2321" t="str">
        <f>IF(H48="情况4","(销售额-原购置价)×税（费）率","销售额×税（费）率")</f>
        <v>销售额×税（费）率</v>
      </c>
      <c r="F48" s="3585">
        <f>IF(H48="情况1","免征",'数据-取费表'!B42)</f>
        <v>0</v>
      </c>
      <c r="G48" s="3586" t="s">
        <v>1085</v>
      </c>
      <c r="H48" s="3587"/>
      <c r="I48" s="3574"/>
      <c r="J48" s="967">
        <v>3</v>
      </c>
      <c r="K48" s="3575" t="s">
        <v>1086</v>
      </c>
      <c r="L48" s="3575"/>
      <c r="M48" s="3588">
        <f ca="1">H101</f>
        <v>93618</v>
      </c>
      <c r="N48" s="3588"/>
      <c r="O48" s="3588"/>
      <c r="R48" s="3589" t="s">
        <v>1087</v>
      </c>
      <c r="S48" s="3590"/>
    </row>
    <row r="49" ht="25.5" customHeight="1" spans="1:35">
      <c r="A49" s="3583" t="s">
        <v>1088</v>
      </c>
      <c r="B49" s="2686" t="s">
        <v>1089</v>
      </c>
      <c r="C49" s="2686"/>
      <c r="D49" s="3591">
        <v>0</v>
      </c>
      <c r="E49" s="2705" t="s">
        <v>1090</v>
      </c>
      <c r="F49" s="3592" t="s">
        <v>124</v>
      </c>
      <c r="G49" s="3593"/>
      <c r="H49" s="3594" t="s">
        <v>1091</v>
      </c>
      <c r="I49" s="3595"/>
      <c r="J49" s="967">
        <v>4</v>
      </c>
      <c r="K49" s="3575" t="str">
        <f>IF(项目基本情况!E8="房地产抵押价值","房地产抵押价值","抵押担保权已注销时的房地产抵押价值")</f>
        <v>房地产抵押价值</v>
      </c>
      <c r="L49" s="3575"/>
      <c r="M49" s="3588">
        <f ca="1">IF(项目基本情况!E8="房地产抵押价值",H107,H109)</f>
        <v>93618</v>
      </c>
      <c r="N49" s="3588"/>
      <c r="O49" s="3588"/>
      <c r="R49" s="3596" t="s">
        <v>1092</v>
      </c>
      <c r="S49" s="3589" t="s">
        <v>1093</v>
      </c>
    </row>
    <row r="50" ht="25.5" customHeight="1" spans="1:35">
      <c r="A50" s="3597"/>
      <c r="B50" s="2686" t="s">
        <v>1094</v>
      </c>
      <c r="C50" s="2686"/>
      <c r="D50" s="3598"/>
      <c r="E50" s="2721"/>
      <c r="F50" s="3592"/>
      <c r="G50" s="3599"/>
      <c r="H50" s="3600" t="s">
        <v>1095</v>
      </c>
      <c r="I50" s="3595"/>
      <c r="J50" s="3570" t="s">
        <v>1096</v>
      </c>
      <c r="K50" s="3570"/>
      <c r="L50" s="3570"/>
      <c r="M50" s="3570"/>
      <c r="N50" s="3570"/>
      <c r="O50" s="3570"/>
      <c r="R50" s="3596" t="s">
        <v>1097</v>
      </c>
      <c r="S50" s="3589" t="s">
        <v>1098</v>
      </c>
    </row>
    <row r="51" ht="20.45" customHeight="1" spans="1:35">
      <c r="A51" s="3601"/>
      <c r="B51" s="2686" t="s">
        <v>1099</v>
      </c>
      <c r="C51" s="2686"/>
      <c r="D51" s="2637"/>
      <c r="E51" s="2710"/>
      <c r="F51" s="3592"/>
      <c r="G51" s="3602"/>
      <c r="H51" s="3600" t="s">
        <v>1100</v>
      </c>
      <c r="I51" s="3595"/>
      <c r="J51" s="3575" t="s">
        <v>1101</v>
      </c>
      <c r="K51" s="3575" t="s">
        <v>1102</v>
      </c>
      <c r="L51" s="3575"/>
      <c r="M51" s="3575" t="s">
        <v>1103</v>
      </c>
      <c r="N51" s="3575" t="s">
        <v>1104</v>
      </c>
      <c r="O51" s="3575" t="s">
        <v>1105</v>
      </c>
      <c r="R51" s="3596" t="s">
        <v>1106</v>
      </c>
      <c r="S51" s="3590" t="s">
        <v>1107</v>
      </c>
    </row>
    <row r="52" ht="24" customHeight="1" spans="1:35">
      <c r="A52" s="3603" t="s">
        <v>1108</v>
      </c>
      <c r="B52" s="2686" t="s">
        <v>1109</v>
      </c>
      <c r="C52" s="2686"/>
      <c r="D52" s="2637">
        <f ca="1">ROUND(D45*F52/(1+F52),0)</f>
        <v>2727</v>
      </c>
      <c r="E52" s="2321" t="s">
        <v>1110</v>
      </c>
      <c r="F52" s="3604">
        <v>0.03</v>
      </c>
      <c r="G52" s="3605" t="s">
        <v>1111</v>
      </c>
      <c r="H52" s="1337"/>
      <c r="I52" s="3606"/>
      <c r="J52" s="967">
        <v>1</v>
      </c>
      <c r="K52" s="967" t="s">
        <v>1112</v>
      </c>
      <c r="L52" s="967"/>
      <c r="M52" s="3607">
        <f ca="1">IF(D48&lt;=0,0,D48)</f>
        <v>0</v>
      </c>
      <c r="N52" s="967" t="str">
        <f>E48</f>
        <v>销售额×税（费）率</v>
      </c>
      <c r="O52" s="3608">
        <f>F48</f>
        <v>0</v>
      </c>
      <c r="R52" s="3589" t="s">
        <v>375</v>
      </c>
      <c r="S52" s="3589" t="s">
        <v>1113</v>
      </c>
    </row>
    <row r="53" ht="12" customHeight="1" spans="1:35">
      <c r="A53" s="3603" t="s">
        <v>1114</v>
      </c>
      <c r="B53" s="2685" t="s">
        <v>1115</v>
      </c>
      <c r="C53" s="3609"/>
      <c r="D53" s="2637">
        <f ca="1">IF(G53="2016年5月1日之前项目",ROUND(D45*F53/(1+F53),0),H63)</f>
        <v>7730</v>
      </c>
      <c r="E53" s="2321" t="str">
        <f>IF(G53="2016年5月1日之前项目","全额计税","进销项计算")</f>
        <v>进销项计算</v>
      </c>
      <c r="F53" s="3604">
        <f>IF(G53="2016年5月1日之前项目",5%,9%)</f>
        <v>0.09</v>
      </c>
      <c r="G53" s="3610"/>
      <c r="H53" s="1337"/>
      <c r="I53" s="3606"/>
      <c r="J53" s="967">
        <v>2</v>
      </c>
      <c r="K53" s="967" t="s">
        <v>1116</v>
      </c>
      <c r="L53" s="967"/>
      <c r="M53" s="3607">
        <f ca="1" t="shared" ref="M53:O54" si="0">D55</f>
        <v>47</v>
      </c>
      <c r="N53" s="967" t="str">
        <f t="shared" si="0"/>
        <v>销售额×税（费）率</v>
      </c>
      <c r="O53" s="3608" t="str">
        <f t="shared" si="0"/>
        <v>免征</v>
      </c>
      <c r="R53" s="3589" t="s">
        <v>1117</v>
      </c>
      <c r="S53" s="3590" t="s">
        <v>1118</v>
      </c>
    </row>
    <row r="54" ht="12" customHeight="1" spans="1:35">
      <c r="A54" s="3603" t="s">
        <v>1119</v>
      </c>
      <c r="B54" s="2685" t="s">
        <v>1120</v>
      </c>
      <c r="C54" s="3609"/>
      <c r="D54" s="2637">
        <f ca="1">IF(G54="2016年5月1日之前项目",C68,H63)</f>
        <v>7730</v>
      </c>
      <c r="E54" s="3611" t="str">
        <f>IF(G54="2016年5月1日之前项目","差额计税","进销项计算")</f>
        <v>进销项计算</v>
      </c>
      <c r="F54" s="3604">
        <f>IF(G54="2016年5月1日之前项目",5%,9%)</f>
        <v>0.09</v>
      </c>
      <c r="G54" s="3610"/>
      <c r="H54" s="3612"/>
      <c r="I54" s="3606"/>
      <c r="J54" s="967">
        <v>3</v>
      </c>
      <c r="K54" s="967" t="s">
        <v>1121</v>
      </c>
      <c r="L54" s="967"/>
      <c r="M54" s="3607" t="e">
        <f ca="1" t="shared" si="0"/>
        <v>#VALUE!</v>
      </c>
      <c r="N54" s="967" t="str">
        <f t="shared" si="0"/>
        <v>增值额×税（费）率</v>
      </c>
      <c r="O54" s="3613" t="str">
        <f t="shared" si="0"/>
        <v>免征</v>
      </c>
      <c r="P54" s="2303"/>
      <c r="R54" s="3596" t="s">
        <v>1122</v>
      </c>
      <c r="S54" s="3590" t="s">
        <v>1123</v>
      </c>
    </row>
    <row r="55" ht="24" customHeight="1" spans="1:35">
      <c r="A55" s="3603" t="s">
        <v>1124</v>
      </c>
      <c r="B55" s="2321"/>
      <c r="C55" s="2321"/>
      <c r="D55" s="3584">
        <f ca="1">IF(H55="个人住宅",0,ROUND(D45*I55,0))</f>
        <v>47</v>
      </c>
      <c r="E55" s="2321" t="s">
        <v>1125</v>
      </c>
      <c r="F55" s="3604" t="str">
        <f>IF(H55="正常",I55,"免征")</f>
        <v>免征</v>
      </c>
      <c r="G55" s="1302"/>
      <c r="H55" s="3587"/>
      <c r="I55" s="3614">
        <f>'数据-取费表'!B50</f>
        <v>0.0005</v>
      </c>
      <c r="J55" s="967">
        <f>IF(H59="非个人房产","",4)</f>
        <v>4</v>
      </c>
      <c r="K55" s="967" t="str">
        <f>IF(H59="非个人房产","——","个人所得税")</f>
        <v>个人所得税</v>
      </c>
      <c r="L55" s="967"/>
      <c r="M55" s="3615">
        <f ca="1">D59</f>
        <v>936</v>
      </c>
      <c r="N55" s="942" t="str">
        <f>E59</f>
        <v>差额计税</v>
      </c>
      <c r="O55" s="3616">
        <f>F59</f>
        <v>0.01</v>
      </c>
      <c r="R55" s="3596" t="s">
        <v>1126</v>
      </c>
      <c r="S55" s="3590" t="s">
        <v>1127</v>
      </c>
    </row>
    <row r="56" ht="24.75" spans="1:35">
      <c r="A56" s="3603" t="s">
        <v>1128</v>
      </c>
      <c r="B56" s="2321"/>
      <c r="C56" s="2321"/>
      <c r="D56" s="3584" t="e">
        <f ca="1">IF(H56="个人住宅",D57,IF(H56="正常",D58,ROUND(D45*F56,0)))</f>
        <v>#VALUE!</v>
      </c>
      <c r="E56" s="2321" t="s">
        <v>1129</v>
      </c>
      <c r="F56" s="3604" t="str">
        <f>IF(H56="正常",F58,IF(H56="按预征率计算",5%,"免征"))</f>
        <v>免征</v>
      </c>
      <c r="G56" s="3617" t="s">
        <v>1130</v>
      </c>
      <c r="H56" s="3618"/>
      <c r="I56" s="3619"/>
      <c r="J56" s="967" t="str">
        <f>IF(项目基本情况!K6="上海银行",IF(J55="",4,J55+1),"")</f>
        <v/>
      </c>
      <c r="K56" s="2688" t="str">
        <f>IF(项目基本情况!K6="上海银行","其他处置费用","")</f>
        <v/>
      </c>
      <c r="L56" s="789"/>
      <c r="M56" s="3607" t="str">
        <f ca="1">IF(项目基本情况!K6="上海银行",M69,"")</f>
        <v/>
      </c>
      <c r="N56" s="2688" t="str">
        <f>IF(项目基本情况!K6="上海银行","包含处置中涉及的律师、诉讼、拍卖、评估等费用","")</f>
        <v/>
      </c>
      <c r="O56" s="2650"/>
      <c r="R56" s="3590"/>
      <c r="S56" s="3590" t="s">
        <v>1131</v>
      </c>
    </row>
    <row r="57" ht="13.5" spans="1:35">
      <c r="A57" s="3603" t="s">
        <v>1088</v>
      </c>
      <c r="B57" s="2685" t="s">
        <v>1132</v>
      </c>
      <c r="C57" s="3609"/>
      <c r="D57" s="3591">
        <v>0</v>
      </c>
      <c r="E57" s="2705" t="s">
        <v>1090</v>
      </c>
      <c r="F57" s="1301"/>
      <c r="G57" s="1302"/>
      <c r="H57" s="3620"/>
      <c r="I57" s="3619"/>
      <c r="J57" s="967">
        <f>IF(AND(J55="",J56=""),4,IF(项目基本情况!K6="上海银行",结果表!J56+1,结果表!J55+1))</f>
        <v>5</v>
      </c>
      <c r="K57" s="967" t="s">
        <v>1133</v>
      </c>
      <c r="L57" s="3621" t="s">
        <v>1134</v>
      </c>
      <c r="M57" s="3622"/>
      <c r="N57" s="3623">
        <f ca="1">SUMIF(M52:M56,"&lt;9e307")</f>
        <v>983</v>
      </c>
      <c r="O57" s="3624"/>
      <c r="P57" s="3625">
        <f ca="1">N57/M49</f>
        <v>0.0105001174987716</v>
      </c>
      <c r="R57" s="3626" t="s">
        <v>1135</v>
      </c>
      <c r="S57" s="3627"/>
    </row>
    <row r="58" ht="24.75" spans="1:35">
      <c r="A58" s="3603" t="s">
        <v>1108</v>
      </c>
      <c r="B58" s="2685" t="s">
        <v>1136</v>
      </c>
      <c r="C58" s="2686"/>
      <c r="D58" s="3584">
        <f ca="1">IF(H58="转让取得",C81,C97)</f>
        <v>41741</v>
      </c>
      <c r="E58" s="2321" t="s">
        <v>1129</v>
      </c>
      <c r="F58" s="1301" t="s">
        <v>124</v>
      </c>
      <c r="G58" s="1302"/>
      <c r="H58" s="3618"/>
      <c r="I58" s="3619"/>
      <c r="J58" s="967"/>
      <c r="K58" s="967"/>
      <c r="L58" s="3621" t="s">
        <v>1137</v>
      </c>
      <c r="M58" s="3628"/>
      <c r="N58" s="3629" t="str">
        <f ca="1">NUMBERSTRING(INT(N57*10000),2)&amp;"元整"</f>
        <v>玖佰捌拾叁万元整</v>
      </c>
      <c r="O58" s="3630"/>
      <c r="R58" s="3631"/>
      <c r="S58" s="3632"/>
    </row>
    <row r="59" ht="24.75" spans="1:35">
      <c r="A59" s="3633" t="s">
        <v>1138</v>
      </c>
      <c r="B59" s="3634"/>
      <c r="C59" s="3634"/>
      <c r="D59" s="3635">
        <f ca="1">IF(H59="非个人房产","——",IF(H59="个人住宅（满五唯一有凭证）",0,IF(H59="个人其他（无凭证）",ROUND(D45/(1+'数据-取费表'!C43)*F59,0),ROUND(C67*F59,0))))</f>
        <v>936</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1130</v>
      </c>
      <c r="H59" s="3638"/>
      <c r="I59" s="3639" t="s">
        <v>1139</v>
      </c>
      <c r="J59" s="942">
        <f>J57+1</f>
        <v>6</v>
      </c>
      <c r="K59" s="967" t="s">
        <v>1140</v>
      </c>
      <c r="L59" s="967" t="s">
        <v>1134</v>
      </c>
      <c r="M59" s="3640"/>
      <c r="N59" s="3641">
        <f ca="1">M49-N57</f>
        <v>92635</v>
      </c>
      <c r="O59" s="3642"/>
      <c r="R59" s="3589" t="s">
        <v>1141</v>
      </c>
      <c r="S59" s="3589" t="s">
        <v>1142</v>
      </c>
    </row>
    <row r="60" ht="12" customHeight="1" spans="1:35">
      <c r="A60" s="3643"/>
      <c r="B60" s="3445"/>
      <c r="C60" s="3445"/>
      <c r="D60" s="3445"/>
      <c r="E60" s="3644"/>
      <c r="F60" s="3619"/>
      <c r="G60" s="3619"/>
      <c r="H60" s="3645"/>
      <c r="I60" s="2303"/>
      <c r="J60" s="947"/>
      <c r="K60" s="967"/>
      <c r="L60" s="3621" t="s">
        <v>1137</v>
      </c>
      <c r="M60" s="3628"/>
      <c r="N60" s="3629" t="str">
        <f ca="1">NUMBERSTRING(INT(N59*10000),2)&amp;"元整"</f>
        <v>玖亿贰仟陆佰叁拾伍万元整</v>
      </c>
      <c r="O60" s="3630"/>
      <c r="R60" s="3589" t="s">
        <v>1143</v>
      </c>
      <c r="S60" s="3589" t="s">
        <v>1144</v>
      </c>
    </row>
    <row r="61" ht="14.25" spans="1:35">
      <c r="A61" s="3646" t="s">
        <v>1145</v>
      </c>
      <c r="B61" s="3647"/>
      <c r="C61" s="3647"/>
      <c r="D61" s="3647"/>
      <c r="E61" s="3648"/>
      <c r="F61" s="3649" t="s">
        <v>1146</v>
      </c>
      <c r="G61" s="3650"/>
      <c r="H61" s="3650"/>
      <c r="I61" s="3651"/>
      <c r="J61" s="1135">
        <f>J59+1</f>
        <v>7</v>
      </c>
      <c r="K61" s="967" t="s">
        <v>1147</v>
      </c>
      <c r="L61" s="967"/>
      <c r="M61" s="3652"/>
      <c r="N61" s="3653">
        <f ca="1">ROUND(N59*10000/'数据-汇总表'!E3,0)</f>
        <v>28708</v>
      </c>
      <c r="O61" s="3654"/>
    </row>
    <row r="62" ht="13.5" customHeight="1" spans="1:35">
      <c r="A62" s="3655" t="s">
        <v>833</v>
      </c>
      <c r="B62" s="3656" t="s">
        <v>1148</v>
      </c>
      <c r="C62" s="960" t="s">
        <v>1149</v>
      </c>
      <c r="D62" s="3657" t="s">
        <v>1150</v>
      </c>
      <c r="E62" s="3658" t="s">
        <v>1151</v>
      </c>
      <c r="F62" s="3659" t="s">
        <v>833</v>
      </c>
      <c r="G62" s="3660" t="s">
        <v>1148</v>
      </c>
      <c r="H62" s="2885" t="s">
        <v>1149</v>
      </c>
      <c r="I62" s="3661" t="s">
        <v>1150</v>
      </c>
    </row>
    <row r="63" ht="13.5" spans="1:35">
      <c r="A63" s="3662" t="s">
        <v>1152</v>
      </c>
      <c r="B63" s="3663" t="s">
        <v>1153</v>
      </c>
      <c r="C63" s="899">
        <f ca="1">ROUND(C64+C65,0)</f>
        <v>93618</v>
      </c>
      <c r="D63" s="3664"/>
      <c r="E63" s="3665" t="s">
        <v>1154</v>
      </c>
      <c r="F63" s="3603">
        <v>1</v>
      </c>
      <c r="G63" s="2931" t="s">
        <v>1117</v>
      </c>
      <c r="H63" s="2320">
        <f ca="1">H64-H66</f>
        <v>7730</v>
      </c>
      <c r="I63" s="3666"/>
      <c r="J63" s="3667" t="s">
        <v>1155</v>
      </c>
      <c r="K63" s="3668" t="s">
        <v>1156</v>
      </c>
      <c r="L63" s="3669">
        <f ca="1">IF(M49&gt;10000,M49*0.5%,IF(AND(M49&gt;1000,M49&lt;=10000),M49*1%,IF(AND(M49&gt;100,M49&lt;=1000),M49*3%,IF(AND(M49&gt;10,M49&lt;=100),M49*5%,M49*8%))))</f>
        <v>468.09</v>
      </c>
      <c r="M63" s="2318">
        <f ca="1">ROUND(L63,1)</f>
        <v>468.1</v>
      </c>
      <c r="N63" s="1349"/>
      <c r="Z63" s="3442"/>
      <c r="AI63" s="3443"/>
    </row>
    <row r="64" ht="14.25" customHeight="1" spans="1:35">
      <c r="A64" s="3670" t="s">
        <v>1157</v>
      </c>
      <c r="B64" s="3671" t="s">
        <v>1158</v>
      </c>
      <c r="C64" s="850">
        <f ca="1">D45</f>
        <v>93618</v>
      </c>
      <c r="D64" s="3672"/>
      <c r="E64" s="3673"/>
      <c r="F64" s="3603">
        <v>2</v>
      </c>
      <c r="G64" s="2931" t="s">
        <v>1159</v>
      </c>
      <c r="H64" s="2320">
        <f ca="1">ROUND(H65*I64/(1+I64),0)</f>
        <v>7730</v>
      </c>
      <c r="I64" s="3674">
        <v>0.09</v>
      </c>
      <c r="J64" s="3667"/>
      <c r="K64" s="3668" t="s">
        <v>1160</v>
      </c>
      <c r="L64" s="3669">
        <f ca="1">IF(M49&gt;2000,M49*0.5%,IF(AND(M49&gt;1000,M49&lt;=2000),M49*0.6%,IF(AND(M49&gt;500,M49&lt;=1000),M49*0.7%,IF(AND(M49&gt;200,M49&lt;=500),M49*0.8%,IF(AND(M49&gt;100,M49&lt;=200),M49*0.9%,IF(AND(M49&gt;50,M49&lt;=100),M49*1%,IF(AND(M49&gt;20,M49&lt;=50),M49*1.5%,IF(AND(M49&gt;10,M49&lt;=20),M49*2%,IF(AND(M49&gt;1,M49&lt;=10),M49*2.5%)))))))))</f>
        <v>468.09</v>
      </c>
      <c r="M64" s="2318">
        <f ca="1" t="shared" ref="M64:M65" si="1">ROUND(L64,1)</f>
        <v>468.1</v>
      </c>
      <c r="N64" s="1337" t="s">
        <v>1161</v>
      </c>
      <c r="Z64" s="3442"/>
      <c r="AI64" s="3443"/>
    </row>
    <row r="65" ht="14.25" customHeight="1" spans="1:35">
      <c r="A65" s="3670" t="s">
        <v>1162</v>
      </c>
      <c r="B65" s="3671" t="s">
        <v>1163</v>
      </c>
      <c r="C65" s="3675"/>
      <c r="D65" s="3676"/>
      <c r="E65" s="3673"/>
      <c r="F65" s="3670" t="s">
        <v>1157</v>
      </c>
      <c r="G65" s="3279" t="s">
        <v>1164</v>
      </c>
      <c r="H65" s="2320">
        <f ca="1">D45</f>
        <v>93618</v>
      </c>
      <c r="I65" s="3666"/>
      <c r="J65" s="3667"/>
      <c r="K65" s="3668" t="s">
        <v>1165</v>
      </c>
      <c r="L65" s="3669">
        <f ca="1">IF(M49&gt;1000,M49*0.1%,IF(AND(M49&gt;500,M49&lt;=1000),M49*0.5%,IF(AND(M49&gt;50,M49&lt;=500),M49*1%,IF(AND(M49&gt;1,M49&lt;=50),M49*1.5%))))</f>
        <v>93.618</v>
      </c>
      <c r="M65" s="2318">
        <f ca="1" t="shared" si="1"/>
        <v>93.6</v>
      </c>
      <c r="N65" s="1337" t="s">
        <v>1161</v>
      </c>
      <c r="Z65" s="3442"/>
      <c r="AI65" s="3443"/>
    </row>
    <row r="66" ht="14.25" customHeight="1" spans="1:35">
      <c r="A66" s="3662" t="s">
        <v>1166</v>
      </c>
      <c r="B66" s="3677" t="s">
        <v>1167</v>
      </c>
      <c r="C66" s="3675"/>
      <c r="D66" s="3678"/>
      <c r="E66" s="3673"/>
      <c r="F66" s="1201">
        <v>3</v>
      </c>
      <c r="G66" s="2931" t="s">
        <v>1168</v>
      </c>
      <c r="H66" s="1345">
        <f>ROUND(H67*I67,0)+ROUND(H68*I68,0)</f>
        <v>0</v>
      </c>
      <c r="I66" s="3679"/>
      <c r="J66" s="3667"/>
      <c r="K66" s="3668" t="s">
        <v>1169</v>
      </c>
      <c r="L66" s="3669">
        <f ca="1">M49*0.5%</f>
        <v>468.09</v>
      </c>
      <c r="M66" s="2318">
        <f ca="1">IF(L66&gt;0.5,0.5,ROUND(L66,0))</f>
        <v>0.5</v>
      </c>
      <c r="N66" s="1337" t="s">
        <v>1170</v>
      </c>
      <c r="Z66" s="3442"/>
      <c r="AI66" s="3443"/>
    </row>
    <row r="67" ht="14.25" customHeight="1" spans="1:35">
      <c r="A67" s="3662" t="s">
        <v>1171</v>
      </c>
      <c r="B67" s="3680" t="s">
        <v>1164</v>
      </c>
      <c r="C67" s="850">
        <f ca="1">C63-C66</f>
        <v>93618</v>
      </c>
      <c r="D67" s="3676"/>
      <c r="E67" s="3673"/>
      <c r="F67" s="3670" t="s">
        <v>1157</v>
      </c>
      <c r="G67" s="3279" t="s">
        <v>1172</v>
      </c>
      <c r="H67" s="3681"/>
      <c r="I67" s="3674">
        <v>0.09</v>
      </c>
      <c r="J67" s="3667"/>
      <c r="K67" s="3668" t="s">
        <v>1173</v>
      </c>
      <c r="L67" s="3669">
        <f ca="1">IF(M49&gt;=10000,(8.25+(M49-10000)*0.01%),IF(AND(M49&gt;=8000,M49&lt;10000),(7.85+(M49-8000)*0.02%),IF(AND(M49&gt;=5000,M49&lt;8000),(6.65+(M49-5000)*0.04%),IF(AND(M49&gt;=2000,M49&lt;5000),(4.25+(PM49-2000)*0.08%),IF(AND(M49&gt;=1000,M49&lt;2000),(2.75+(M49-1000)*0.15%),IF(AND(M49&gt;=100,M49&lt;1000),(0.5+(M49-100)*0.25%),IF(AND(M49&gt;0,M49&lt;100),M49*0.5%)))))))</f>
        <v>16.6118</v>
      </c>
      <c r="M67" s="2318">
        <f ca="1">ROUND(L67*0.9,1)</f>
        <v>15</v>
      </c>
      <c r="N67" s="1349"/>
      <c r="Z67" s="3442"/>
      <c r="AI67" s="3443"/>
    </row>
    <row r="68" ht="14.25" customHeight="1" spans="1:35">
      <c r="A68" s="3682" t="s">
        <v>1174</v>
      </c>
      <c r="B68" s="3683" t="s">
        <v>1175</v>
      </c>
      <c r="C68" s="3684">
        <f ca="1">IF(C67&lt;=0,0,ROUND(C67*D68,0))</f>
        <v>4681</v>
      </c>
      <c r="D68" s="3685">
        <v>0.05</v>
      </c>
      <c r="E68" s="3686"/>
      <c r="F68" s="3687" t="s">
        <v>1162</v>
      </c>
      <c r="G68" s="3688" t="s">
        <v>1176</v>
      </c>
      <c r="H68" s="3689"/>
      <c r="I68" s="3690">
        <v>0.06</v>
      </c>
      <c r="J68" s="3667"/>
      <c r="K68" s="3668" t="s">
        <v>1177</v>
      </c>
      <c r="L68" s="3669">
        <f ca="1">IF(M49&gt;10000,M49*0.5%,IF(AND(M49&gt;5000,M49&lt;=10000),M49*1%,IF(AND(M49&gt;1000,M49&lt;=5000),M49*2%,IF(AND(M49&gt;200,M49&lt;=1000),M49*3%,M49*5%))))</f>
        <v>468.09</v>
      </c>
      <c r="M68" s="2318">
        <f ca="1">ROUND(L68,1)</f>
        <v>468.1</v>
      </c>
      <c r="N68" s="1349"/>
      <c r="Z68" s="3442"/>
      <c r="AI68" s="3443"/>
    </row>
    <row r="69" s="3440" customFormat="1" ht="16.5" customHeight="1" spans="1:35">
      <c r="A69" s="3691"/>
      <c r="B69" s="3692"/>
      <c r="C69" s="3693"/>
      <c r="D69" s="1179"/>
      <c r="E69" s="3694"/>
      <c r="F69" s="3644"/>
      <c r="G69" s="3644"/>
      <c r="H69" s="3556"/>
      <c r="I69" s="3445"/>
      <c r="J69" s="3668"/>
      <c r="K69" s="3668" t="s">
        <v>1178</v>
      </c>
      <c r="L69" s="3669"/>
      <c r="M69" s="2318">
        <f ca="1">ROUND(SUM(M63:M68),0)</f>
        <v>1513</v>
      </c>
      <c r="N69" s="3695">
        <f ca="1">M69/M49</f>
        <v>0.0161614219487705</v>
      </c>
      <c r="O69" s="2217"/>
      <c r="P69" s="2217"/>
      <c r="Q69" s="2217"/>
      <c r="R69" s="2217"/>
      <c r="S69" s="2217"/>
      <c r="T69" s="2217"/>
      <c r="U69" s="2217"/>
      <c r="V69" s="2217"/>
      <c r="W69" s="2217"/>
      <c r="X69" s="2217"/>
      <c r="Y69" s="2217"/>
      <c r="Z69" s="3442"/>
      <c r="AA69" s="3442"/>
      <c r="AB69" s="3442"/>
      <c r="AC69" s="3442"/>
      <c r="AD69" s="3442"/>
      <c r="AE69" s="3442"/>
      <c r="AF69" s="3442"/>
      <c r="AG69" s="3442"/>
      <c r="AH69" s="3442"/>
    </row>
    <row r="70" s="3441" customFormat="1" ht="15" spans="1:35">
      <c r="A70" s="3696" t="s">
        <v>1179</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1180</v>
      </c>
      <c r="B71" s="885"/>
      <c r="C71" s="885"/>
      <c r="D71" s="885" t="s">
        <v>1181</v>
      </c>
      <c r="E71" s="3703" t="s">
        <v>1082</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1152</v>
      </c>
      <c r="B72" s="3707" t="s">
        <v>1182</v>
      </c>
      <c r="C72" s="3708">
        <f ca="1">ROUND(D45/(1+D72),0)</f>
        <v>85888</v>
      </c>
      <c r="D72" s="907">
        <v>0.09</v>
      </c>
      <c r="E72" s="2688" t="s">
        <v>1183</v>
      </c>
      <c r="F72" s="2686"/>
      <c r="G72" s="2686"/>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1166</v>
      </c>
      <c r="B73" s="3268" t="s">
        <v>1184</v>
      </c>
      <c r="C73" s="3708">
        <f ca="1">C74+C78</f>
        <v>10307</v>
      </c>
      <c r="D73" s="850" t="s">
        <v>124</v>
      </c>
      <c r="E73" s="2685"/>
      <c r="F73" s="2686"/>
      <c r="G73" s="2686"/>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1157</v>
      </c>
      <c r="B74" s="848" t="s">
        <v>1185</v>
      </c>
      <c r="C74" s="850">
        <f>ROUND(IF(G77="2016年5月1日后购买",C75/(1+D72)+C76+C77,C75+C76+C77),0)</f>
        <v>0</v>
      </c>
      <c r="D74" s="850" t="s">
        <v>124</v>
      </c>
      <c r="E74" s="2688" t="s">
        <v>1183</v>
      </c>
      <c r="F74" s="2686"/>
      <c r="G74" s="2686"/>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1186</v>
      </c>
      <c r="B75" s="848" t="s">
        <v>1187</v>
      </c>
      <c r="C75" s="3675"/>
      <c r="D75" s="850" t="s">
        <v>124</v>
      </c>
      <c r="E75" s="3710" t="s">
        <v>1188</v>
      </c>
      <c r="F75" s="3711"/>
      <c r="G75" s="3710" t="s">
        <v>1189</v>
      </c>
      <c r="H75" s="3712"/>
      <c r="I75" s="1157"/>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1190</v>
      </c>
      <c r="B76" s="3713" t="s">
        <v>1191</v>
      </c>
      <c r="C76" s="850">
        <f>IF(F75="购房发票",ROUND(C75*H75*D76,0),0)</f>
        <v>0</v>
      </c>
      <c r="D76" s="3714">
        <v>0.05</v>
      </c>
      <c r="E76" s="2685" t="s">
        <v>1192</v>
      </c>
      <c r="F76" s="2686"/>
      <c r="G76" s="2686"/>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1193</v>
      </c>
      <c r="B77" s="848" t="s">
        <v>1194</v>
      </c>
      <c r="C77" s="850">
        <f>ROUND(IF(G77="个人住宅",0,IF(G77="2016年5月1日前购买",C75*D77,C75*D77/(1+D72))),0)</f>
        <v>0</v>
      </c>
      <c r="D77" s="3716">
        <f>'数据-取费表'!B49+'数据-取费表'!B50</f>
        <v>0.0305</v>
      </c>
      <c r="E77" s="2688" t="s">
        <v>1195</v>
      </c>
      <c r="F77" s="1437"/>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1162</v>
      </c>
      <c r="B78" s="848" t="s">
        <v>1196</v>
      </c>
      <c r="C78" s="850">
        <f ca="1">ROUND(C72*D78,0)</f>
        <v>10307</v>
      </c>
      <c r="D78" s="3718">
        <f>'数据-取费表'!B44</f>
        <v>0.12</v>
      </c>
      <c r="E78" s="3719" t="s">
        <v>1197</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1171</v>
      </c>
      <c r="B79" s="3707" t="s">
        <v>1198</v>
      </c>
      <c r="C79" s="3708">
        <f ca="1">C72-C73</f>
        <v>75581</v>
      </c>
      <c r="D79" s="850" t="s">
        <v>124</v>
      </c>
      <c r="E79" s="2685"/>
      <c r="F79" s="2686"/>
      <c r="G79" s="2686"/>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1174</v>
      </c>
      <c r="B80" s="3707" t="s">
        <v>1199</v>
      </c>
      <c r="C80" s="3723">
        <f ca="1">IF(C79&lt;=0,0,C79/C73)</f>
        <v>7.33297758804696</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1200</v>
      </c>
      <c r="B81" s="3724" t="s">
        <v>1201</v>
      </c>
      <c r="C81" s="3725">
        <f ca="1">ROUND(IF(C79&lt;=0,0,IF(C80&gt;=200%,C79*60%-C73*35%,IF(C80&gt;=100%,C79*50%-C73*15%,IF(C80&gt;=50%,C79*40%-C73*5%,IF(C80&lt;50%,C79*30%,0))))),0)</f>
        <v>41741</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55"/>
      <c r="D82" s="1155"/>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1202</v>
      </c>
      <c r="B83" s="3697"/>
      <c r="C83" s="3697"/>
      <c r="D83" s="3697"/>
      <c r="E83" s="3697"/>
      <c r="F83" s="3697"/>
      <c r="G83" s="3697"/>
      <c r="H83" s="3697"/>
      <c r="I83" s="1157"/>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1180</v>
      </c>
      <c r="B84" s="885"/>
      <c r="C84" s="885"/>
      <c r="D84" s="885" t="s">
        <v>1181</v>
      </c>
      <c r="E84" s="3703" t="s">
        <v>1082</v>
      </c>
      <c r="F84" s="3704"/>
      <c r="G84" s="3704"/>
      <c r="H84" s="3732"/>
      <c r="I84" s="1157"/>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1152</v>
      </c>
      <c r="B85" s="3707" t="s">
        <v>1182</v>
      </c>
      <c r="C85" s="3708">
        <f ca="1">ROUND(D45/(1+D85),0)</f>
        <v>85888</v>
      </c>
      <c r="D85" s="907">
        <v>0.09</v>
      </c>
      <c r="E85" s="2688" t="s">
        <v>1183</v>
      </c>
      <c r="F85" s="2686"/>
      <c r="G85" s="2686"/>
      <c r="H85" s="3733"/>
      <c r="I85" s="1157"/>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1166</v>
      </c>
      <c r="B86" s="3268" t="s">
        <v>1184</v>
      </c>
      <c r="C86" s="3708">
        <f ca="1">IF(H88="仅含出让金",C87+C90+C91+C92+C93+C94,C87+C91+C92+C93+C94)</f>
        <v>10307</v>
      </c>
      <c r="D86" s="3734"/>
      <c r="E86" s="2685"/>
      <c r="F86" s="2686"/>
      <c r="G86" s="2686"/>
      <c r="H86" s="3733"/>
      <c r="I86" s="1157"/>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1157</v>
      </c>
      <c r="B87" s="848" t="s">
        <v>1203</v>
      </c>
      <c r="C87" s="850">
        <f>C88+C89</f>
        <v>0</v>
      </c>
      <c r="D87" s="3718"/>
      <c r="E87" s="3719"/>
      <c r="F87" s="3720"/>
      <c r="G87" s="3720"/>
      <c r="H87" s="3721"/>
      <c r="I87" s="1157"/>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1186</v>
      </c>
      <c r="B88" s="848" t="s">
        <v>1204</v>
      </c>
      <c r="C88" s="3675"/>
      <c r="D88" s="3718"/>
      <c r="E88" s="3735" t="s">
        <v>1205</v>
      </c>
      <c r="F88" s="3720"/>
      <c r="G88" s="3736" t="s">
        <v>1206</v>
      </c>
      <c r="H88" s="3737" t="s">
        <v>1207</v>
      </c>
      <c r="I88" s="1157"/>
      <c r="J88" s="3738" t="s">
        <v>1208</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1190</v>
      </c>
      <c r="B89" s="848" t="s">
        <v>1194</v>
      </c>
      <c r="C89" s="850">
        <f>ROUND(C88*D89,0)</f>
        <v>0</v>
      </c>
      <c r="D89" s="3718">
        <f>'数据-取费表'!B49+'数据-取费表'!B50</f>
        <v>0.0305</v>
      </c>
      <c r="E89" s="3735" t="s">
        <v>1209</v>
      </c>
      <c r="F89" s="3720"/>
      <c r="G89" s="3720"/>
      <c r="H89" s="3721"/>
      <c r="I89" s="1157"/>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1162</v>
      </c>
      <c r="B90" s="848" t="s">
        <v>1210</v>
      </c>
      <c r="C90" s="3675"/>
      <c r="D90" s="3718"/>
      <c r="E90" s="3735" t="str">
        <f>IF(H88="-","土地取得成本中已包含该笔费用"," ")</f>
        <v> </v>
      </c>
      <c r="F90" s="3720"/>
      <c r="G90" s="3739" t="s">
        <v>1211</v>
      </c>
      <c r="H90" s="3740"/>
      <c r="I90" s="1157"/>
      <c r="J90" s="3738" t="s">
        <v>1212</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1213</v>
      </c>
      <c r="B91" s="848" t="s">
        <v>1214</v>
      </c>
      <c r="C91" s="850">
        <f ca="1">IF(H91="——",成本法!C9,I91)</f>
        <v>0</v>
      </c>
      <c r="D91" s="3718"/>
      <c r="E91" s="3719" t="s">
        <v>1215</v>
      </c>
      <c r="F91" s="3720"/>
      <c r="G91" s="3720"/>
      <c r="H91" s="3741" t="s">
        <v>1216</v>
      </c>
      <c r="I91" s="3742"/>
      <c r="J91" s="3700" t="s">
        <v>1217</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1218</v>
      </c>
      <c r="B92" s="848" t="s">
        <v>1219</v>
      </c>
      <c r="C92" s="850">
        <f ca="1">ROUND((C87+C90+C91)*D92,0)</f>
        <v>0</v>
      </c>
      <c r="D92" s="3743"/>
      <c r="E92" s="3719" t="s">
        <v>1220</v>
      </c>
      <c r="F92" s="3720"/>
      <c r="G92" s="3720"/>
      <c r="H92" s="3721"/>
      <c r="I92" s="1157"/>
      <c r="J92" s="3744" t="s">
        <v>1221</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1222</v>
      </c>
      <c r="B93" s="848" t="s">
        <v>1196</v>
      </c>
      <c r="C93" s="850">
        <f ca="1">ROUND(C85*D93,0)</f>
        <v>10307</v>
      </c>
      <c r="D93" s="3718">
        <f>'数据-取费表'!B44</f>
        <v>0.12</v>
      </c>
      <c r="E93" s="3745" t="s">
        <v>1223</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1224</v>
      </c>
      <c r="B94" s="848" t="s">
        <v>1225</v>
      </c>
      <c r="C94" s="3675">
        <f ca="1">ROUND((C87+C90+C91)*D94,0)</f>
        <v>0</v>
      </c>
      <c r="D94" s="3718">
        <v>0.2</v>
      </c>
      <c r="E94" s="3747" t="s">
        <v>1226</v>
      </c>
      <c r="F94" s="3748"/>
      <c r="G94" s="3748"/>
      <c r="H94" s="3749"/>
      <c r="I94" s="1157"/>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1171</v>
      </c>
      <c r="B95" s="3707" t="s">
        <v>1198</v>
      </c>
      <c r="C95" s="3708">
        <f ca="1">ROUND(C85-C86,0)</f>
        <v>75581</v>
      </c>
      <c r="D95" s="850" t="s">
        <v>124</v>
      </c>
      <c r="E95" s="2685"/>
      <c r="F95" s="2686"/>
      <c r="G95" s="2686"/>
      <c r="H95" s="3733"/>
      <c r="I95" s="1157"/>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1174</v>
      </c>
      <c r="B96" s="3707" t="s">
        <v>1199</v>
      </c>
      <c r="C96" s="3708">
        <f ca="1">IF(C95&lt;=0,0,C95/C86)</f>
        <v>7.33297758804696</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3"/>
      <c r="I96" s="1157"/>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1200</v>
      </c>
      <c r="B97" s="3724" t="s">
        <v>1201</v>
      </c>
      <c r="C97" s="3725">
        <f ca="1">ROUND(IF(C95&lt;=0,0,IF(C96&gt;=200%,C95*60%-C86*35%,IF(C96&gt;=100%,C95*50%-C86*15%,IF(C96&gt;=50%,C95*40%-C86*5%,IF(C96&lt;50%,C95*30%,0))))),0)</f>
        <v>41741</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57"/>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303"/>
    </row>
    <row r="99" customHeight="1" spans="1:35">
      <c r="A99" s="3559" t="s">
        <v>1227</v>
      </c>
      <c r="B99" s="3445"/>
      <c r="C99" s="3445"/>
      <c r="D99" s="3445"/>
      <c r="E99" s="3644"/>
      <c r="F99" s="3644"/>
      <c r="G99" s="3644"/>
      <c r="H99" s="3556"/>
      <c r="I99" s="2303"/>
    </row>
    <row r="100" ht="18.75" customHeight="1" spans="1:35">
      <c r="A100" s="3751" t="s">
        <v>1228</v>
      </c>
      <c r="B100" s="3752"/>
      <c r="C100" s="3752"/>
      <c r="D100" s="3753"/>
      <c r="E100" s="3752" t="s">
        <v>1229</v>
      </c>
      <c r="F100" s="3752"/>
      <c r="G100" s="3752"/>
      <c r="H100" s="3753"/>
      <c r="I100" s="2303"/>
    </row>
    <row r="101" ht="18.75" customHeight="1" spans="1:35">
      <c r="A101" s="3754" t="s">
        <v>1230</v>
      </c>
      <c r="B101" s="3755"/>
      <c r="C101" s="3756" t="str">
        <f>C4</f>
        <v>比较法-工业</v>
      </c>
      <c r="D101" s="3757" t="str">
        <f>D4</f>
        <v>收益法（汇总）</v>
      </c>
      <c r="E101" s="3758" t="s">
        <v>1231</v>
      </c>
      <c r="F101" s="3759"/>
      <c r="G101" s="3760" t="s">
        <v>1232</v>
      </c>
      <c r="H101" s="3761">
        <f ca="1">H118</f>
        <v>93618</v>
      </c>
      <c r="I101" s="2303"/>
    </row>
    <row r="102" ht="18.75" customHeight="1" spans="1:35">
      <c r="A102" s="3762" t="s">
        <v>1233</v>
      </c>
      <c r="B102" s="3763" t="s">
        <v>1232</v>
      </c>
      <c r="C102" s="3764">
        <f ca="1">C19</f>
        <v>108126</v>
      </c>
      <c r="D102" s="3765">
        <f ca="1">D19</f>
        <v>59766</v>
      </c>
      <c r="E102" s="3758"/>
      <c r="F102" s="3759"/>
      <c r="G102" s="3760" t="s">
        <v>99</v>
      </c>
      <c r="H102" s="3017">
        <f ca="1">I118</f>
        <v>29013</v>
      </c>
      <c r="I102" s="2303"/>
    </row>
    <row r="103" ht="42.75" customHeight="1" spans="1:35">
      <c r="A103" s="3762"/>
      <c r="B103" s="3763" t="s">
        <v>99</v>
      </c>
      <c r="C103" s="3766">
        <f ca="1">C20</f>
        <v>36525</v>
      </c>
      <c r="D103" s="3767">
        <f ca="1">D20</f>
        <v>18522</v>
      </c>
      <c r="E103" s="3768" t="s">
        <v>1234</v>
      </c>
      <c r="F103" s="3769"/>
      <c r="G103" s="3770" t="s">
        <v>102</v>
      </c>
      <c r="H103" s="3761">
        <f>IF(D36="正常操作",H104+H105+H106,H105+H106)</f>
        <v>0</v>
      </c>
      <c r="I103" s="2303"/>
    </row>
    <row r="104" ht="18.75" customHeight="1" spans="1:35">
      <c r="A104" s="3762" t="s">
        <v>1235</v>
      </c>
      <c r="B104" s="3771" t="s">
        <v>1232</v>
      </c>
      <c r="C104" s="3772">
        <f ca="1">H118</f>
        <v>93618</v>
      </c>
      <c r="D104" s="3773"/>
      <c r="E104" s="1445" t="s">
        <v>1236</v>
      </c>
      <c r="F104" s="3774"/>
      <c r="G104" s="3770" t="s">
        <v>102</v>
      </c>
      <c r="H104" s="3775">
        <f>IF(D36="同一抵押权人同一抵押物续贷",C36&amp;"（续贷，未扣减，详见特别提示）",C36)</f>
        <v>0</v>
      </c>
      <c r="I104" s="2303"/>
    </row>
    <row r="105" ht="18.75" customHeight="1" spans="1:35">
      <c r="A105" s="3776"/>
      <c r="B105" s="3777" t="s">
        <v>99</v>
      </c>
      <c r="C105" s="3778">
        <f ca="1">I118</f>
        <v>29013</v>
      </c>
      <c r="D105" s="3779"/>
      <c r="E105" s="1445" t="s">
        <v>1237</v>
      </c>
      <c r="F105" s="3774"/>
      <c r="G105" s="3770" t="s">
        <v>102</v>
      </c>
      <c r="H105" s="3780">
        <f>C37</f>
        <v>0</v>
      </c>
      <c r="I105" s="2303"/>
    </row>
    <row r="106" ht="18.75" customHeight="1" spans="1:35">
      <c r="A106" s="3445" t="s">
        <v>1238</v>
      </c>
      <c r="B106" s="3445"/>
      <c r="C106" s="3445"/>
      <c r="D106" s="3445"/>
      <c r="E106" s="3781" t="s">
        <v>1239</v>
      </c>
      <c r="F106" s="3774"/>
      <c r="G106" s="3770" t="s">
        <v>102</v>
      </c>
      <c r="H106" s="3780">
        <f>C38</f>
        <v>0</v>
      </c>
      <c r="I106" s="2303"/>
    </row>
    <row r="107" ht="18.75" customHeight="1" spans="1:35">
      <c r="A107" s="2303"/>
      <c r="B107" s="2303"/>
      <c r="C107" s="2303"/>
      <c r="D107" s="2303"/>
      <c r="E107" s="726" t="str">
        <f>IF(项目基本情况!E8="已注销","——","3.房地产抵押价值")</f>
        <v>3.房地产抵押价值</v>
      </c>
      <c r="F107" s="3759"/>
      <c r="G107" s="3760" t="s">
        <v>1232</v>
      </c>
      <c r="H107" s="3761">
        <f ca="1">IF(E107="——","——",H101-H103)</f>
        <v>93618</v>
      </c>
      <c r="I107" s="2303"/>
    </row>
    <row r="108" ht="18.75" customHeight="1" spans="1:35">
      <c r="A108" s="2303"/>
      <c r="B108" s="2303"/>
      <c r="C108" s="2303"/>
      <c r="D108" s="2303"/>
      <c r="E108" s="726"/>
      <c r="F108" s="3759"/>
      <c r="G108" s="3760" t="s">
        <v>99</v>
      </c>
      <c r="H108" s="3017">
        <f ca="1">IF(H107=H101,H102,ROUND(H107*10000/'数据-汇总表'!E3,0))</f>
        <v>29013</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59"/>
      <c r="G109" s="3760" t="s">
        <v>1232</v>
      </c>
      <c r="H109" s="2907" t="str">
        <f ca="1">IF(E109="——","——",H101-H105-H106)</f>
        <v>——</v>
      </c>
      <c r="I109" s="2303"/>
    </row>
    <row r="110" ht="18.75" customHeight="1" spans="1:35">
      <c r="A110" s="2303"/>
      <c r="B110" s="2303"/>
      <c r="C110" s="2303"/>
      <c r="D110" s="2303"/>
      <c r="E110" s="726"/>
      <c r="F110" s="3759"/>
      <c r="G110" s="3760" t="s">
        <v>99</v>
      </c>
      <c r="H110" s="3017" t="str">
        <f ca="1">IF(H109="——","——",ROUND(H109*10000/'数据-汇总表'!E3,0))</f>
        <v>——</v>
      </c>
      <c r="I110" s="2303"/>
    </row>
    <row r="111" ht="18.75" customHeight="1" spans="1:35">
      <c r="A111" s="2303"/>
      <c r="B111" s="2303"/>
      <c r="C111" s="2303"/>
      <c r="D111" s="2303"/>
      <c r="E111" s="3782" t="str">
        <f>IF(项目基本情况!E9="抵押净值",IF(OR(项目基本情况!E8="已注销",项目基本情况!E8="房地产抵押价值"),"4.抵押净值","5.抵押净值"),"——")</f>
        <v>——</v>
      </c>
      <c r="F111" s="3783"/>
      <c r="G111" s="3760" t="s">
        <v>1232</v>
      </c>
      <c r="H111" s="3761" t="str">
        <f ca="1">IF(E111="——","——",N59)</f>
        <v>——</v>
      </c>
      <c r="I111" s="2303"/>
    </row>
    <row r="112" ht="18.75" customHeight="1" spans="1:35">
      <c r="A112" s="2303"/>
      <c r="B112" s="2303"/>
      <c r="C112" s="2303"/>
      <c r="D112" s="2303"/>
      <c r="E112" s="3784"/>
      <c r="F112" s="3785"/>
      <c r="G112" s="3786" t="s">
        <v>99</v>
      </c>
      <c r="H112" s="3484" t="str">
        <f ca="1">IF(E111="——","——",N61)</f>
        <v>——</v>
      </c>
      <c r="I112" s="2303"/>
    </row>
    <row r="113" ht="18.75" customHeight="1" spans="1:27">
      <c r="A113" s="2303"/>
      <c r="B113" s="2303"/>
      <c r="C113" s="2303"/>
      <c r="D113" s="2303"/>
      <c r="E113" s="3787" t="s">
        <v>1238</v>
      </c>
      <c r="F113" s="3787"/>
      <c r="G113" s="3787"/>
      <c r="H113" s="3787"/>
      <c r="I113" s="2303"/>
    </row>
    <row r="114" ht="3.75" customHeight="1" spans="1:27">
      <c r="A114" s="3445"/>
      <c r="B114" s="3445"/>
      <c r="C114" s="3445"/>
      <c r="D114" s="3445"/>
      <c r="E114" s="3643"/>
      <c r="F114" s="3643"/>
      <c r="G114" s="3643"/>
      <c r="H114" s="3643"/>
      <c r="I114" s="3445"/>
    </row>
    <row r="115" ht="18.75" customHeight="1" spans="1:27">
      <c r="A115" s="3788" t="s">
        <v>1240</v>
      </c>
      <c r="B115" s="3789"/>
      <c r="C115" s="3789"/>
      <c r="D115" s="3789"/>
      <c r="E115" s="3789"/>
      <c r="F115" s="3789"/>
      <c r="G115" s="3789"/>
      <c r="H115" s="3789"/>
      <c r="I115" s="3790"/>
    </row>
    <row r="116" ht="27" customHeight="1" spans="1:27">
      <c r="A116" s="1205" t="s">
        <v>1241</v>
      </c>
      <c r="B116" s="3791" t="s">
        <v>1242</v>
      </c>
      <c r="C116" s="3791" t="s">
        <v>1243</v>
      </c>
      <c r="D116" s="3792" t="s">
        <v>1244</v>
      </c>
      <c r="E116" s="3793"/>
      <c r="F116" s="3794"/>
      <c r="G116" s="3794"/>
      <c r="H116" s="1205" t="s">
        <v>1245</v>
      </c>
      <c r="I116" s="1205"/>
      <c r="K116" s="3795"/>
      <c r="L116" s="3796" t="s">
        <v>199</v>
      </c>
      <c r="M116" s="3796" t="s">
        <v>1246</v>
      </c>
      <c r="N116" s="3796" t="s">
        <v>1247</v>
      </c>
    </row>
    <row r="117" ht="18.75" customHeight="1" spans="1:27">
      <c r="A117" s="1205"/>
      <c r="B117" s="3797"/>
      <c r="C117" s="3797"/>
      <c r="D117" s="1205" t="s">
        <v>1248</v>
      </c>
      <c r="E117" s="1205" t="s">
        <v>1037</v>
      </c>
      <c r="F117" s="1205" t="s">
        <v>1248</v>
      </c>
      <c r="G117" s="1205" t="s">
        <v>1037</v>
      </c>
      <c r="H117" s="1205" t="s">
        <v>1248</v>
      </c>
      <c r="I117" s="1205" t="s">
        <v>1037</v>
      </c>
      <c r="K117" s="3796" t="s">
        <v>1249</v>
      </c>
      <c r="L117" s="3798">
        <f ca="1">C34</f>
        <v>60103</v>
      </c>
      <c r="M117" s="3799">
        <f ca="1">C35</f>
        <v>33515</v>
      </c>
      <c r="N117" s="3799">
        <f ca="1">C32</f>
        <v>93618</v>
      </c>
    </row>
    <row r="118" ht="24.75" customHeight="1" spans="1:27">
      <c r="A118" s="3800" t="str">
        <f>项目基本情况!S2</f>
        <v>北京市房地产</v>
      </c>
      <c r="B118" s="3801">
        <f>M18</f>
        <v>32267.62</v>
      </c>
      <c r="C118" s="3801">
        <f>M19</f>
        <v>14251.17</v>
      </c>
      <c r="D118" s="3460">
        <f ca="1">ROUND(IF(D32="总价",L117,L119*B118/10000),0)</f>
        <v>60103</v>
      </c>
      <c r="E118" s="3460">
        <f ca="1">ROUND(IF(C33="自定义",IF(D32="楼面单价",L119,D118*10000/B118),I118-G118),0)</f>
        <v>18626</v>
      </c>
      <c r="F118" s="3460">
        <f ca="1">ROUND(IF(D32="总价",M117,M119*B118/10000),0)</f>
        <v>33515</v>
      </c>
      <c r="G118" s="3460">
        <f ca="1">ROUND(IF(D32="楼面单价",,F118*10000/B118),0)</f>
        <v>10387</v>
      </c>
      <c r="H118" s="3460">
        <f ca="1">ROUND(IF(D32="总价",C32,N119*B118/10000),4)</f>
        <v>93618</v>
      </c>
      <c r="I118" s="3460">
        <f ca="1">ROUND(IF(D32="楼面单价",C32,N117*10000/B118),0)</f>
        <v>29013</v>
      </c>
      <c r="K118" s="3795"/>
      <c r="L118" s="3795"/>
      <c r="M118" s="3795"/>
      <c r="N118" s="3795"/>
    </row>
    <row r="119" ht="18.75" customHeight="1" spans="1:27">
      <c r="A119" s="1205" t="s">
        <v>1250</v>
      </c>
      <c r="B119" s="1205"/>
      <c r="C119" s="1205"/>
      <c r="D119" s="1453" t="str">
        <f ca="1">NUMBERSTRING(INT(D118*10000),2)&amp;"元整"</f>
        <v>陆亿零壹佰零叁万元整</v>
      </c>
      <c r="E119" s="1773"/>
      <c r="F119" s="1453" t="str">
        <f ca="1">NUMBERSTRING(INT(F118*10000),2)&amp;"元整"</f>
        <v>叁亿叁仟伍佰壹拾伍万元整</v>
      </c>
      <c r="G119" s="1773"/>
      <c r="H119" s="1453" t="str">
        <f ca="1">NUMBERSTRING(INT(H118*10000),2)&amp;"元整"</f>
        <v>玖亿叁仟陆佰壹拾捌万元整</v>
      </c>
      <c r="I119" s="1773"/>
      <c r="K119" s="3796" t="s">
        <v>1251</v>
      </c>
      <c r="L119" s="3799">
        <f ca="1">C34</f>
        <v>60103</v>
      </c>
      <c r="M119" s="3799">
        <f ca="1">C35</f>
        <v>33515</v>
      </c>
      <c r="N119" s="3799">
        <f ca="1">C32</f>
        <v>93618</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453" t="s">
        <v>1250</v>
      </c>
      <c r="B121" s="3807"/>
      <c r="C121" s="3807"/>
      <c r="D121" s="3807"/>
      <c r="E121" s="3807"/>
      <c r="F121" s="3807"/>
      <c r="G121" s="1773"/>
      <c r="H121" s="3808" t="str">
        <f>IF(H120=0,"零元整",NUMBERSTRING(INT(H120*10000),2)&amp;"元整")</f>
        <v>零元整</v>
      </c>
      <c r="I121" s="3809"/>
      <c r="AA121" s="2217"/>
    </row>
    <row r="122" ht="18.75" customHeight="1" spans="1:27">
      <c r="A122" s="3802" t="str">
        <f>IF(项目基本情况!B9="房地产市场价值","",MID(E107,3,LEN(E107)-2))</f>
        <v>房地产抵押价值</v>
      </c>
      <c r="B122" s="3803"/>
      <c r="C122" s="3803"/>
      <c r="D122" s="3803"/>
      <c r="E122" s="3803"/>
      <c r="F122" s="3803"/>
      <c r="G122" s="3804"/>
      <c r="H122" s="3810">
        <f ca="1">H107</f>
        <v>93618</v>
      </c>
      <c r="I122" s="3811"/>
      <c r="AA122" s="2217"/>
    </row>
    <row r="123" ht="18.75" customHeight="1" spans="1:27">
      <c r="A123" s="1453" t="s">
        <v>1250</v>
      </c>
      <c r="B123" s="3807"/>
      <c r="C123" s="3807"/>
      <c r="D123" s="3807"/>
      <c r="E123" s="3807"/>
      <c r="F123" s="3807"/>
      <c r="G123" s="1773"/>
      <c r="H123" s="1453" t="str">
        <f ca="1">NUMBERSTRING(INT(H122*10000),2)&amp;"元整"</f>
        <v>玖亿叁仟陆佰壹拾捌万元整</v>
      </c>
      <c r="I123" s="1773"/>
      <c r="AA123" s="2217"/>
    </row>
    <row r="124" ht="18.75" customHeight="1" spans="1:27">
      <c r="A124" s="3802" t="str">
        <f>IF(项目基本情况!B9="房地产市场价值","",MID(E109,3,LEN(E109)-2))</f>
        <v/>
      </c>
      <c r="B124" s="3803"/>
      <c r="C124" s="3803"/>
      <c r="D124" s="3803"/>
      <c r="E124" s="3803"/>
      <c r="F124" s="3803"/>
      <c r="G124" s="3804"/>
      <c r="H124" s="3810" t="str">
        <f ca="1">H109</f>
        <v>——</v>
      </c>
      <c r="I124" s="3811"/>
      <c r="AA124" s="2217"/>
    </row>
    <row r="125" ht="18.75" customHeight="1" spans="1:27">
      <c r="A125" s="1453" t="s">
        <v>1250</v>
      </c>
      <c r="B125" s="3807"/>
      <c r="C125" s="3807"/>
      <c r="D125" s="3807"/>
      <c r="E125" s="3807"/>
      <c r="F125" s="3807"/>
      <c r="G125" s="1773"/>
      <c r="H125" s="1453" t="e">
        <f ca="1">NUMBERSTRING(INT(H124*10000),2)&amp;"元整"</f>
        <v>#VALUE!</v>
      </c>
      <c r="I125" s="1773"/>
      <c r="AA125" s="2217"/>
    </row>
    <row r="126" ht="18.75" customHeight="1" spans="1:27">
      <c r="A126" s="3802" t="str">
        <f>IF(项目基本情况!B9="房地产市场价值","",MID(E111,3,LEN(E111)-2))</f>
        <v/>
      </c>
      <c r="B126" s="3803"/>
      <c r="C126" s="3803"/>
      <c r="D126" s="3803"/>
      <c r="E126" s="3803"/>
      <c r="F126" s="3803"/>
      <c r="G126" s="3804"/>
      <c r="H126" s="3810" t="str">
        <f ca="1">H111</f>
        <v>——</v>
      </c>
      <c r="I126" s="3811"/>
      <c r="AA126" s="2217"/>
    </row>
    <row r="127" ht="18.75" customHeight="1" spans="1:27">
      <c r="A127" s="1453" t="s">
        <v>1250</v>
      </c>
      <c r="B127" s="3807"/>
      <c r="C127" s="3807"/>
      <c r="D127" s="3807"/>
      <c r="E127" s="3807"/>
      <c r="F127" s="3807"/>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2" t="s">
        <v>1252</v>
      </c>
      <c r="B129" s="3813"/>
      <c r="C129" s="3814" t="s">
        <v>1253</v>
      </c>
      <c r="D129" s="3815"/>
      <c r="E129" s="3815"/>
      <c r="F129" s="3815"/>
      <c r="G129" s="3815"/>
      <c r="H129" s="3816"/>
      <c r="I129" s="3817"/>
      <c r="AA129" s="2217"/>
    </row>
    <row r="130" customHeight="1" spans="1:35">
      <c r="A130" s="3818">
        <v>1</v>
      </c>
      <c r="B130" s="3819"/>
      <c r="C130" s="3819"/>
      <c r="D130" s="3820"/>
      <c r="E130" s="3820"/>
      <c r="F130" s="3820"/>
      <c r="G130" s="3820"/>
      <c r="H130" s="3821"/>
      <c r="I130" s="3822"/>
      <c r="AA130" s="2217"/>
    </row>
    <row r="131" customHeight="1" spans="1:35">
      <c r="A131" s="3818">
        <v>2</v>
      </c>
      <c r="B131" s="3819"/>
      <c r="C131" s="3819"/>
      <c r="D131" s="3820"/>
      <c r="E131" s="3820"/>
      <c r="F131" s="3820"/>
      <c r="G131" s="3820"/>
      <c r="H131" s="3821"/>
      <c r="I131" s="3822"/>
      <c r="AA131" s="2217"/>
    </row>
    <row r="132" customHeight="1" spans="1:35">
      <c r="A132" s="3818">
        <v>3</v>
      </c>
      <c r="B132" s="3819"/>
      <c r="C132" s="3819"/>
      <c r="D132" s="3820"/>
      <c r="E132" s="3820"/>
      <c r="F132" s="3820"/>
      <c r="G132" s="3820"/>
      <c r="H132" s="3821"/>
      <c r="I132" s="3822"/>
      <c r="AA132" s="2217"/>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217"/>
    </row>
    <row r="135" customHeight="1" spans="1:35">
      <c r="A135" s="2217"/>
      <c r="B135" s="2217"/>
      <c r="C135" s="2217"/>
      <c r="D135" s="2217"/>
      <c r="E135" s="2217"/>
      <c r="F135" s="3828" t="s">
        <v>1254</v>
      </c>
      <c r="G135" s="3829"/>
      <c r="H135" s="3829"/>
      <c r="I135" s="3830" t="s">
        <v>1255</v>
      </c>
    </row>
    <row r="136" customHeight="1" spans="1:35">
      <c r="A136" s="2217"/>
      <c r="B136" s="3831" t="s">
        <v>1256</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29"/>
      <c r="C138" s="3829"/>
      <c r="D138" s="3829"/>
      <c r="E138" s="3829"/>
      <c r="F138" s="3829"/>
      <c r="G138" s="3829"/>
      <c r="H138" s="3829"/>
      <c r="I138" s="3830" t="s">
        <v>1257</v>
      </c>
    </row>
    <row r="139" customHeight="1" spans="1:35">
      <c r="A139" s="2217"/>
      <c r="B139" s="3831" t="s">
        <v>1258</v>
      </c>
      <c r="C139" s="2217"/>
      <c r="D139" s="2217"/>
      <c r="E139" s="2217"/>
      <c r="F139" s="2217"/>
      <c r="G139" s="2217"/>
      <c r="H139" s="2217"/>
      <c r="I139" s="2217"/>
    </row>
    <row r="140" customHeight="1" spans="1:35">
      <c r="A140" s="2217"/>
      <c r="B140" s="3831"/>
      <c r="C140" s="2217"/>
      <c r="D140" s="2217"/>
      <c r="E140" s="2217"/>
      <c r="F140" s="2217"/>
      <c r="G140" s="2217"/>
      <c r="H140" s="2217"/>
      <c r="I140" s="2217"/>
    </row>
    <row r="141" customHeight="1" spans="1:35">
      <c r="A141" s="2217"/>
      <c r="B141" s="3829"/>
      <c r="C141" s="3829"/>
      <c r="D141" s="3829"/>
      <c r="E141" s="3829"/>
      <c r="F141" s="3829"/>
      <c r="G141" s="3829"/>
      <c r="H141" s="3829"/>
      <c r="I141" s="3830" t="s">
        <v>1257</v>
      </c>
    </row>
    <row r="142" customHeight="1" spans="1:35">
      <c r="A142" s="2217"/>
      <c r="B142" s="3831"/>
      <c r="C142" s="3832"/>
      <c r="D142" s="3833"/>
      <c r="E142" s="3833"/>
      <c r="F142" s="3834"/>
      <c r="G142" s="2217"/>
      <c r="H142" s="2217"/>
      <c r="I142" s="2217"/>
    </row>
    <row r="143" s="2215" customFormat="1" customHeight="1" spans="1:35">
      <c r="A143" s="2217"/>
      <c r="B143" s="3831"/>
      <c r="C143" s="3832"/>
      <c r="D143" s="3833"/>
      <c r="E143" s="3833"/>
      <c r="F143" s="3834"/>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2"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2"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2"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2"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2"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2"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2"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2"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2"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2"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2"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2"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2"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2"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2"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2"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2"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2"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2"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2"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2"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2"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2"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2"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2"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2"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2"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2"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2"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2"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2"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2"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2"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2"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2"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2"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2"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2"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2"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2"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2"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2"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2"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2"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2"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2"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2"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2"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2"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2"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2"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2"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2"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2"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2"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2"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2"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2"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2"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2"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2"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2"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2"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2"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2"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2"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2"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2"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2"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2"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2"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2"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2"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2"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2"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2"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2"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2"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2"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2"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2"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2"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2"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2"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2"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2"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2"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2"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2"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2"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2"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2"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2"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2"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2"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2"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2"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2"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2"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2"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2"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2"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2"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2"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3346" t="s">
        <v>1260</v>
      </c>
      <c r="C1" s="1847" t="s">
        <v>1261</v>
      </c>
      <c r="D1" s="1848"/>
      <c r="E1" s="1849" t="s">
        <v>1262</v>
      </c>
      <c r="F1" s="1850" t="s">
        <v>1263</v>
      </c>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t="e">
        <f ca="1">IF(C2="含税",D2,ROUND(D2/(1+F3),0))</f>
        <v>#DIV/0!</v>
      </c>
      <c r="C2" s="1859" t="s">
        <v>1266</v>
      </c>
      <c r="D2" s="1860" t="e">
        <f ca="1">IF(E1="项目模式",IF(E2="——",ROUND(C50*D3/10000,0),ROUND(C50*D3/10000,0)-F2),IF(E1="单套模式",IF(E2="——",ROUND(C50*D3/10000,4),ROUND(C50*D3/10000,4)-F2)))</f>
        <v>#DIV/0!</v>
      </c>
      <c r="E2" s="1861" t="s">
        <v>124</v>
      </c>
      <c r="F2" s="3402"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IF(E2="——",C50,ROUND(B2*10000/D3,0))</f>
        <v>#DIV/0!</v>
      </c>
      <c r="C3" s="1865" t="s">
        <v>1269</v>
      </c>
      <c r="D3" s="1864">
        <f>IF(D1="",'数据-汇总表'!E3,SUMIF('数据-汇总表'!$C19:$C33,D1,'数据-汇总表'!$E19:$E33))</f>
        <v>32267.62</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3403" t="s">
        <v>1277</v>
      </c>
      <c r="Q4" s="3404"/>
      <c r="R4" s="3405" t="s">
        <v>1273</v>
      </c>
      <c r="S4" s="3406"/>
      <c r="T4" s="3405" t="s">
        <v>1274</v>
      </c>
      <c r="U4" s="3406"/>
      <c r="V4" s="3407" t="s">
        <v>1275</v>
      </c>
      <c r="W4" s="3407"/>
      <c r="X4" s="3408"/>
      <c r="Y4" s="3409" t="s">
        <v>1277</v>
      </c>
      <c r="Z4" s="3410"/>
      <c r="AA4" s="3408" t="s">
        <v>1273</v>
      </c>
      <c r="AB4" s="3408" t="s">
        <v>1274</v>
      </c>
      <c r="AC4" s="3411" t="s">
        <v>1275</v>
      </c>
    </row>
    <row r="5" ht="15" spans="1:29">
      <c r="A5" s="1765"/>
      <c r="B5" s="1766"/>
      <c r="C5" s="3412" t="s">
        <v>1278</v>
      </c>
      <c r="D5" s="1874"/>
      <c r="E5" s="3413" t="s">
        <v>1279</v>
      </c>
      <c r="F5" s="1876"/>
      <c r="G5" s="3412" t="s">
        <v>1280</v>
      </c>
      <c r="H5" s="1874"/>
      <c r="I5" s="3412" t="s">
        <v>1281</v>
      </c>
      <c r="J5" s="1874"/>
      <c r="K5" s="1389"/>
      <c r="L5" s="1390"/>
      <c r="M5" s="1391"/>
      <c r="N5" s="1391"/>
      <c r="O5" s="1391"/>
      <c r="P5" s="3414"/>
      <c r="Q5" s="1407"/>
      <c r="R5" s="1408"/>
      <c r="S5" s="1409"/>
      <c r="T5" s="1408"/>
      <c r="U5" s="1409"/>
      <c r="V5" s="801"/>
      <c r="W5" s="801"/>
      <c r="X5" s="1396"/>
      <c r="Y5" s="1410"/>
      <c r="Z5" s="1411"/>
      <c r="AA5" s="1396"/>
      <c r="AB5" s="1396"/>
      <c r="AC5" s="2007"/>
    </row>
    <row r="6" ht="15.75" spans="1:29">
      <c r="A6" s="1767"/>
      <c r="B6" s="1768"/>
      <c r="C6" s="1879" t="s">
        <v>1282</v>
      </c>
      <c r="D6" s="1880"/>
      <c r="E6" s="1881" t="s">
        <v>1283</v>
      </c>
      <c r="F6" s="1882"/>
      <c r="G6" s="1879" t="s">
        <v>1284</v>
      </c>
      <c r="H6" s="1880"/>
      <c r="I6" s="1879" t="s">
        <v>1285</v>
      </c>
      <c r="J6" s="1880"/>
      <c r="K6" s="1389" t="s">
        <v>1286</v>
      </c>
      <c r="L6" s="1390"/>
      <c r="M6" s="1391"/>
      <c r="N6" s="1391"/>
      <c r="O6" s="1391"/>
      <c r="P6" s="3415"/>
      <c r="Q6" s="1419"/>
      <c r="R6" s="1408"/>
      <c r="S6" s="1409"/>
      <c r="T6" s="1420"/>
      <c r="U6" s="1421"/>
      <c r="V6" s="801"/>
      <c r="W6" s="801"/>
      <c r="X6" s="1396"/>
      <c r="Y6" s="1422"/>
      <c r="Z6" s="1423"/>
      <c r="AA6" s="1424"/>
      <c r="AB6" s="1424"/>
      <c r="AC6" s="3416"/>
    </row>
    <row r="7" s="1352" customFormat="1" ht="15.75" spans="1:29">
      <c r="A7" s="1885" t="s">
        <v>1287</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7"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3418" t="e">
        <f>D7/J7</f>
        <v>#DIV/0!</v>
      </c>
    </row>
    <row r="8" s="1352" customFormat="1" ht="15.75" spans="1:29">
      <c r="A8" s="1885" t="s">
        <v>1290</v>
      </c>
      <c r="B8" s="1886"/>
      <c r="C8" s="1895" t="s">
        <v>1291</v>
      </c>
      <c r="D8" s="1888">
        <v>100</v>
      </c>
      <c r="E8" s="1895" t="s">
        <v>1291</v>
      </c>
      <c r="F8" s="1890">
        <f>SUMIF(62:62,E8,63:63)-SUMIF(62:62,C8,63:63)+100</f>
        <v>100</v>
      </c>
      <c r="G8" s="1895" t="s">
        <v>1291</v>
      </c>
      <c r="H8" s="1892">
        <f>SUMIF(62:62,G8,63:63)-SUMIF(62:62,C8,63:63)+100</f>
        <v>100</v>
      </c>
      <c r="I8" s="1895" t="s">
        <v>1291</v>
      </c>
      <c r="J8" s="1892">
        <f>SUMIF(62:62,I8,63:63)-SUMIF(62:62,C8,63:63)+100</f>
        <v>100</v>
      </c>
      <c r="K8" s="1433"/>
      <c r="L8" s="1434"/>
      <c r="M8" s="1435"/>
      <c r="N8" s="1435"/>
      <c r="O8" s="1435"/>
      <c r="P8" s="3417" t="s">
        <v>1292</v>
      </c>
      <c r="Q8" s="1445"/>
      <c r="R8" s="2057" t="s">
        <v>1289</v>
      </c>
      <c r="S8" s="2058">
        <f t="shared" si="0"/>
        <v>100</v>
      </c>
      <c r="T8" s="2057" t="s">
        <v>1289</v>
      </c>
      <c r="U8" s="2058">
        <f t="shared" si="1"/>
        <v>100</v>
      </c>
      <c r="V8" s="2057" t="s">
        <v>1289</v>
      </c>
      <c r="W8" s="2058">
        <f t="shared" si="2"/>
        <v>100</v>
      </c>
      <c r="X8" s="1440"/>
      <c r="Y8" s="1441" t="s">
        <v>1292</v>
      </c>
      <c r="Z8" s="1442"/>
      <c r="AA8" s="1443">
        <f t="shared" ref="AA8:AA47" si="3">D8/F8</f>
        <v>1</v>
      </c>
      <c r="AB8" s="1443">
        <f t="shared" ref="AB8:AB47" si="4">D8/H8</f>
        <v>1</v>
      </c>
      <c r="AC8" s="3418">
        <f t="shared" ref="AC8:AC47" si="5">D8/J8</f>
        <v>1</v>
      </c>
    </row>
    <row r="9" s="1352" customFormat="1" spans="1:29">
      <c r="A9" s="1896" t="s">
        <v>1293</v>
      </c>
      <c r="B9" s="1897" t="s">
        <v>1294</v>
      </c>
      <c r="C9" s="3356"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120</v>
      </c>
      <c r="X9" s="1440"/>
      <c r="Y9" s="1169" t="s">
        <v>1296</v>
      </c>
      <c r="Z9" s="1443" t="str">
        <f t="shared" ref="Z9:Z15" si="7">Q9</f>
        <v>用途</v>
      </c>
      <c r="AA9" s="1443">
        <f t="shared" si="3"/>
        <v>1</v>
      </c>
      <c r="AB9" s="1443">
        <f t="shared" si="4"/>
        <v>1</v>
      </c>
      <c r="AC9" s="3418">
        <f t="shared" si="5"/>
        <v>0.833333333333333</v>
      </c>
    </row>
    <row r="10" s="1353" customFormat="1" ht="27" spans="1:29">
      <c r="A10" s="1902"/>
      <c r="B10" s="1903" t="s">
        <v>1297</v>
      </c>
      <c r="C10" s="3358" t="s">
        <v>1298</v>
      </c>
      <c r="D10" s="1905">
        <v>100</v>
      </c>
      <c r="E10" s="3358" t="s">
        <v>1298</v>
      </c>
      <c r="F10" s="1906">
        <f>SUMIF(66:66,E10,67:67)-SUMIF(66:66,C10,67:67)+100</f>
        <v>100</v>
      </c>
      <c r="G10" s="3359" t="s">
        <v>1299</v>
      </c>
      <c r="H10" s="1906">
        <f>SUMIF(66:66,G10,67:67)-SUMIF(66:66,C10,67:67)+100</f>
        <v>100</v>
      </c>
      <c r="I10" s="3358" t="s">
        <v>1300</v>
      </c>
      <c r="J10" s="1906">
        <f>SUMIF(66:66,I10,67:67)-SUMIF(66:66,C10,67:67)+100</f>
        <v>100</v>
      </c>
      <c r="K10" s="1433"/>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3418">
        <f t="shared" si="5"/>
        <v>1</v>
      </c>
    </row>
    <row r="11" ht="15" spans="1:29">
      <c r="A11" s="1676"/>
      <c r="B11" s="1903" t="s">
        <v>1301</v>
      </c>
      <c r="C11" s="3363"/>
      <c r="D11" s="1905">
        <v>100</v>
      </c>
      <c r="E11" s="3363"/>
      <c r="F11" s="1906">
        <f>LOOKUP(E11,69:69,70:70)-LOOKUP(C11,69:69,70:70)+100</f>
        <v>100</v>
      </c>
      <c r="G11" s="3364"/>
      <c r="H11" s="1906">
        <f>LOOKUP(G11,69:69,70:70)-LOOKUP(C11,69:69,70:70)+100</f>
        <v>100</v>
      </c>
      <c r="I11" s="3363"/>
      <c r="J11" s="1906">
        <f>LOOKUP(I11,69:69,70:70)-LOOKUP(C11,69:69,70:70)+100</f>
        <v>100</v>
      </c>
      <c r="K11" s="1520"/>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3418">
        <f t="shared" si="5"/>
        <v>1</v>
      </c>
    </row>
    <row r="12" s="1352" customFormat="1" ht="15" spans="1:29">
      <c r="A12" s="1724"/>
      <c r="B12" s="1907">
        <v>111</v>
      </c>
      <c r="C12" s="1908"/>
      <c r="D12" s="1910">
        <v>100</v>
      </c>
      <c r="E12" s="1908"/>
      <c r="F12" s="1906">
        <f>SUMIF(71:71,E12,72:72)-SUMIF(71:71,C12,72:72)+100</f>
        <v>100</v>
      </c>
      <c r="G12" s="3419"/>
      <c r="H12" s="1906">
        <f>SUMIF(71:71,G12,72:72)-SUMIF(71:71,C12,72:72)+100</f>
        <v>100</v>
      </c>
      <c r="I12" s="1908"/>
      <c r="J12" s="1906">
        <f>SUMIF(71:71,I12,72:72)-SUMIF(71:71,C12,72:72)+100</f>
        <v>100</v>
      </c>
      <c r="K12" s="1517"/>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3418">
        <f t="shared" si="5"/>
        <v>1</v>
      </c>
    </row>
    <row r="13" ht="15" spans="1:29">
      <c r="A13" s="1676"/>
      <c r="B13" s="1907">
        <v>111</v>
      </c>
      <c r="C13" s="1911"/>
      <c r="D13" s="1912">
        <v>100</v>
      </c>
      <c r="E13" s="1908"/>
      <c r="F13" s="1906">
        <f>SUMIF(73:73,E13,74:74)-SUMIF(73:73,C13,74:74)+100</f>
        <v>100</v>
      </c>
      <c r="G13" s="3419"/>
      <c r="H13" s="1915">
        <f>SUMIF(73:73,G13,74:74)-SUMIF(73:73,C13,74:74)+100</f>
        <v>100</v>
      </c>
      <c r="I13" s="1908"/>
      <c r="J13" s="1915">
        <f>SUMIF(73:73,I13,74:74)-SUMIF(73:73,C13,74:74)+100</f>
        <v>100</v>
      </c>
      <c r="K13" s="1517"/>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3418">
        <f t="shared" si="5"/>
        <v>1</v>
      </c>
    </row>
    <row r="14" ht="15.75" spans="1:29">
      <c r="A14" s="2066"/>
      <c r="B14" s="1963">
        <v>111</v>
      </c>
      <c r="C14" s="1964"/>
      <c r="D14" s="1965">
        <v>100</v>
      </c>
      <c r="E14" s="2012"/>
      <c r="F14" s="1914">
        <f>SUMIF(75:75,E14,76:76)-SUMIF(75:75,C14,76:76)+100</f>
        <v>100</v>
      </c>
      <c r="G14" s="3419"/>
      <c r="H14" s="1914">
        <f>SUMIF(75:75,G14,76:76)-SUMIF(75:75,C14,76:76)+100</f>
        <v>100</v>
      </c>
      <c r="I14" s="1908"/>
      <c r="J14" s="1914">
        <f>SUMIF(75:75,I14,76:76)-SUMIF(75:75,C14,76:76)+100</f>
        <v>100</v>
      </c>
      <c r="K14" s="1517"/>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3418">
        <f t="shared" si="5"/>
        <v>1</v>
      </c>
    </row>
    <row r="15" ht="68.25" spans="1:29">
      <c r="A15" s="1669" t="s">
        <v>1302</v>
      </c>
      <c r="B15" s="2006" t="s">
        <v>1303</v>
      </c>
      <c r="C15" s="3420"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1304</v>
      </c>
      <c r="Q15" s="1051" t="str">
        <f t="shared" si="6"/>
        <v>办公集聚程度</v>
      </c>
      <c r="R15" s="2070" t="s">
        <v>1289</v>
      </c>
      <c r="S15" s="2071">
        <f t="shared" si="0"/>
        <v>5</v>
      </c>
      <c r="T15" s="2070" t="s">
        <v>1289</v>
      </c>
      <c r="U15" s="2071">
        <f t="shared" si="1"/>
        <v>5</v>
      </c>
      <c r="V15" s="2070" t="s">
        <v>1289</v>
      </c>
      <c r="W15" s="2071">
        <f t="shared" si="2"/>
        <v>5</v>
      </c>
      <c r="X15" s="1396"/>
      <c r="Y15" s="1490" t="s">
        <v>1304</v>
      </c>
      <c r="Z15" s="1491" t="str">
        <f t="shared" si="7"/>
        <v>办公集聚程度</v>
      </c>
      <c r="AA15" s="1491">
        <f t="shared" si="3"/>
        <v>20</v>
      </c>
      <c r="AB15" s="1491">
        <f t="shared" si="4"/>
        <v>20</v>
      </c>
      <c r="AC15" s="3421">
        <f t="shared" si="5"/>
        <v>20</v>
      </c>
    </row>
    <row r="16" ht="15" spans="1:29">
      <c r="A16" s="1676"/>
      <c r="B16" s="3422"/>
      <c r="C16" s="3423" t="s">
        <v>1305</v>
      </c>
      <c r="D16" s="1928"/>
      <c r="E16" s="1927"/>
      <c r="F16" s="1691"/>
      <c r="G16" s="3423"/>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1">
        <v>1</v>
      </c>
    </row>
    <row r="17" ht="67.5" spans="1:29">
      <c r="A17" s="1676"/>
      <c r="B17" s="2008" t="s">
        <v>1306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3421">
        <f t="shared" si="5"/>
        <v>1</v>
      </c>
    </row>
    <row r="18" ht="15" spans="1:29">
      <c r="A18" s="1676"/>
      <c r="B18" s="2009"/>
      <c r="C18" s="3424"/>
      <c r="D18" s="1942"/>
      <c r="E18" s="3425"/>
      <c r="F18" s="1929"/>
      <c r="G18" s="3426"/>
      <c r="H18" s="1691"/>
      <c r="I18" s="3426"/>
      <c r="J18" s="1691"/>
      <c r="K18" s="1930"/>
      <c r="L18" s="1475"/>
      <c r="M18" s="1391"/>
      <c r="N18" s="1391"/>
      <c r="O18" s="1391"/>
      <c r="P18" s="1516"/>
      <c r="Q18" s="1051"/>
      <c r="R18" s="2070"/>
      <c r="S18" s="2071"/>
      <c r="T18" s="2070"/>
      <c r="U18" s="2071"/>
      <c r="V18" s="2070"/>
      <c r="W18" s="2071"/>
      <c r="X18" s="1396"/>
      <c r="Y18" s="1499"/>
      <c r="Z18" s="1491"/>
      <c r="AA18" s="1491">
        <v>1</v>
      </c>
      <c r="AB18" s="1491">
        <v>1</v>
      </c>
      <c r="AC18" s="3421">
        <v>1</v>
      </c>
    </row>
    <row r="19" ht="40.5" spans="1:29">
      <c r="A19" s="1676"/>
      <c r="B19" s="2008" t="s">
        <v>1307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3421">
        <f t="shared" si="5"/>
        <v>1</v>
      </c>
    </row>
    <row r="20" ht="15" spans="1:29">
      <c r="A20" s="1676"/>
      <c r="B20" s="2009"/>
      <c r="C20" s="3423"/>
      <c r="D20" s="1928"/>
      <c r="E20" s="3370"/>
      <c r="F20" s="1691"/>
      <c r="G20" s="3369"/>
      <c r="H20" s="1691"/>
      <c r="I20" s="3369"/>
      <c r="J20" s="1691"/>
      <c r="K20" s="1930"/>
      <c r="L20" s="1475"/>
      <c r="M20" s="1391"/>
      <c r="N20" s="1391"/>
      <c r="O20" s="1391"/>
      <c r="P20" s="1516"/>
      <c r="Q20" s="1051"/>
      <c r="R20" s="2070"/>
      <c r="S20" s="2071"/>
      <c r="T20" s="2070"/>
      <c r="U20" s="2071"/>
      <c r="V20" s="2070"/>
      <c r="W20" s="2071"/>
      <c r="X20" s="1396"/>
      <c r="Y20" s="1499"/>
      <c r="Z20" s="1491"/>
      <c r="AA20" s="1491">
        <v>1</v>
      </c>
      <c r="AB20" s="1491">
        <v>1</v>
      </c>
      <c r="AC20" s="3421">
        <v>1</v>
      </c>
    </row>
    <row r="21" ht="27" spans="1:29">
      <c r="A21" s="1676"/>
      <c r="B21" s="1948" t="s">
        <v>1308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3421">
        <f t="shared" ref="AC21" si="10">D21/J21</f>
        <v>1</v>
      </c>
    </row>
    <row r="22" ht="15" spans="1:29">
      <c r="A22" s="1676"/>
      <c r="B22" s="1948"/>
      <c r="C22" s="3424"/>
      <c r="D22" s="1928"/>
      <c r="E22" s="1927"/>
      <c r="F22" s="1691"/>
      <c r="G22" s="3423"/>
      <c r="H22" s="1691"/>
      <c r="I22" s="3423"/>
      <c r="J22" s="1691"/>
      <c r="K22" s="1943"/>
      <c r="L22" s="1475"/>
      <c r="M22" s="1391"/>
      <c r="N22" s="1391"/>
      <c r="O22" s="1391"/>
      <c r="P22" s="1516"/>
      <c r="Q22" s="1051"/>
      <c r="R22" s="2070"/>
      <c r="S22" s="2071"/>
      <c r="T22" s="2070"/>
      <c r="U22" s="2071"/>
      <c r="V22" s="2070"/>
      <c r="W22" s="2071"/>
      <c r="X22" s="1396"/>
      <c r="Y22" s="1499"/>
      <c r="Z22" s="1491"/>
      <c r="AA22" s="1491">
        <v>1</v>
      </c>
      <c r="AB22" s="1491">
        <v>1</v>
      </c>
      <c r="AC22" s="3421">
        <v>1</v>
      </c>
    </row>
    <row r="23" ht="40.5" spans="1:29">
      <c r="A23" s="1676"/>
      <c r="B23" s="2008" t="s">
        <v>1309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1289</v>
      </c>
      <c r="S23" s="2071">
        <f>F23</f>
        <v>100</v>
      </c>
      <c r="T23" s="2070" t="s">
        <v>1289</v>
      </c>
      <c r="U23" s="2071">
        <f>H23</f>
        <v>100</v>
      </c>
      <c r="V23" s="2070" t="s">
        <v>1289</v>
      </c>
      <c r="W23" s="2071">
        <f>J23</f>
        <v>100</v>
      </c>
      <c r="X23" s="1396"/>
      <c r="Y23" s="1499"/>
      <c r="Z23" s="1491" t="str">
        <f>Q23</f>
        <v>环境质量</v>
      </c>
      <c r="AA23" s="1491">
        <f t="shared" si="3"/>
        <v>1</v>
      </c>
      <c r="AB23" s="1491">
        <f t="shared" si="4"/>
        <v>1</v>
      </c>
      <c r="AC23" s="3421">
        <f t="shared" si="5"/>
        <v>1</v>
      </c>
    </row>
    <row r="24" ht="15" spans="1:29">
      <c r="A24" s="1676"/>
      <c r="B24" s="1948"/>
      <c r="C24" s="3423"/>
      <c r="D24" s="1928"/>
      <c r="E24" s="3370"/>
      <c r="F24" s="1691"/>
      <c r="G24" s="3369"/>
      <c r="H24" s="1691"/>
      <c r="I24" s="3369"/>
      <c r="J24" s="1691"/>
      <c r="K24" s="1930"/>
      <c r="L24" s="1475"/>
      <c r="M24" s="1391"/>
      <c r="N24" s="1391"/>
      <c r="O24" s="1391"/>
      <c r="P24" s="1516"/>
      <c r="Q24" s="1051"/>
      <c r="R24" s="2070"/>
      <c r="S24" s="2071"/>
      <c r="T24" s="2070"/>
      <c r="U24" s="2071"/>
      <c r="V24" s="2070"/>
      <c r="W24" s="2071"/>
      <c r="X24" s="1396"/>
      <c r="Y24" s="1499"/>
      <c r="Z24" s="1491"/>
      <c r="AA24" s="1491">
        <v>1</v>
      </c>
      <c r="AB24" s="1491">
        <v>1</v>
      </c>
      <c r="AC24" s="3421">
        <v>1</v>
      </c>
    </row>
    <row r="25" ht="27" spans="1:29">
      <c r="A25" s="1765"/>
      <c r="B25" s="2008" t="s">
        <v>1310</v>
      </c>
      <c r="C25" s="3427"/>
      <c r="D25" s="1912">
        <v>100</v>
      </c>
      <c r="E25" s="1911"/>
      <c r="F25" s="1915">
        <f>SUMIF(87:87,E26,88:88)-SUMIF(87:87,C26,88:88)+100</f>
        <v>100</v>
      </c>
      <c r="G25" s="34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1289</v>
      </c>
      <c r="S25" s="2071">
        <f>F25</f>
        <v>100</v>
      </c>
      <c r="T25" s="2070" t="s">
        <v>1289</v>
      </c>
      <c r="U25" s="2071">
        <f>H25</f>
        <v>100</v>
      </c>
      <c r="V25" s="2070" t="s">
        <v>1289</v>
      </c>
      <c r="W25" s="2071">
        <f>J25</f>
        <v>100</v>
      </c>
      <c r="X25" s="1396"/>
      <c r="Y25" s="1499"/>
      <c r="Z25" s="1491" t="str">
        <f>Q25</f>
        <v>毗邻道路的类型与等级</v>
      </c>
      <c r="AA25" s="1491">
        <f t="shared" si="3"/>
        <v>1</v>
      </c>
      <c r="AB25" s="1491">
        <f t="shared" si="4"/>
        <v>1</v>
      </c>
      <c r="AC25" s="3421">
        <f t="shared" si="5"/>
        <v>1</v>
      </c>
    </row>
    <row r="26" ht="15" spans="1:29">
      <c r="A26" s="1765"/>
      <c r="B26" s="2009"/>
      <c r="C26" s="3428"/>
      <c r="D26" s="1912"/>
      <c r="E26" s="1944"/>
      <c r="F26" s="1915"/>
      <c r="G26" s="3428"/>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1">
        <v>1</v>
      </c>
    </row>
    <row r="27" ht="15" spans="1:29">
      <c r="A27" s="1676"/>
      <c r="B27" s="2009" t="s">
        <v>1311</v>
      </c>
      <c r="C27" s="3428"/>
      <c r="D27" s="1912">
        <v>100</v>
      </c>
      <c r="E27" s="1944"/>
      <c r="F27" s="1915">
        <f>SUMIF(89:89,E27,90:90)-SUMIF(89:89,C27,90:90)+100</f>
        <v>100</v>
      </c>
      <c r="G27" s="3428"/>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1289</v>
      </c>
      <c r="S27" s="2071">
        <f>F27</f>
        <v>100</v>
      </c>
      <c r="T27" s="2070" t="s">
        <v>1289</v>
      </c>
      <c r="U27" s="2071">
        <f>H27</f>
        <v>100</v>
      </c>
      <c r="V27" s="2070" t="s">
        <v>1289</v>
      </c>
      <c r="W27" s="2071">
        <f>J27</f>
        <v>100</v>
      </c>
      <c r="X27" s="1396"/>
      <c r="Y27" s="1499"/>
      <c r="Z27" s="1491" t="str">
        <f>Q27</f>
        <v>楼层</v>
      </c>
      <c r="AA27" s="1491">
        <f t="shared" si="3"/>
        <v>1</v>
      </c>
      <c r="AB27" s="1491">
        <f t="shared" si="4"/>
        <v>1</v>
      </c>
      <c r="AC27" s="3421">
        <f t="shared" si="5"/>
        <v>1</v>
      </c>
    </row>
    <row r="28" s="1352" customFormat="1" ht="15" spans="1:29">
      <c r="A28" s="1724"/>
      <c r="B28" s="2008" t="s">
        <v>1312</v>
      </c>
      <c r="C28" s="3429"/>
      <c r="D28" s="3371">
        <v>100</v>
      </c>
      <c r="E28" s="3430"/>
      <c r="F28" s="2009">
        <f>SUMIF(91:91,E28,92:92)-SUMIF(91:91,C28,92:92)+100</f>
        <v>100</v>
      </c>
      <c r="G28" s="3429"/>
      <c r="H28" s="2009">
        <f>SUMIF(91:91,G28,92:92)-SUMIF(91:91,C28,92:92)+100</f>
        <v>100</v>
      </c>
      <c r="I28" s="3430"/>
      <c r="J28" s="2009">
        <f>SUMIF(91:91,I28,92:92)-SUMIF(91:91,C28,92:92)+100</f>
        <v>100</v>
      </c>
      <c r="K28" s="1520"/>
      <c r="L28" s="1434"/>
      <c r="M28" s="1435"/>
      <c r="N28" s="1435"/>
      <c r="O28" s="1435"/>
      <c r="P28" s="1516"/>
      <c r="Q28" s="1205" t="str">
        <f t="shared" si="11"/>
        <v>朝向</v>
      </c>
      <c r="R28" s="2057" t="s">
        <v>1289</v>
      </c>
      <c r="S28" s="2058">
        <f>F28</f>
        <v>100</v>
      </c>
      <c r="T28" s="2057" t="s">
        <v>1289</v>
      </c>
      <c r="U28" s="2058">
        <f>H28</f>
        <v>100</v>
      </c>
      <c r="V28" s="2057" t="s">
        <v>1289</v>
      </c>
      <c r="W28" s="2058">
        <f>J28</f>
        <v>100</v>
      </c>
      <c r="X28" s="1440"/>
      <c r="Y28" s="1499"/>
      <c r="Z28" s="1443" t="str">
        <f>Q28</f>
        <v>朝向</v>
      </c>
      <c r="AA28" s="1491">
        <f t="shared" si="3"/>
        <v>1</v>
      </c>
      <c r="AB28" s="1491">
        <f t="shared" si="4"/>
        <v>1</v>
      </c>
      <c r="AC28" s="3421">
        <f t="shared" si="5"/>
        <v>1</v>
      </c>
    </row>
    <row r="29" ht="15" spans="1:29">
      <c r="A29" s="1676"/>
      <c r="B29" s="1650">
        <v>111</v>
      </c>
      <c r="C29" s="3427"/>
      <c r="D29" s="1912">
        <v>100</v>
      </c>
      <c r="E29" s="1908"/>
      <c r="F29" s="1915">
        <f>SUMIF(93:93,E29,94:94)-SUMIF(93:93,C29,94:94)+100</f>
        <v>100</v>
      </c>
      <c r="G29" s="3419"/>
      <c r="H29" s="1915">
        <f>SUMIF(93:93,G29,94:94)-SUMIF(93:93,C29,94:94)+100</f>
        <v>100</v>
      </c>
      <c r="I29" s="1908"/>
      <c r="J29" s="1915">
        <f>SUMIF(93:93,I29,94:94)-SUMIF(93:93,C29,94:94)+100</f>
        <v>100</v>
      </c>
      <c r="K29" s="1517"/>
      <c r="L29" s="1475"/>
      <c r="M29" s="1391"/>
      <c r="N29" s="1391"/>
      <c r="O29" s="1391"/>
      <c r="P29" s="1516"/>
      <c r="Q29" s="1051">
        <f t="shared" si="11"/>
        <v>111</v>
      </c>
      <c r="R29" s="2070" t="s">
        <v>1289</v>
      </c>
      <c r="S29" s="2071">
        <f t="shared" ref="S29:S47" si="12">F29</f>
        <v>100</v>
      </c>
      <c r="T29" s="2070" t="s">
        <v>1289</v>
      </c>
      <c r="U29" s="2071">
        <f t="shared" ref="U29:U47" si="13">H29</f>
        <v>100</v>
      </c>
      <c r="V29" s="2070" t="s">
        <v>1289</v>
      </c>
      <c r="W29" s="2071">
        <f t="shared" ref="W29:W47" si="14">J29</f>
        <v>100</v>
      </c>
      <c r="X29" s="1396"/>
      <c r="Y29" s="1499"/>
      <c r="Z29" s="1491">
        <f t="shared" ref="Z29:Z47" si="15">Q29</f>
        <v>111</v>
      </c>
      <c r="AA29" s="1491">
        <f t="shared" si="3"/>
        <v>1</v>
      </c>
      <c r="AB29" s="1491">
        <f t="shared" si="4"/>
        <v>1</v>
      </c>
      <c r="AC29" s="3421">
        <f t="shared" si="5"/>
        <v>1</v>
      </c>
    </row>
    <row r="30" ht="15" spans="1:29">
      <c r="A30" s="1676"/>
      <c r="B30" s="1650">
        <v>111</v>
      </c>
      <c r="C30" s="3427"/>
      <c r="D30" s="1912">
        <v>100</v>
      </c>
      <c r="E30" s="1908"/>
      <c r="F30" s="1915">
        <f>SUMIF(95:95,E30,96:96)-SUMIF(95:95,C30,96:96)+100</f>
        <v>100</v>
      </c>
      <c r="G30" s="3419"/>
      <c r="H30" s="1915">
        <f>SUMIF(95:95,G30,96:96)-SUMIF(95:95,C30,96:96)+100</f>
        <v>100</v>
      </c>
      <c r="I30" s="1908"/>
      <c r="J30" s="1915">
        <f>SUMIF(95:95,I30,96:96)-SUMIF(95:95,C30,96:96)+100</f>
        <v>100</v>
      </c>
      <c r="K30" s="1517"/>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3421">
        <f t="shared" si="5"/>
        <v>1</v>
      </c>
    </row>
    <row r="31" ht="15" spans="1:29">
      <c r="A31" s="1676"/>
      <c r="B31" s="1650">
        <v>111</v>
      </c>
      <c r="C31" s="3427"/>
      <c r="D31" s="1912">
        <v>100</v>
      </c>
      <c r="E31" s="1908"/>
      <c r="F31" s="1915">
        <f>SUMIF(97:97,E31,98:98)-SUMIF(97:97,C31,98:98)+100</f>
        <v>100</v>
      </c>
      <c r="G31" s="3419"/>
      <c r="H31" s="1915">
        <f>SUMIF(97:97,G31,98:98)-SUMIF(97:97,C31,98:98)+100</f>
        <v>100</v>
      </c>
      <c r="I31" s="1908"/>
      <c r="J31" s="1915">
        <f>SUMIF(97:97,I31,98:98)-SUMIF(97:97,C31,98:98)+100</f>
        <v>100</v>
      </c>
      <c r="K31" s="1517"/>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3421">
        <f t="shared" si="5"/>
        <v>1</v>
      </c>
    </row>
    <row r="32" ht="15.75" spans="1:29">
      <c r="A32" s="2066"/>
      <c r="B32" s="2010">
        <v>111</v>
      </c>
      <c r="C32" s="3431"/>
      <c r="D32" s="1965">
        <v>100</v>
      </c>
      <c r="E32" s="2012"/>
      <c r="F32" s="1914">
        <f>SUMIF(99:99,E32,100:100)-SUMIF(99:99,C32,100:100)+100</f>
        <v>100</v>
      </c>
      <c r="G32" s="3419"/>
      <c r="H32" s="1914">
        <f>SUMIF(99:99,G32,100:100)-SUMIF(99:99,C32,100:100)+100</f>
        <v>100</v>
      </c>
      <c r="I32" s="1908"/>
      <c r="J32" s="1914">
        <f>SUMIF(99:99,I32,100:100)-SUMIF(99:99,C32,100:100)+100</f>
        <v>100</v>
      </c>
      <c r="K32" s="1517"/>
      <c r="L32" s="1475"/>
      <c r="M32" s="1391"/>
      <c r="N32" s="1391"/>
      <c r="O32" s="1391"/>
      <c r="P32" s="1516"/>
      <c r="Q32" s="1051">
        <f t="shared" si="11"/>
        <v>111</v>
      </c>
      <c r="R32" s="2070" t="s">
        <v>1289</v>
      </c>
      <c r="S32" s="2071">
        <f t="shared" si="12"/>
        <v>100</v>
      </c>
      <c r="T32" s="2070" t="s">
        <v>1289</v>
      </c>
      <c r="U32" s="2071">
        <f t="shared" si="13"/>
        <v>100</v>
      </c>
      <c r="V32" s="2070" t="s">
        <v>1289</v>
      </c>
      <c r="W32" s="2071">
        <f t="shared" si="14"/>
        <v>100</v>
      </c>
      <c r="X32" s="1396"/>
      <c r="Y32" s="1499"/>
      <c r="Z32" s="1491">
        <f t="shared" si="15"/>
        <v>111</v>
      </c>
      <c r="AA32" s="1491">
        <f t="shared" si="3"/>
        <v>1</v>
      </c>
      <c r="AB32" s="1491">
        <f t="shared" si="4"/>
        <v>1</v>
      </c>
      <c r="AC32" s="3421">
        <f t="shared" si="5"/>
        <v>1</v>
      </c>
    </row>
    <row r="33" ht="15" spans="1:29">
      <c r="A33" s="1669" t="s">
        <v>1313</v>
      </c>
      <c r="B33" s="1897" t="s">
        <v>1314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1315</v>
      </c>
      <c r="Q33" s="1051" t="str">
        <f t="shared" si="11"/>
        <v>建筑类型</v>
      </c>
      <c r="R33" s="2070" t="s">
        <v>1289</v>
      </c>
      <c r="S33" s="2071">
        <f t="shared" si="12"/>
        <v>100</v>
      </c>
      <c r="T33" s="2070" t="s">
        <v>1289</v>
      </c>
      <c r="U33" s="2071">
        <f t="shared" si="13"/>
        <v>100</v>
      </c>
      <c r="V33" s="2070" t="s">
        <v>1289</v>
      </c>
      <c r="W33" s="2071">
        <f t="shared" si="14"/>
        <v>100</v>
      </c>
      <c r="X33" s="1396"/>
      <c r="Y33" s="1526" t="s">
        <v>1315</v>
      </c>
      <c r="Z33" s="1491" t="str">
        <f t="shared" si="15"/>
        <v>建筑类型</v>
      </c>
      <c r="AA33" s="1491">
        <f t="shared" si="3"/>
        <v>1</v>
      </c>
      <c r="AB33" s="1491">
        <f t="shared" si="4"/>
        <v>1</v>
      </c>
      <c r="AC33" s="3421">
        <f t="shared" si="5"/>
        <v>1</v>
      </c>
    </row>
    <row r="34" s="1354" customFormat="1" ht="15" spans="1:29">
      <c r="A34" s="1745"/>
      <c r="B34" s="1903" t="s">
        <v>1316</v>
      </c>
      <c r="C34" s="1909"/>
      <c r="D34" s="1905">
        <v>100</v>
      </c>
      <c r="E34" s="3364"/>
      <c r="F34" s="1903" t="e">
        <f>LOOKUP(E34,104:104,105:105)-LOOKUP(C34,104:104,105:105)+100</f>
        <v>#N/A</v>
      </c>
      <c r="G34" s="3363"/>
      <c r="H34" s="1906" t="e">
        <f>LOOKUP(G34,104:104,105:105)-LOOKUP(C34,104:104,105:105)+100</f>
        <v>#N/A</v>
      </c>
      <c r="I34" s="3363"/>
      <c r="J34" s="1906" t="e">
        <f>LOOKUP(I34,104:104,105:105)-LOOKUP(C34,104:104,105:105)+100</f>
        <v>#N/A</v>
      </c>
      <c r="K34" s="1517"/>
      <c r="L34" s="1465"/>
      <c r="M34" s="1532"/>
      <c r="N34" s="1532"/>
      <c r="O34" s="1532"/>
      <c r="P34" s="2085"/>
      <c r="Q34" s="2086" t="str">
        <f t="shared" si="11"/>
        <v>项目建筑规模</v>
      </c>
      <c r="R34" s="2087" t="s">
        <v>1289</v>
      </c>
      <c r="S34" s="2088" t="e">
        <f t="shared" si="12"/>
        <v>#N/A</v>
      </c>
      <c r="T34" s="2087" t="s">
        <v>1289</v>
      </c>
      <c r="U34" s="2088" t="e">
        <f t="shared" si="13"/>
        <v>#N/A</v>
      </c>
      <c r="V34" s="2087" t="s">
        <v>1289</v>
      </c>
      <c r="W34" s="2088" t="e">
        <f t="shared" si="14"/>
        <v>#N/A</v>
      </c>
      <c r="X34" s="1537"/>
      <c r="Y34" s="1526"/>
      <c r="Z34" s="1538" t="str">
        <f t="shared" si="15"/>
        <v>项目建筑规模</v>
      </c>
      <c r="AA34" s="1491" t="e">
        <f t="shared" si="3"/>
        <v>#N/A</v>
      </c>
      <c r="AB34" s="1491" t="e">
        <f t="shared" si="4"/>
        <v>#N/A</v>
      </c>
      <c r="AC34" s="3421" t="e">
        <f t="shared" si="5"/>
        <v>#N/A</v>
      </c>
    </row>
    <row r="35" ht="15" spans="1:29">
      <c r="A35" s="1754"/>
      <c r="B35" s="1903" t="s">
        <v>1317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1289</v>
      </c>
      <c r="S35" s="2071">
        <f t="shared" si="12"/>
        <v>100</v>
      </c>
      <c r="T35" s="2070" t="s">
        <v>1289</v>
      </c>
      <c r="U35" s="2071">
        <f t="shared" si="13"/>
        <v>100</v>
      </c>
      <c r="V35" s="2070" t="s">
        <v>1289</v>
      </c>
      <c r="W35" s="2071">
        <f t="shared" si="14"/>
        <v>100</v>
      </c>
      <c r="X35" s="1396"/>
      <c r="Y35" s="1526"/>
      <c r="Z35" s="1491" t="str">
        <f t="shared" si="15"/>
        <v>建筑结构</v>
      </c>
      <c r="AA35" s="1491">
        <f t="shared" si="3"/>
        <v>1</v>
      </c>
      <c r="AB35" s="1491">
        <f t="shared" si="4"/>
        <v>1</v>
      </c>
      <c r="AC35" s="3421">
        <f t="shared" si="5"/>
        <v>1</v>
      </c>
    </row>
    <row r="36" ht="15" spans="1:29">
      <c r="A36" s="1754"/>
      <c r="B36" s="1903" t="s">
        <v>1318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5"/>
        <v>公共部分装修</v>
      </c>
      <c r="AA36" s="1491">
        <f t="shared" si="3"/>
        <v>1</v>
      </c>
      <c r="AB36" s="1491">
        <f t="shared" si="4"/>
        <v>1</v>
      </c>
      <c r="AC36" s="3421">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1289</v>
      </c>
      <c r="S37" s="2071" t="e">
        <f t="shared" si="12"/>
        <v>#N/A</v>
      </c>
      <c r="T37" s="2070" t="s">
        <v>1289</v>
      </c>
      <c r="U37" s="2071" t="e">
        <f t="shared" si="13"/>
        <v>#N/A</v>
      </c>
      <c r="V37" s="2070" t="s">
        <v>1289</v>
      </c>
      <c r="W37" s="2071" t="e">
        <f t="shared" si="14"/>
        <v>#N/A</v>
      </c>
      <c r="X37" s="1396"/>
      <c r="Y37" s="1526"/>
      <c r="Z37" s="1491" t="str">
        <f t="shared" si="15"/>
        <v>成新度</v>
      </c>
      <c r="AA37" s="1491" t="e">
        <f t="shared" si="3"/>
        <v>#N/A</v>
      </c>
      <c r="AB37" s="1491" t="e">
        <f t="shared" si="4"/>
        <v>#N/A</v>
      </c>
      <c r="AC37" s="3421" t="e">
        <f t="shared" si="5"/>
        <v>#N/A</v>
      </c>
    </row>
    <row r="38" s="1352" customFormat="1" ht="15" spans="1:29">
      <c r="A38" s="1961"/>
      <c r="B38" s="1903" t="s">
        <v>1319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1289</v>
      </c>
      <c r="S38" s="2058">
        <f t="shared" si="12"/>
        <v>100</v>
      </c>
      <c r="T38" s="2057" t="s">
        <v>1289</v>
      </c>
      <c r="U38" s="2058">
        <f t="shared" si="13"/>
        <v>100</v>
      </c>
      <c r="V38" s="2057" t="s">
        <v>1289</v>
      </c>
      <c r="W38" s="2058">
        <f t="shared" si="14"/>
        <v>100</v>
      </c>
      <c r="X38" s="1440"/>
      <c r="Y38" s="1526"/>
      <c r="Z38" s="1443" t="str">
        <f t="shared" si="15"/>
        <v>写字楼等级</v>
      </c>
      <c r="AA38" s="1443">
        <f t="shared" si="3"/>
        <v>1</v>
      </c>
      <c r="AB38" s="1443">
        <f t="shared" si="4"/>
        <v>1</v>
      </c>
      <c r="AC38" s="3418">
        <f t="shared" si="5"/>
        <v>1</v>
      </c>
    </row>
    <row r="39" ht="15" spans="1:29">
      <c r="A39" s="1754"/>
      <c r="B39" s="1903" t="s">
        <v>1320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1315</v>
      </c>
      <c r="Q39" s="1051" t="str">
        <f t="shared" si="11"/>
        <v>物业管理</v>
      </c>
      <c r="R39" s="2070" t="s">
        <v>1289</v>
      </c>
      <c r="S39" s="2071">
        <f t="shared" si="12"/>
        <v>100</v>
      </c>
      <c r="T39" s="2070" t="s">
        <v>1289</v>
      </c>
      <c r="U39" s="2071">
        <f t="shared" si="13"/>
        <v>100</v>
      </c>
      <c r="V39" s="2070" t="s">
        <v>1289</v>
      </c>
      <c r="W39" s="2071">
        <f t="shared" si="14"/>
        <v>100</v>
      </c>
      <c r="X39" s="1396"/>
      <c r="Y39" s="1526" t="s">
        <v>1315</v>
      </c>
      <c r="Z39" s="1491" t="str">
        <f t="shared" si="15"/>
        <v>物业管理</v>
      </c>
      <c r="AA39" s="1491">
        <f t="shared" si="3"/>
        <v>1</v>
      </c>
      <c r="AB39" s="1491">
        <f t="shared" si="4"/>
        <v>1</v>
      </c>
      <c r="AC39" s="3421">
        <f t="shared" si="5"/>
        <v>1</v>
      </c>
    </row>
    <row r="40" ht="15" spans="1:29">
      <c r="A40" s="1754"/>
      <c r="B40" s="1903" t="s">
        <v>1321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1289</v>
      </c>
      <c r="S40" s="2071">
        <f t="shared" si="12"/>
        <v>100</v>
      </c>
      <c r="T40" s="2070" t="s">
        <v>1289</v>
      </c>
      <c r="U40" s="2071">
        <f t="shared" si="13"/>
        <v>100</v>
      </c>
      <c r="V40" s="2070" t="s">
        <v>1289</v>
      </c>
      <c r="W40" s="2071">
        <f t="shared" si="14"/>
        <v>100</v>
      </c>
      <c r="X40" s="1396"/>
      <c r="Y40" s="1526"/>
      <c r="Z40" s="1491" t="str">
        <f t="shared" si="15"/>
        <v>市政基础设施</v>
      </c>
      <c r="AA40" s="1491">
        <f t="shared" si="3"/>
        <v>1</v>
      </c>
      <c r="AB40" s="1491">
        <f t="shared" si="4"/>
        <v>1</v>
      </c>
      <c r="AC40" s="3421">
        <f t="shared" si="5"/>
        <v>1</v>
      </c>
    </row>
    <row r="41" ht="15" spans="1:29">
      <c r="A41" s="1754"/>
      <c r="B41" s="1903" t="s">
        <v>1322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1289</v>
      </c>
      <c r="S41" s="2071">
        <f t="shared" si="12"/>
        <v>100</v>
      </c>
      <c r="T41" s="2070" t="s">
        <v>1289</v>
      </c>
      <c r="U41" s="2071">
        <f t="shared" si="13"/>
        <v>100</v>
      </c>
      <c r="V41" s="2070" t="s">
        <v>1289</v>
      </c>
      <c r="W41" s="2071">
        <f t="shared" si="14"/>
        <v>100</v>
      </c>
      <c r="X41" s="1396"/>
      <c r="Y41" s="1526"/>
      <c r="Z41" s="1491" t="str">
        <f t="shared" si="15"/>
        <v>层高</v>
      </c>
      <c r="AA41" s="1491">
        <f t="shared" si="3"/>
        <v>1</v>
      </c>
      <c r="AB41" s="1491">
        <f t="shared" si="4"/>
        <v>1</v>
      </c>
      <c r="AC41" s="3421">
        <f t="shared" si="5"/>
        <v>1</v>
      </c>
    </row>
    <row r="42" s="1354" customFormat="1" ht="15" spans="1:29">
      <c r="A42" s="1745"/>
      <c r="B42" s="1945" t="s">
        <v>1323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1289</v>
      </c>
      <c r="S42" s="2088">
        <f t="shared" si="12"/>
        <v>100</v>
      </c>
      <c r="T42" s="2087" t="s">
        <v>1289</v>
      </c>
      <c r="U42" s="2088">
        <f t="shared" si="13"/>
        <v>100</v>
      </c>
      <c r="V42" s="2087" t="s">
        <v>1289</v>
      </c>
      <c r="W42" s="2088">
        <f t="shared" si="14"/>
        <v>100</v>
      </c>
      <c r="X42" s="1537"/>
      <c r="Y42" s="1526"/>
      <c r="Z42" s="1538" t="str">
        <f t="shared" si="15"/>
        <v>单套建筑面积</v>
      </c>
      <c r="AA42" s="1491">
        <f t="shared" si="3"/>
        <v>1</v>
      </c>
      <c r="AB42" s="1491">
        <f t="shared" si="4"/>
        <v>1</v>
      </c>
      <c r="AC42" s="3421">
        <f t="shared" si="5"/>
        <v>1</v>
      </c>
    </row>
    <row r="43" ht="15" spans="1:29">
      <c r="A43" s="1754"/>
      <c r="B43" s="1903" t="s">
        <v>1324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1289</v>
      </c>
      <c r="S43" s="2071">
        <f t="shared" si="12"/>
        <v>100</v>
      </c>
      <c r="T43" s="2070" t="s">
        <v>1289</v>
      </c>
      <c r="U43" s="2071">
        <f t="shared" si="13"/>
        <v>100</v>
      </c>
      <c r="V43" s="2070" t="s">
        <v>1289</v>
      </c>
      <c r="W43" s="2071">
        <f t="shared" si="14"/>
        <v>100</v>
      </c>
      <c r="X43" s="1396"/>
      <c r="Y43" s="1526"/>
      <c r="Z43" s="1491" t="str">
        <f t="shared" si="15"/>
        <v>内部装修</v>
      </c>
      <c r="AA43" s="1491">
        <f t="shared" si="3"/>
        <v>1</v>
      </c>
      <c r="AB43" s="1491">
        <f t="shared" si="4"/>
        <v>1</v>
      </c>
      <c r="AC43" s="3421">
        <f t="shared" si="5"/>
        <v>1</v>
      </c>
    </row>
    <row r="44" ht="15" spans="1:29">
      <c r="A44" s="1754"/>
      <c r="B44" s="1903" t="s">
        <v>1325</v>
      </c>
      <c r="C44" s="1959"/>
      <c r="D44" s="1912">
        <v>100</v>
      </c>
      <c r="E44" s="3432"/>
      <c r="F44" s="1945">
        <f>SUMIF(125:125,E44,126:126)-SUMIF(125:125,C44,126:126)+100</f>
        <v>100</v>
      </c>
      <c r="G44" s="3432"/>
      <c r="H44" s="1915">
        <f>SUMIF(125:125,G44,126:126)-SUMIF(125:125,C44,126:126)+100</f>
        <v>100</v>
      </c>
      <c r="I44" s="3432"/>
      <c r="J44" s="1915">
        <f>SUMIF(125:125,I44,126:126)-SUMIF(125:125,C44,126:126)+100</f>
        <v>100</v>
      </c>
      <c r="K44" s="1520"/>
      <c r="L44" s="1475"/>
      <c r="M44" s="1391"/>
      <c r="N44" s="1391"/>
      <c r="O44" s="1391"/>
      <c r="P44" s="2085"/>
      <c r="Q44" s="1051" t="str">
        <f t="shared" si="11"/>
        <v>内部装修维护情况</v>
      </c>
      <c r="R44" s="2070" t="s">
        <v>1289</v>
      </c>
      <c r="S44" s="2071">
        <f t="shared" si="12"/>
        <v>100</v>
      </c>
      <c r="T44" s="2070" t="s">
        <v>1289</v>
      </c>
      <c r="U44" s="2071">
        <f t="shared" si="13"/>
        <v>100</v>
      </c>
      <c r="V44" s="2070" t="s">
        <v>1289</v>
      </c>
      <c r="W44" s="2071">
        <f t="shared" si="14"/>
        <v>100</v>
      </c>
      <c r="X44" s="1396"/>
      <c r="Y44" s="1526"/>
      <c r="Z44" s="1491" t="str">
        <f t="shared" si="15"/>
        <v>内部装修维护情况</v>
      </c>
      <c r="AA44" s="1491">
        <f t="shared" si="3"/>
        <v>1</v>
      </c>
      <c r="AB44" s="1491">
        <f t="shared" si="4"/>
        <v>1</v>
      </c>
      <c r="AC44" s="342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1289</v>
      </c>
      <c r="S45" s="2058">
        <f t="shared" si="12"/>
        <v>100</v>
      </c>
      <c r="T45" s="2057" t="s">
        <v>1289</v>
      </c>
      <c r="U45" s="2058">
        <f t="shared" si="13"/>
        <v>100</v>
      </c>
      <c r="V45" s="2057" t="s">
        <v>1289</v>
      </c>
      <c r="W45" s="2058">
        <f t="shared" si="14"/>
        <v>100</v>
      </c>
      <c r="X45" s="1440"/>
      <c r="Y45" s="1526"/>
      <c r="Z45" s="1443">
        <f t="shared" si="15"/>
        <v>111</v>
      </c>
      <c r="AA45" s="1443">
        <f t="shared" si="3"/>
        <v>1</v>
      </c>
      <c r="AB45" s="1443">
        <f t="shared" si="4"/>
        <v>1</v>
      </c>
      <c r="AC45" s="3418">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1289</v>
      </c>
      <c r="S46" s="2071">
        <f t="shared" si="12"/>
        <v>100</v>
      </c>
      <c r="T46" s="2070" t="s">
        <v>1289</v>
      </c>
      <c r="U46" s="2071">
        <f t="shared" si="13"/>
        <v>100</v>
      </c>
      <c r="V46" s="2070" t="s">
        <v>1289</v>
      </c>
      <c r="W46" s="2071">
        <f t="shared" si="14"/>
        <v>100</v>
      </c>
      <c r="X46" s="1396"/>
      <c r="Y46" s="1526"/>
      <c r="Z46" s="1491">
        <f t="shared" si="15"/>
        <v>111</v>
      </c>
      <c r="AA46" s="1491">
        <f t="shared" si="3"/>
        <v>1</v>
      </c>
      <c r="AB46" s="1491">
        <f t="shared" si="4"/>
        <v>1</v>
      </c>
      <c r="AC46" s="342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1289</v>
      </c>
      <c r="S47" s="2071">
        <f t="shared" si="12"/>
        <v>100</v>
      </c>
      <c r="T47" s="2070" t="s">
        <v>1289</v>
      </c>
      <c r="U47" s="2071">
        <f t="shared" si="13"/>
        <v>100</v>
      </c>
      <c r="V47" s="2070" t="s">
        <v>1289</v>
      </c>
      <c r="W47" s="2071">
        <f t="shared" si="14"/>
        <v>100</v>
      </c>
      <c r="X47" s="1396"/>
      <c r="Y47" s="2094"/>
      <c r="Z47" s="1491">
        <f t="shared" si="15"/>
        <v>111</v>
      </c>
      <c r="AA47" s="1491">
        <f t="shared" si="3"/>
        <v>1</v>
      </c>
      <c r="AB47" s="1491">
        <f t="shared" si="4"/>
        <v>1</v>
      </c>
      <c r="AC47" s="3421">
        <f t="shared" si="5"/>
        <v>1</v>
      </c>
    </row>
    <row r="48" ht="15" spans="1:29">
      <c r="A48" s="1552" t="s">
        <v>1326</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2"/>
    </row>
    <row r="49" ht="15.75" spans="1:29">
      <c r="A49" s="1566" t="s">
        <v>1327</v>
      </c>
      <c r="B49" s="1969"/>
      <c r="C49" s="1571" t="e">
        <f>R50</f>
        <v>#DIV/0!</v>
      </c>
      <c r="D49" s="1799" t="s">
        <v>1328</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2"/>
    </row>
    <row r="50" ht="15.75" spans="1:29">
      <c r="A50" s="1573" t="s">
        <v>1329</v>
      </c>
      <c r="B50" s="1574"/>
      <c r="C50" s="1575" t="e">
        <f>R50</f>
        <v>#DIV/0!</v>
      </c>
      <c r="D50" s="1768"/>
      <c r="E50" s="1768"/>
      <c r="F50" s="1768"/>
      <c r="G50" s="1768"/>
      <c r="H50" s="1768"/>
      <c r="I50" s="1768"/>
      <c r="J50" s="1800"/>
      <c r="K50" s="1970"/>
      <c r="L50" s="1561"/>
      <c r="M50" s="1391"/>
      <c r="N50" s="1391"/>
      <c r="O50" s="1391"/>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2204"/>
      <c r="Y50" s="2204"/>
      <c r="Z50" s="2204"/>
      <c r="AA50" s="2204"/>
      <c r="AB50" s="2204"/>
      <c r="AC50" s="2205"/>
    </row>
    <row r="51" spans="1:29">
      <c r="A51" s="1562"/>
      <c r="B51" s="1562"/>
      <c r="C51" s="1562"/>
      <c r="D51" s="1562"/>
      <c r="E51" s="1562">
        <v>2015</v>
      </c>
      <c r="F51" s="1562"/>
      <c r="G51" s="3378">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1287</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1290</v>
      </c>
      <c r="B62" s="1659"/>
      <c r="C62" s="1660" t="s">
        <v>1335</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1336</v>
      </c>
      <c r="B64" s="1670" t="s">
        <v>1294</v>
      </c>
      <c r="C64" s="1599" t="str">
        <f>C9</f>
        <v>研发</v>
      </c>
      <c r="D64" s="3388"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1297</v>
      </c>
      <c r="C66" s="3390" t="s">
        <v>1337</v>
      </c>
      <c r="D66" s="3390" t="s">
        <v>1338</v>
      </c>
      <c r="E66" s="3390" t="s">
        <v>1339</v>
      </c>
      <c r="F66" s="1358" t="s">
        <v>1340</v>
      </c>
      <c r="G66" s="3390" t="s">
        <v>1341</v>
      </c>
      <c r="H66" s="3390" t="s">
        <v>1342</v>
      </c>
      <c r="I66" s="3390" t="s">
        <v>1343</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6"/>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1302</v>
      </c>
      <c r="B77" s="1670" t="s">
        <v>1303</v>
      </c>
      <c r="C77" s="1718" t="s">
        <v>1345</v>
      </c>
      <c r="D77" s="1718" t="s">
        <v>1346</v>
      </c>
      <c r="E77" s="1718" t="s">
        <v>1347</v>
      </c>
      <c r="F77" s="1718" t="s">
        <v>1348</v>
      </c>
      <c r="G77" s="1718" t="s">
        <v>1349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1306</v>
      </c>
      <c r="C79" s="1723" t="s">
        <v>1345</v>
      </c>
      <c r="D79" s="1723" t="s">
        <v>1346</v>
      </c>
      <c r="E79" s="1723" t="s">
        <v>1347</v>
      </c>
      <c r="F79" s="1723" t="s">
        <v>1348</v>
      </c>
      <c r="G79" s="1723" t="s">
        <v>1349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1307</v>
      </c>
      <c r="C81" s="1723" t="s">
        <v>1345</v>
      </c>
      <c r="D81" s="1723" t="s">
        <v>1346</v>
      </c>
      <c r="E81" s="1723" t="s">
        <v>1347</v>
      </c>
      <c r="F81" s="1723" t="s">
        <v>1348</v>
      </c>
      <c r="G81" s="1723" t="s">
        <v>1349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1308</v>
      </c>
      <c r="C83" s="1499" t="s">
        <v>1350</v>
      </c>
      <c r="D83" s="1499" t="s">
        <v>1351</v>
      </c>
      <c r="E83" s="1499" t="s">
        <v>1352</v>
      </c>
      <c r="F83" s="1499" t="s">
        <v>1353</v>
      </c>
      <c r="G83" s="1499" t="s">
        <v>1354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1309</v>
      </c>
      <c r="C85" s="1723" t="s">
        <v>1345</v>
      </c>
      <c r="D85" s="1723" t="s">
        <v>1346</v>
      </c>
      <c r="E85" s="1723" t="s">
        <v>1347</v>
      </c>
      <c r="F85" s="1723" t="s">
        <v>1348</v>
      </c>
      <c r="G85" s="1723" t="s">
        <v>1349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1310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1313</v>
      </c>
      <c r="B101" s="1670" t="s">
        <v>1314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1320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1355</v>
      </c>
      <c r="C119" s="1734"/>
      <c r="D119" s="1734"/>
      <c r="E119" s="1734"/>
      <c r="F119" s="1734"/>
      <c r="G119" s="1734"/>
      <c r="H119" s="1734"/>
      <c r="I119" s="1734"/>
      <c r="J119" s="1734"/>
      <c r="K119" s="1734"/>
      <c r="L119" s="3437"/>
      <c r="M119" s="343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1325</v>
      </c>
      <c r="C125" s="1723" t="s">
        <v>1345</v>
      </c>
      <c r="D125" s="1723" t="s">
        <v>1346</v>
      </c>
      <c r="E125" s="1723" t="s">
        <v>1347</v>
      </c>
      <c r="F125" s="1723" t="s">
        <v>1348</v>
      </c>
      <c r="G125" s="1723" t="s">
        <v>1349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topLeftCell="A19" workbookViewId="0">
      <selection activeCell="M17" sqref="M17"/>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5" customWidth="1"/>
    <col min="17" max="17" width="19.5" style="3345" customWidth="1"/>
    <col min="18" max="18" width="6.125" style="3345" customWidth="1"/>
    <col min="19" max="19" width="5.55" style="3345" customWidth="1"/>
    <col min="20" max="20" width="6.125" style="3345" customWidth="1"/>
    <col min="21" max="21" width="4.375" style="3345" customWidth="1"/>
    <col min="22" max="22" width="6.125" style="3345" customWidth="1"/>
    <col min="23" max="23" width="4.375" style="3345"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1259</v>
      </c>
      <c r="B1" s="3346" t="s">
        <v>1357</v>
      </c>
      <c r="C1" s="1847" t="s">
        <v>1261</v>
      </c>
      <c r="D1" s="1848"/>
      <c r="E1" s="1849" t="s">
        <v>1262</v>
      </c>
      <c r="F1" s="1850" t="s">
        <v>1263</v>
      </c>
      <c r="G1" s="1851" t="s">
        <v>1264</v>
      </c>
      <c r="H1" s="1852"/>
      <c r="I1" s="1852"/>
      <c r="J1" s="1852"/>
      <c r="K1" s="1853"/>
      <c r="L1" s="1854"/>
      <c r="M1" s="1855"/>
      <c r="N1" s="1855"/>
      <c r="O1" s="1855"/>
      <c r="P1" s="3347"/>
      <c r="Q1" s="3347"/>
      <c r="R1" s="3347"/>
      <c r="S1" s="3347"/>
      <c r="T1" s="3347"/>
      <c r="U1" s="3347"/>
      <c r="V1" s="3347"/>
      <c r="W1" s="3347"/>
      <c r="X1" s="1847"/>
      <c r="Y1" s="1847"/>
      <c r="Z1" s="1847"/>
      <c r="AA1" s="1847"/>
      <c r="AB1" s="1847"/>
      <c r="AC1" s="1856"/>
    </row>
    <row r="2" s="1351" customFormat="1" ht="28.5" customHeight="1" spans="1:29">
      <c r="A2" s="1857" t="s">
        <v>1265</v>
      </c>
      <c r="B2" s="1858">
        <f ca="1">IF(C2="含税",D2,ROUND(D2/(1+F3),0))</f>
        <v>108126</v>
      </c>
      <c r="C2" s="1859" t="s">
        <v>1266</v>
      </c>
      <c r="D2" s="1860">
        <f ca="1">IF(E1="项目模式",IF(E2="——",ROUND(C43*D3/10000,0),ROUND(C43*D3/10000,0)-F2),IF(E1="单套模式",IF(E2="——",ROUND(C43*D3/10000,4),ROUND(C43*D3/10000,4)-F2)))</f>
        <v>117857</v>
      </c>
      <c r="E2" s="1861" t="s">
        <v>124</v>
      </c>
      <c r="F2" s="1759" t="e">
        <f ca="1">IF(E1="项目模式",SUMIF(INDIRECT("'"&amp;H2&amp;"'"&amp;"!A:A"),"承租人权益价值",INDIRECT("'"&amp;H2&amp;"'"&amp;"!c:c")),SUMIF(INDIRECT("'"&amp;H2&amp;"'"&amp;"!A:A"),"承租人权益价值（单套）",INDIRECT("'"&amp;H2&amp;"'"&amp;"!c:c")))</f>
        <v>#REF!</v>
      </c>
      <c r="G2" s="1862" t="s">
        <v>1267</v>
      </c>
      <c r="H2" s="1863"/>
      <c r="I2" s="1372"/>
      <c r="J2" s="1372"/>
      <c r="K2" s="1372"/>
      <c r="L2" s="3348"/>
      <c r="M2" s="2053"/>
      <c r="N2" s="2053"/>
      <c r="O2" s="2053"/>
      <c r="P2" s="3349"/>
      <c r="Q2" s="3349"/>
      <c r="R2" s="3349"/>
      <c r="S2" s="3349"/>
      <c r="T2" s="3349"/>
      <c r="U2" s="3349"/>
      <c r="V2" s="3349"/>
      <c r="W2" s="3349"/>
      <c r="X2" s="1369"/>
      <c r="Y2" s="1369"/>
      <c r="Z2" s="1369"/>
      <c r="AA2" s="1369"/>
      <c r="AB2" s="1369"/>
      <c r="AC2" s="1380"/>
    </row>
    <row r="3" s="1351" customFormat="1" ht="28.5" customHeight="1" spans="1:29">
      <c r="A3" s="420" t="s">
        <v>1268</v>
      </c>
      <c r="B3" s="1864">
        <f ca="1">IF(E2="——",C43,ROUND(B2*10000/D3,0))</f>
        <v>36525</v>
      </c>
      <c r="C3" s="1865" t="s">
        <v>1269</v>
      </c>
      <c r="D3" s="1864">
        <f>IF(D1="",'数据-汇总表'!E3,SUMIF('数据-汇总表'!$C19:$C33,D1,'数据-汇总表'!$E19:$E33))</f>
        <v>32267.62</v>
      </c>
      <c r="E3" s="1866" t="s">
        <v>1270</v>
      </c>
      <c r="F3" s="1867">
        <v>0.09</v>
      </c>
      <c r="G3" s="1372"/>
      <c r="H3" s="1372"/>
      <c r="I3" s="1372"/>
      <c r="J3" s="1372"/>
      <c r="K3" s="1374"/>
      <c r="L3" s="3348"/>
      <c r="M3" s="2053"/>
      <c r="N3" s="2053"/>
      <c r="O3" s="2053"/>
      <c r="P3" s="3349"/>
      <c r="Q3" s="3349"/>
      <c r="R3" s="3349"/>
      <c r="S3" s="3349"/>
      <c r="T3" s="3349"/>
      <c r="U3" s="3349"/>
      <c r="V3" s="3349"/>
      <c r="W3" s="334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3350"/>
      <c r="M4" s="3351"/>
      <c r="N4" s="3351"/>
      <c r="O4" s="3351"/>
      <c r="P4" s="1392" t="s">
        <v>1277</v>
      </c>
      <c r="Q4" s="1393"/>
      <c r="R4" s="1394" t="s">
        <v>1273</v>
      </c>
      <c r="S4" s="1395"/>
      <c r="T4" s="1394" t="s">
        <v>1274</v>
      </c>
      <c r="U4" s="1395"/>
      <c r="V4" s="801" t="s">
        <v>1275</v>
      </c>
      <c r="W4" s="801"/>
      <c r="X4" s="1396"/>
      <c r="Y4" s="1397" t="s">
        <v>1277</v>
      </c>
      <c r="Z4" s="1398"/>
      <c r="AA4" s="1399" t="s">
        <v>1273</v>
      </c>
      <c r="AB4" s="1396" t="s">
        <v>1274</v>
      </c>
      <c r="AC4" s="1399" t="s">
        <v>1275</v>
      </c>
    </row>
    <row r="5" ht="15" spans="1:29">
      <c r="A5" s="1765"/>
      <c r="B5" s="1766"/>
      <c r="C5" s="1873" t="s">
        <v>1358</v>
      </c>
      <c r="D5" s="1874"/>
      <c r="E5" s="3352" t="s">
        <v>1359</v>
      </c>
      <c r="F5" s="1876"/>
      <c r="G5" s="3353" t="s">
        <v>1360</v>
      </c>
      <c r="H5" s="1874"/>
      <c r="I5" s="3353" t="s">
        <v>1361</v>
      </c>
      <c r="J5" s="1874"/>
      <c r="K5" s="1389"/>
      <c r="L5" s="3350"/>
      <c r="M5" s="3351"/>
      <c r="N5" s="3351"/>
      <c r="O5" s="3351"/>
      <c r="P5" s="1406"/>
      <c r="Q5" s="1407"/>
      <c r="R5" s="1408"/>
      <c r="S5" s="1409"/>
      <c r="T5" s="1408"/>
      <c r="U5" s="1409"/>
      <c r="V5" s="801"/>
      <c r="W5" s="801"/>
      <c r="X5" s="1396"/>
      <c r="Y5" s="1410"/>
      <c r="Z5" s="1411"/>
      <c r="AA5" s="1396"/>
      <c r="AB5" s="1396"/>
      <c r="AC5" s="1396"/>
    </row>
    <row r="6" ht="15.75" spans="1:29">
      <c r="A6" s="1767"/>
      <c r="B6" s="1768"/>
      <c r="C6" s="1879" t="s">
        <v>1282</v>
      </c>
      <c r="D6" s="1880"/>
      <c r="E6" s="1881" t="s">
        <v>1283</v>
      </c>
      <c r="F6" s="1882"/>
      <c r="G6" s="1879" t="s">
        <v>1284</v>
      </c>
      <c r="H6" s="1880"/>
      <c r="I6" s="1879" t="s">
        <v>1285</v>
      </c>
      <c r="J6" s="1880"/>
      <c r="K6" s="1389" t="s">
        <v>1286</v>
      </c>
      <c r="L6" s="3350"/>
      <c r="M6" s="3351"/>
      <c r="N6" s="3351"/>
      <c r="O6" s="3351"/>
      <c r="P6" s="1418"/>
      <c r="Q6" s="1419"/>
      <c r="R6" s="1408"/>
      <c r="S6" s="1409"/>
      <c r="T6" s="1420"/>
      <c r="U6" s="1421"/>
      <c r="V6" s="801"/>
      <c r="W6" s="801"/>
      <c r="X6" s="1396"/>
      <c r="Y6" s="1422"/>
      <c r="Z6" s="1423"/>
      <c r="AA6" s="1424"/>
      <c r="AB6" s="1424"/>
      <c r="AC6" s="1424"/>
    </row>
    <row r="7" s="1352" customFormat="1" ht="15.75" spans="1:29">
      <c r="A7" s="1885" t="s">
        <v>1287</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4"/>
      <c r="M7" s="3355"/>
      <c r="N7" s="3355"/>
      <c r="O7" s="3355"/>
      <c r="P7" s="1436" t="s">
        <v>1288</v>
      </c>
      <c r="Q7" s="1437"/>
      <c r="R7" s="1438" t="s">
        <v>1289</v>
      </c>
      <c r="S7" s="1439">
        <f t="shared" ref="S7:S15" si="0">F7</f>
        <v>104.5</v>
      </c>
      <c r="T7" s="1438" t="s">
        <v>1289</v>
      </c>
      <c r="U7" s="1439">
        <f t="shared" ref="U7:U15" si="1">H7</f>
        <v>105</v>
      </c>
      <c r="V7" s="1438" t="s">
        <v>1289</v>
      </c>
      <c r="W7" s="1439">
        <f t="shared" ref="W7:W15" si="2">J7</f>
        <v>105</v>
      </c>
      <c r="X7" s="1440"/>
      <c r="Y7" s="1441" t="s">
        <v>1288</v>
      </c>
      <c r="Z7" s="1442"/>
      <c r="AA7" s="1443">
        <f>D7/F7</f>
        <v>0.956937799043062</v>
      </c>
      <c r="AB7" s="1443">
        <f>D7/H7</f>
        <v>0.952380952380952</v>
      </c>
      <c r="AC7" s="1443">
        <f>D7/J7</f>
        <v>0.952380952380952</v>
      </c>
    </row>
    <row r="8" s="1352" customFormat="1" ht="15.75" spans="1:29">
      <c r="A8" s="1885" t="s">
        <v>1290</v>
      </c>
      <c r="B8" s="1886"/>
      <c r="C8" s="1895" t="s">
        <v>1291</v>
      </c>
      <c r="D8" s="1888">
        <v>100</v>
      </c>
      <c r="E8" s="1895" t="s">
        <v>1291</v>
      </c>
      <c r="F8" s="1890">
        <f>SUMIF(55:55,E8,56:56)-SUMIF(55:55,C8,56:56)+100</f>
        <v>100</v>
      </c>
      <c r="G8" s="1895" t="s">
        <v>1291</v>
      </c>
      <c r="H8" s="1892">
        <f>SUMIF(55:55,G8,56:56)-SUMIF(55:55,C8,56:56)+100</f>
        <v>100</v>
      </c>
      <c r="I8" s="1895" t="s">
        <v>1291</v>
      </c>
      <c r="J8" s="1892">
        <f>SUMIF(55:55,I8,56:56)-SUMIF(55:55,C8,56:56)+100</f>
        <v>100</v>
      </c>
      <c r="K8" s="1433"/>
      <c r="L8" s="3354"/>
      <c r="M8" s="3355"/>
      <c r="N8" s="3355"/>
      <c r="O8" s="3355"/>
      <c r="P8" s="1436" t="s">
        <v>1292</v>
      </c>
      <c r="Q8" s="1445"/>
      <c r="R8" s="1438" t="s">
        <v>1289</v>
      </c>
      <c r="S8" s="1439">
        <f t="shared" si="0"/>
        <v>100</v>
      </c>
      <c r="T8" s="1438" t="s">
        <v>1289</v>
      </c>
      <c r="U8" s="1439">
        <f t="shared" si="1"/>
        <v>100</v>
      </c>
      <c r="V8" s="1438" t="s">
        <v>1289</v>
      </c>
      <c r="W8" s="1439">
        <f t="shared" si="2"/>
        <v>100</v>
      </c>
      <c r="X8" s="1440"/>
      <c r="Y8" s="1441" t="s">
        <v>1292</v>
      </c>
      <c r="Z8" s="1442"/>
      <c r="AA8" s="1443">
        <f t="shared" ref="AA8:AA40" si="3">D8/F8</f>
        <v>1</v>
      </c>
      <c r="AB8" s="1443">
        <f t="shared" ref="AB8:AB40" si="4">D8/H8</f>
        <v>1</v>
      </c>
      <c r="AC8" s="1443">
        <f t="shared" ref="AC8:AC40" si="5">D8/J8</f>
        <v>1</v>
      </c>
    </row>
    <row r="9" s="1352" customFormat="1" spans="1:29">
      <c r="A9" s="1896" t="s">
        <v>1293</v>
      </c>
      <c r="B9" s="1897" t="s">
        <v>1294</v>
      </c>
      <c r="C9" s="3356"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4"/>
      <c r="M9" s="3355"/>
      <c r="N9" s="3355"/>
      <c r="O9" s="3357"/>
      <c r="P9" s="1051" t="s">
        <v>1295</v>
      </c>
      <c r="Q9" s="1205" t="str">
        <f t="shared" ref="Q9:Q15" si="6">B9</f>
        <v>用途</v>
      </c>
      <c r="R9" s="1438" t="s">
        <v>1289</v>
      </c>
      <c r="S9" s="1439">
        <f t="shared" si="0"/>
        <v>100</v>
      </c>
      <c r="T9" s="1438" t="s">
        <v>1289</v>
      </c>
      <c r="U9" s="1439">
        <f t="shared" si="1"/>
        <v>100</v>
      </c>
      <c r="V9" s="1438" t="s">
        <v>1289</v>
      </c>
      <c r="W9" s="1439">
        <f t="shared" si="2"/>
        <v>110</v>
      </c>
      <c r="X9" s="1440"/>
      <c r="Y9" s="1169" t="s">
        <v>1296</v>
      </c>
      <c r="Z9" s="1443" t="str">
        <f t="shared" ref="Z9:Z15" si="7">Q9</f>
        <v>用途</v>
      </c>
      <c r="AA9" s="1443">
        <f t="shared" si="3"/>
        <v>1</v>
      </c>
      <c r="AB9" s="1443">
        <f t="shared" si="4"/>
        <v>1</v>
      </c>
      <c r="AC9" s="1443">
        <f t="shared" si="5"/>
        <v>0.909090909090909</v>
      </c>
    </row>
    <row r="10" s="1353" customFormat="1" ht="27" spans="1:29">
      <c r="A10" s="1902"/>
      <c r="B10" s="1903" t="s">
        <v>1297</v>
      </c>
      <c r="C10" s="3358" t="s">
        <v>1298</v>
      </c>
      <c r="D10" s="1905">
        <v>100</v>
      </c>
      <c r="E10" s="3358" t="s">
        <v>1298</v>
      </c>
      <c r="F10" s="1906">
        <f>SUMIF(59:59,E10,60:60)-SUMIF(59:59,C10,60:60)+100</f>
        <v>100</v>
      </c>
      <c r="G10" s="3359" t="s">
        <v>1299</v>
      </c>
      <c r="H10" s="1906">
        <f>SUMIF(59:59,G10,60:60)-SUMIF(59:59,C10,60:60)+100</f>
        <v>94</v>
      </c>
      <c r="I10" s="3358" t="s">
        <v>1300</v>
      </c>
      <c r="J10" s="1906">
        <f>SUMIF(59:59,I10,60:60)-SUMIF(59:59,C10,60:60)+100</f>
        <v>102</v>
      </c>
      <c r="K10" s="1433"/>
      <c r="L10" s="3360"/>
      <c r="M10" s="3361"/>
      <c r="N10" s="3361"/>
      <c r="O10" s="3362"/>
      <c r="P10" s="1051"/>
      <c r="Q10" s="1205" t="str">
        <f t="shared" si="6"/>
        <v>土地使用年限（年）</v>
      </c>
      <c r="R10" s="1438" t="s">
        <v>1289</v>
      </c>
      <c r="S10" s="1439">
        <f t="shared" si="0"/>
        <v>100</v>
      </c>
      <c r="T10" s="1438" t="s">
        <v>1289</v>
      </c>
      <c r="U10" s="1439">
        <f t="shared" si="1"/>
        <v>94</v>
      </c>
      <c r="V10" s="1438" t="s">
        <v>1289</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1301</v>
      </c>
      <c r="C11" s="3363"/>
      <c r="D11" s="1905">
        <v>100</v>
      </c>
      <c r="E11" s="3363"/>
      <c r="F11" s="1906">
        <f>LOOKUP(E11,62:62,63:63)-LOOKUP(C11,62:62,63:63)+100</f>
        <v>100</v>
      </c>
      <c r="G11" s="3364"/>
      <c r="H11" s="1906">
        <f>LOOKUP(G11,62:62,63:63)-LOOKUP(C11,62:62,63:63)+100</f>
        <v>100</v>
      </c>
      <c r="I11" s="3363"/>
      <c r="J11" s="1906">
        <f>LOOKUP(I11,62:62,63:63)-LOOKUP(C11,62:62,63:63)+100</f>
        <v>100</v>
      </c>
      <c r="K11" s="1520"/>
      <c r="L11" s="3365"/>
      <c r="M11" s="3351"/>
      <c r="N11" s="3351"/>
      <c r="O11" s="3366"/>
      <c r="P11" s="1051"/>
      <c r="Q11" s="1205" t="str">
        <f t="shared" si="6"/>
        <v>容积率</v>
      </c>
      <c r="R11" s="1438" t="s">
        <v>1289</v>
      </c>
      <c r="S11" s="1439">
        <f t="shared" si="0"/>
        <v>100</v>
      </c>
      <c r="T11" s="1438" t="s">
        <v>1289</v>
      </c>
      <c r="U11" s="1439">
        <f t="shared" si="1"/>
        <v>100</v>
      </c>
      <c r="V11" s="1438" t="s">
        <v>1289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7"/>
      <c r="H12" s="1906">
        <f>SUMIF(64:64,G12,65:65)-SUMIF(64:64,C12,65:65)+100</f>
        <v>100</v>
      </c>
      <c r="I12" s="1909"/>
      <c r="J12" s="1906">
        <f>SUMIF(64:64,I12,65:65)-SUMIF(64:64,C12,65:65)+100</f>
        <v>100</v>
      </c>
      <c r="K12" s="1517"/>
      <c r="L12" s="3354"/>
      <c r="M12" s="3355"/>
      <c r="N12" s="3355"/>
      <c r="O12" s="3357"/>
      <c r="P12" s="1051"/>
      <c r="Q12" s="1205">
        <f t="shared" si="6"/>
        <v>111</v>
      </c>
      <c r="R12" s="1438" t="s">
        <v>1289</v>
      </c>
      <c r="S12" s="1439">
        <f t="shared" si="0"/>
        <v>100</v>
      </c>
      <c r="T12" s="1438" t="s">
        <v>1289</v>
      </c>
      <c r="U12" s="1439">
        <f t="shared" si="1"/>
        <v>100</v>
      </c>
      <c r="V12" s="1438" t="s">
        <v>1289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7"/>
      <c r="H13" s="1915">
        <f>SUMIF(66:66,G13,67:67)-SUMIF(66:66,C13,67:67)+100</f>
        <v>100</v>
      </c>
      <c r="I13" s="1909"/>
      <c r="J13" s="1915">
        <f>SUMIF(66:66,I13,67:67)-SUMIF(66:66,C13,67:67)+100</f>
        <v>100</v>
      </c>
      <c r="K13" s="1517"/>
      <c r="L13" s="3368"/>
      <c r="M13" s="3351"/>
      <c r="N13" s="3351"/>
      <c r="O13" s="3366"/>
      <c r="P13" s="1051"/>
      <c r="Q13" s="1205">
        <f t="shared" si="6"/>
        <v>111</v>
      </c>
      <c r="R13" s="1438" t="s">
        <v>1289</v>
      </c>
      <c r="S13" s="1439">
        <f t="shared" si="0"/>
        <v>100</v>
      </c>
      <c r="T13" s="1438" t="s">
        <v>1289</v>
      </c>
      <c r="U13" s="1439">
        <f t="shared" si="1"/>
        <v>100</v>
      </c>
      <c r="V13" s="1438" t="s">
        <v>1289</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7"/>
      <c r="H14" s="1914">
        <f>SUMIF(68:68,G14,69:69)-SUMIF(68:68,C14,69:69)+100</f>
        <v>100</v>
      </c>
      <c r="I14" s="1909"/>
      <c r="J14" s="1914">
        <f>SUMIF(68:68,I14,69:69)-SUMIF(68:68,C14,69:69)+100</f>
        <v>100</v>
      </c>
      <c r="K14" s="1517"/>
      <c r="L14" s="3368"/>
      <c r="M14" s="3351"/>
      <c r="N14" s="3351"/>
      <c r="O14" s="3366"/>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56.25" spans="1:29">
      <c r="A15" s="1669" t="s">
        <v>1302</v>
      </c>
      <c r="B15" s="1916" t="s">
        <v>1362</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68"/>
      <c r="M15" s="3351"/>
      <c r="N15" s="3351"/>
      <c r="O15" s="3366"/>
      <c r="P15" s="1054" t="s">
        <v>1304</v>
      </c>
      <c r="Q15" s="1051" t="str">
        <f t="shared" si="6"/>
        <v>产业集聚程度</v>
      </c>
      <c r="R15" s="1488" t="s">
        <v>1289</v>
      </c>
      <c r="S15" s="1489">
        <f t="shared" si="0"/>
        <v>97</v>
      </c>
      <c r="T15" s="1488" t="s">
        <v>1289</v>
      </c>
      <c r="U15" s="1489">
        <f t="shared" si="1"/>
        <v>97</v>
      </c>
      <c r="V15" s="1488" t="s">
        <v>1289</v>
      </c>
      <c r="W15" s="1489">
        <f t="shared" si="2"/>
        <v>97</v>
      </c>
      <c r="X15" s="1396"/>
      <c r="Y15" s="1490" t="s">
        <v>1304</v>
      </c>
      <c r="Z15" s="1491" t="str">
        <f t="shared" si="7"/>
        <v>产业集聚程度</v>
      </c>
      <c r="AA15" s="1491">
        <f t="shared" si="3"/>
        <v>1.03092783505155</v>
      </c>
      <c r="AB15" s="1491">
        <f t="shared" si="4"/>
        <v>1.03092783505155</v>
      </c>
      <c r="AC15" s="1491">
        <f t="shared" si="5"/>
        <v>1.03092783505155</v>
      </c>
    </row>
    <row r="16" ht="15" spans="1:29">
      <c r="A16" s="1676"/>
      <c r="B16" s="1926"/>
      <c r="C16" s="1927" t="s">
        <v>1305</v>
      </c>
      <c r="D16" s="1928"/>
      <c r="E16" s="1927" t="s">
        <v>1363</v>
      </c>
      <c r="F16" s="1883"/>
      <c r="G16" s="1927" t="s">
        <v>1363</v>
      </c>
      <c r="H16" s="1929"/>
      <c r="I16" s="1927" t="s">
        <v>1363</v>
      </c>
      <c r="J16" s="1691"/>
      <c r="K16" s="1930"/>
      <c r="L16" s="3368"/>
      <c r="M16" s="3351"/>
      <c r="N16" s="3351"/>
      <c r="O16" s="3366"/>
      <c r="P16" s="1498"/>
      <c r="Q16" s="1051"/>
      <c r="R16" s="1488"/>
      <c r="S16" s="1489"/>
      <c r="T16" s="1488"/>
      <c r="U16" s="1489"/>
      <c r="V16" s="1488"/>
      <c r="W16" s="1489"/>
      <c r="X16" s="1396"/>
      <c r="Y16" s="1499"/>
      <c r="Z16" s="1491"/>
      <c r="AA16" s="1491">
        <v>1</v>
      </c>
      <c r="AB16" s="1491">
        <v>1</v>
      </c>
      <c r="AC16" s="1491">
        <v>1</v>
      </c>
    </row>
    <row r="17" ht="81" spans="1:29">
      <c r="A17" s="1676"/>
      <c r="B17" s="1931" t="s">
        <v>1306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68"/>
      <c r="M17" s="3351"/>
      <c r="N17" s="3351"/>
      <c r="O17" s="3366"/>
      <c r="P17" s="1498"/>
      <c r="Q17" s="1051" t="str">
        <f>B17</f>
        <v>交通便捷度</v>
      </c>
      <c r="R17" s="1488" t="s">
        <v>1289</v>
      </c>
      <c r="S17" s="1489">
        <f>F17</f>
        <v>100</v>
      </c>
      <c r="T17" s="1488" t="s">
        <v>1289</v>
      </c>
      <c r="U17" s="1489">
        <f>H17</f>
        <v>100</v>
      </c>
      <c r="V17" s="1488" t="s">
        <v>1289</v>
      </c>
      <c r="W17" s="1489">
        <f>J17</f>
        <v>100</v>
      </c>
      <c r="X17" s="1396"/>
      <c r="Y17" s="1499"/>
      <c r="Z17" s="1491" t="str">
        <f>Q17</f>
        <v>交通便捷度</v>
      </c>
      <c r="AA17" s="1491">
        <f t="shared" si="3"/>
        <v>1</v>
      </c>
      <c r="AB17" s="1491">
        <f t="shared" si="4"/>
        <v>1</v>
      </c>
      <c r="AC17" s="1491">
        <f t="shared" si="5"/>
        <v>1</v>
      </c>
    </row>
    <row r="18" ht="15" spans="1:29">
      <c r="A18" s="1676"/>
      <c r="B18" s="1937"/>
      <c r="C18" s="1938" t="s">
        <v>1305</v>
      </c>
      <c r="D18" s="1942"/>
      <c r="E18" s="1938" t="s">
        <v>1305</v>
      </c>
      <c r="F18" s="1877"/>
      <c r="G18" s="1938" t="s">
        <v>1305</v>
      </c>
      <c r="H18" s="1691"/>
      <c r="I18" s="1938" t="s">
        <v>1305</v>
      </c>
      <c r="J18" s="1691"/>
      <c r="K18" s="1930"/>
      <c r="L18" s="3368"/>
      <c r="M18" s="3351"/>
      <c r="N18" s="3351"/>
      <c r="O18" s="3366"/>
      <c r="P18" s="1498"/>
      <c r="Q18" s="1051"/>
      <c r="R18" s="1488"/>
      <c r="S18" s="1489"/>
      <c r="T18" s="1488"/>
      <c r="U18" s="1489"/>
      <c r="V18" s="1488"/>
      <c r="W18" s="1489"/>
      <c r="X18" s="1396"/>
      <c r="Y18" s="1499"/>
      <c r="Z18" s="1491"/>
      <c r="AA18" s="1491">
        <v>1</v>
      </c>
      <c r="AB18" s="1491">
        <v>1</v>
      </c>
      <c r="AC18" s="1491">
        <v>1</v>
      </c>
    </row>
    <row r="19" ht="40.5" spans="1:29">
      <c r="A19" s="1676"/>
      <c r="B19" s="1931" t="s">
        <v>1307</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68"/>
      <c r="M19" s="3351"/>
      <c r="N19" s="3351"/>
      <c r="O19" s="3366"/>
      <c r="P19" s="1498"/>
      <c r="Q19" s="1051" t="str">
        <f>B19</f>
        <v>公共配套设施</v>
      </c>
      <c r="R19" s="1488" t="s">
        <v>1289</v>
      </c>
      <c r="S19" s="1489">
        <f>F19</f>
        <v>103</v>
      </c>
      <c r="T19" s="1488" t="s">
        <v>1289</v>
      </c>
      <c r="U19" s="1489">
        <f>H19</f>
        <v>103</v>
      </c>
      <c r="V19" s="1488" t="s">
        <v>1289</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1363</v>
      </c>
      <c r="D20" s="1928"/>
      <c r="E20" s="3369" t="s">
        <v>1305</v>
      </c>
      <c r="F20" s="1883"/>
      <c r="G20" s="3370" t="s">
        <v>1305</v>
      </c>
      <c r="H20" s="1691"/>
      <c r="I20" s="3369" t="s">
        <v>1305</v>
      </c>
      <c r="J20" s="1691"/>
      <c r="K20" s="1930"/>
      <c r="L20" s="3368"/>
      <c r="M20" s="3351"/>
      <c r="N20" s="3351"/>
      <c r="O20" s="3366"/>
      <c r="P20" s="1498"/>
      <c r="Q20" s="1051"/>
      <c r="R20" s="1488"/>
      <c r="S20" s="1489"/>
      <c r="T20" s="1488"/>
      <c r="U20" s="1489"/>
      <c r="V20" s="1488"/>
      <c r="W20" s="1489"/>
      <c r="X20" s="1396"/>
      <c r="Y20" s="1499"/>
      <c r="Z20" s="1491"/>
      <c r="AA20" s="1491">
        <v>1</v>
      </c>
      <c r="AB20" s="1491">
        <v>1</v>
      </c>
      <c r="AC20" s="1491">
        <v>1</v>
      </c>
    </row>
    <row r="21" ht="27" spans="1:29">
      <c r="A21" s="1676"/>
      <c r="B21" s="1939" t="s">
        <v>1308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68"/>
      <c r="M21" s="3351"/>
      <c r="N21" s="3351"/>
      <c r="O21" s="3366"/>
      <c r="P21" s="1498"/>
      <c r="Q21" s="1051" t="str">
        <f>B21</f>
        <v>基础设施水平</v>
      </c>
      <c r="R21" s="1488" t="s">
        <v>1289</v>
      </c>
      <c r="S21" s="1489">
        <f>F21</f>
        <v>100</v>
      </c>
      <c r="T21" s="1488" t="s">
        <v>1289</v>
      </c>
      <c r="U21" s="1489">
        <f>H21</f>
        <v>100</v>
      </c>
      <c r="V21" s="1488" t="s">
        <v>1289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68"/>
      <c r="M22" s="3351"/>
      <c r="N22" s="3351"/>
      <c r="O22" s="3366"/>
      <c r="P22" s="1498"/>
      <c r="Q22" s="1051"/>
      <c r="R22" s="1488"/>
      <c r="S22" s="1489"/>
      <c r="T22" s="1488"/>
      <c r="U22" s="1489"/>
      <c r="V22" s="1488"/>
      <c r="W22" s="1489"/>
      <c r="X22" s="1396"/>
      <c r="Y22" s="1499"/>
      <c r="Z22" s="1491"/>
      <c r="AA22" s="1491">
        <v>1</v>
      </c>
      <c r="AB22" s="1491">
        <v>1</v>
      </c>
      <c r="AC22" s="1491">
        <v>1</v>
      </c>
    </row>
    <row r="23" ht="67.5" spans="1:29">
      <c r="A23" s="1676"/>
      <c r="B23" s="1931" t="s">
        <v>1309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68"/>
      <c r="M23" s="3351"/>
      <c r="N23" s="3351"/>
      <c r="O23" s="3366"/>
      <c r="P23" s="1498"/>
      <c r="Q23" s="1051" t="str">
        <f>B23</f>
        <v>环境质量</v>
      </c>
      <c r="R23" s="1488" t="s">
        <v>1289</v>
      </c>
      <c r="S23" s="1489">
        <f>F23</f>
        <v>100</v>
      </c>
      <c r="T23" s="1488" t="s">
        <v>1289</v>
      </c>
      <c r="U23" s="1489">
        <f>H23</f>
        <v>100</v>
      </c>
      <c r="V23" s="1488" t="s">
        <v>1289</v>
      </c>
      <c r="W23" s="1489">
        <f>J23</f>
        <v>100</v>
      </c>
      <c r="X23" s="1396"/>
      <c r="Y23" s="1499"/>
      <c r="Z23" s="1491" t="str">
        <f>Q23</f>
        <v>环境质量</v>
      </c>
      <c r="AA23" s="1491">
        <f t="shared" si="3"/>
        <v>1</v>
      </c>
      <c r="AB23" s="1491">
        <f t="shared" si="4"/>
        <v>1</v>
      </c>
      <c r="AC23" s="1491">
        <f t="shared" si="5"/>
        <v>1</v>
      </c>
    </row>
    <row r="24" ht="15" spans="1:29">
      <c r="A24" s="1676"/>
      <c r="B24" s="1939"/>
      <c r="C24" s="1927" t="s">
        <v>1305</v>
      </c>
      <c r="D24" s="1928"/>
      <c r="E24" s="1927" t="s">
        <v>1305</v>
      </c>
      <c r="F24" s="1883"/>
      <c r="G24" s="1927" t="s">
        <v>1305</v>
      </c>
      <c r="H24" s="1691"/>
      <c r="I24" s="1927" t="s">
        <v>1305</v>
      </c>
      <c r="J24" s="1691"/>
      <c r="K24" s="1930"/>
      <c r="L24" s="3368"/>
      <c r="M24" s="3351"/>
      <c r="N24" s="3351"/>
      <c r="O24" s="3366"/>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68"/>
      <c r="M25" s="3351"/>
      <c r="N25" s="3351"/>
      <c r="O25" s="3366"/>
      <c r="P25" s="1498"/>
      <c r="Q25" s="1051">
        <f>B25</f>
        <v>111</v>
      </c>
      <c r="R25" s="1488" t="s">
        <v>1289</v>
      </c>
      <c r="S25" s="1489">
        <f>F25</f>
        <v>100</v>
      </c>
      <c r="T25" s="1488" t="s">
        <v>1289</v>
      </c>
      <c r="U25" s="1489">
        <f>H25</f>
        <v>100</v>
      </c>
      <c r="V25" s="1488" t="s">
        <v>1289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68"/>
      <c r="M26" s="3351"/>
      <c r="N26" s="3351"/>
      <c r="O26" s="3366"/>
      <c r="P26" s="1498"/>
      <c r="Q26" s="1051">
        <f t="shared" ref="Q26:Q40" si="11">B26</f>
        <v>111</v>
      </c>
      <c r="R26" s="1488" t="s">
        <v>1289</v>
      </c>
      <c r="S26" s="1489">
        <f>F26</f>
        <v>100</v>
      </c>
      <c r="T26" s="1488" t="s">
        <v>1289</v>
      </c>
      <c r="U26" s="1489">
        <f>H26</f>
        <v>100</v>
      </c>
      <c r="V26" s="1488" t="s">
        <v>1289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1">
        <v>100</v>
      </c>
      <c r="E27" s="1911"/>
      <c r="F27" s="1937">
        <f>SUMIF(84:84,E27,85:85)-SUMIF(84:84,C27,85:85)+100</f>
        <v>100</v>
      </c>
      <c r="G27" s="1911"/>
      <c r="H27" s="2009">
        <f>SUMIF(84:84,G27,85:85)-SUMIF(84:84,C27,85:85)+100</f>
        <v>100</v>
      </c>
      <c r="I27" s="1911"/>
      <c r="J27" s="2009">
        <f>SUMIF(84:84,I27,85:85)-SUMIF(84:84,C27,85:85)+100</f>
        <v>100</v>
      </c>
      <c r="K27" s="1517"/>
      <c r="L27" s="3354"/>
      <c r="M27" s="3355"/>
      <c r="N27" s="3355"/>
      <c r="O27" s="3357"/>
      <c r="P27" s="1498"/>
      <c r="Q27" s="1205">
        <f t="shared" si="11"/>
        <v>111</v>
      </c>
      <c r="R27" s="1438" t="s">
        <v>1289</v>
      </c>
      <c r="S27" s="1439">
        <f>F27</f>
        <v>100</v>
      </c>
      <c r="T27" s="1438" t="s">
        <v>1289</v>
      </c>
      <c r="U27" s="1439">
        <f>H27</f>
        <v>100</v>
      </c>
      <c r="V27" s="1438" t="s">
        <v>1289</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68"/>
      <c r="M28" s="3351"/>
      <c r="N28" s="3351"/>
      <c r="O28" s="3366"/>
      <c r="P28" s="1498"/>
      <c r="Q28" s="1051">
        <f t="shared" si="11"/>
        <v>111</v>
      </c>
      <c r="R28" s="1488" t="s">
        <v>1289</v>
      </c>
      <c r="S28" s="1489">
        <f t="shared" ref="S28:S40" si="12">F28</f>
        <v>100</v>
      </c>
      <c r="T28" s="1488" t="s">
        <v>1289</v>
      </c>
      <c r="U28" s="1489">
        <f t="shared" ref="U28:U40" si="13">H28</f>
        <v>100</v>
      </c>
      <c r="V28" s="1488" t="s">
        <v>1289</v>
      </c>
      <c r="W28" s="1489">
        <f t="shared" ref="W28:W40" si="14">J28</f>
        <v>100</v>
      </c>
      <c r="X28" s="1396"/>
      <c r="Y28" s="1499"/>
      <c r="Z28" s="1491">
        <f t="shared" ref="Z28:Z40" si="15">Q28</f>
        <v>111</v>
      </c>
      <c r="AA28" s="1491">
        <f t="shared" si="3"/>
        <v>1</v>
      </c>
      <c r="AB28" s="1491">
        <f t="shared" si="4"/>
        <v>1</v>
      </c>
      <c r="AC28" s="1491">
        <f t="shared" si="5"/>
        <v>1</v>
      </c>
    </row>
    <row r="29" ht="28.5" spans="1:29">
      <c r="A29" s="1949" t="s">
        <v>1313</v>
      </c>
      <c r="B29" s="1897" t="s">
        <v>1314</v>
      </c>
      <c r="C29" s="1950" t="s">
        <v>884</v>
      </c>
      <c r="D29" s="1951">
        <v>100</v>
      </c>
      <c r="E29" s="1950" t="s">
        <v>884</v>
      </c>
      <c r="F29" s="1945">
        <f>SUMIF(88:88,E29,89:89)-SUMIF(88:88,C29,89:89)+100</f>
        <v>100</v>
      </c>
      <c r="G29" s="1950" t="s">
        <v>884</v>
      </c>
      <c r="H29" s="1915">
        <f>SUMIF(88:88,G29,89:89)-SUMIF(88:88,C29,89:89)+100</f>
        <v>100</v>
      </c>
      <c r="I29" s="1950" t="s">
        <v>884</v>
      </c>
      <c r="J29" s="1868">
        <f>SUMIF(88:88,I29,89:89)-SUMIF(88:88,C29,89:89)+100</f>
        <v>100</v>
      </c>
      <c r="K29" s="1520">
        <v>2</v>
      </c>
      <c r="L29" s="3368"/>
      <c r="M29" s="3351"/>
      <c r="N29" s="3351"/>
      <c r="O29" s="3366"/>
      <c r="P29" s="1525" t="s">
        <v>1315</v>
      </c>
      <c r="Q29" s="1051" t="str">
        <f t="shared" si="11"/>
        <v>建筑类型</v>
      </c>
      <c r="R29" s="1488" t="s">
        <v>1289</v>
      </c>
      <c r="S29" s="1489">
        <f t="shared" si="12"/>
        <v>100</v>
      </c>
      <c r="T29" s="1488" t="s">
        <v>1289</v>
      </c>
      <c r="U29" s="1489">
        <f t="shared" si="13"/>
        <v>100</v>
      </c>
      <c r="V29" s="1488" t="s">
        <v>1289</v>
      </c>
      <c r="W29" s="1489">
        <f t="shared" si="14"/>
        <v>100</v>
      </c>
      <c r="X29" s="1396"/>
      <c r="Y29" s="1526" t="s">
        <v>1315</v>
      </c>
      <c r="Z29" s="1491" t="str">
        <f t="shared" si="15"/>
        <v>建筑类型</v>
      </c>
      <c r="AA29" s="1491">
        <f t="shared" si="3"/>
        <v>1</v>
      </c>
      <c r="AB29" s="1491">
        <f t="shared" si="4"/>
        <v>1</v>
      </c>
      <c r="AC29" s="1491">
        <f t="shared" si="5"/>
        <v>1</v>
      </c>
    </row>
    <row r="30" s="1354" customFormat="1" ht="15" spans="1:29">
      <c r="A30" s="1745"/>
      <c r="B30" s="1903" t="s">
        <v>1316</v>
      </c>
      <c r="C30" s="1909">
        <f>面积指标!L8</f>
        <v>34007.5</v>
      </c>
      <c r="D30" s="1905">
        <v>100</v>
      </c>
      <c r="E30" s="3364">
        <v>20714.13</v>
      </c>
      <c r="F30" s="1903">
        <f>LOOKUP(E30,91:91,92:92)-LOOKUP(C30,91:91,92:92)+100</f>
        <v>101</v>
      </c>
      <c r="G30" s="3363">
        <v>8905</v>
      </c>
      <c r="H30" s="1906">
        <f>LOOKUP(G30,91:91,92:92)-LOOKUP(C30,91:91,92:92)+100</f>
        <v>103</v>
      </c>
      <c r="I30" s="3363">
        <v>10575.42</v>
      </c>
      <c r="J30" s="1906">
        <f>LOOKUP(I30,91:91,92:92)-LOOKUP(C30,91:91,92:92)+100</f>
        <v>102</v>
      </c>
      <c r="K30" s="1517"/>
      <c r="L30" s="3365"/>
      <c r="M30" s="3372"/>
      <c r="N30" s="3372"/>
      <c r="O30" s="3373"/>
      <c r="P30" s="1534"/>
      <c r="Q30" s="2086" t="str">
        <f t="shared" si="11"/>
        <v>项目建筑规模</v>
      </c>
      <c r="R30" s="1535" t="s">
        <v>1289</v>
      </c>
      <c r="S30" s="1536">
        <f t="shared" si="12"/>
        <v>101</v>
      </c>
      <c r="T30" s="1535" t="s">
        <v>1289</v>
      </c>
      <c r="U30" s="1536">
        <f t="shared" si="13"/>
        <v>103</v>
      </c>
      <c r="V30" s="1535" t="s">
        <v>1289</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1317</v>
      </c>
      <c r="C31" s="1959" t="s">
        <v>1364</v>
      </c>
      <c r="D31" s="1912">
        <v>100</v>
      </c>
      <c r="E31" s="1959" t="s">
        <v>1364</v>
      </c>
      <c r="F31" s="1945">
        <f>SUMIF(93:93,E31,94:94)-SUMIF(93:93,C31,94:94)+100</f>
        <v>100</v>
      </c>
      <c r="G31" s="1959" t="s">
        <v>1364</v>
      </c>
      <c r="H31" s="1915">
        <f>SUMIF(93:93,G31,94:94)-SUMIF(93:93,C31,94:94)+100</f>
        <v>100</v>
      </c>
      <c r="I31" s="1959" t="s">
        <v>1364</v>
      </c>
      <c r="J31" s="1915">
        <f>SUMIF(93:93,I31,94:94)-SUMIF(93:93,C31,94:94)+100</f>
        <v>100</v>
      </c>
      <c r="K31" s="1520">
        <v>2</v>
      </c>
      <c r="L31" s="3368"/>
      <c r="M31" s="3351"/>
      <c r="N31" s="3351"/>
      <c r="O31" s="3366"/>
      <c r="P31" s="1534"/>
      <c r="Q31" s="1051" t="str">
        <f t="shared" si="11"/>
        <v>建筑结构</v>
      </c>
      <c r="R31" s="1488" t="s">
        <v>1289</v>
      </c>
      <c r="S31" s="1489">
        <f t="shared" si="12"/>
        <v>100</v>
      </c>
      <c r="T31" s="1488" t="s">
        <v>1289</v>
      </c>
      <c r="U31" s="1489">
        <f t="shared" si="13"/>
        <v>100</v>
      </c>
      <c r="V31" s="1488" t="s">
        <v>1289</v>
      </c>
      <c r="W31" s="1489">
        <f t="shared" si="14"/>
        <v>100</v>
      </c>
      <c r="X31" s="1396"/>
      <c r="Y31" s="1526"/>
      <c r="Z31" s="1491" t="str">
        <f t="shared" si="15"/>
        <v>建筑结构</v>
      </c>
      <c r="AA31" s="1491">
        <f t="shared" si="3"/>
        <v>1</v>
      </c>
      <c r="AB31" s="1491">
        <f t="shared" si="4"/>
        <v>1</v>
      </c>
      <c r="AC31" s="1491">
        <f t="shared" si="5"/>
        <v>1</v>
      </c>
    </row>
    <row r="32" ht="15" spans="1:29">
      <c r="A32" s="1754"/>
      <c r="B32" s="1903" t="s">
        <v>1318</v>
      </c>
      <c r="C32" s="1959" t="s">
        <v>1365</v>
      </c>
      <c r="D32" s="1912">
        <v>100</v>
      </c>
      <c r="E32" s="1959" t="s">
        <v>1365</v>
      </c>
      <c r="F32" s="1945">
        <f>SUMIF(95:95,E32,96:96)-SUMIF(95:95,C32,96:96)+100</f>
        <v>100</v>
      </c>
      <c r="G32" s="1959" t="s">
        <v>1365</v>
      </c>
      <c r="H32" s="1915">
        <f>SUMIF(95:95,G32,96:96)-SUMIF(95:95,C32,96:96)+100</f>
        <v>100</v>
      </c>
      <c r="I32" s="1959" t="s">
        <v>1365</v>
      </c>
      <c r="J32" s="1915">
        <f>SUMIF(95:95,I32,96:96)-SUMIF(95:95,C32,96:96)+100</f>
        <v>100</v>
      </c>
      <c r="K32" s="1520">
        <v>2</v>
      </c>
      <c r="L32" s="3368"/>
      <c r="M32" s="3351"/>
      <c r="N32" s="3351"/>
      <c r="O32" s="3366"/>
      <c r="P32" s="1534"/>
      <c r="Q32" s="1051" t="str">
        <f t="shared" si="11"/>
        <v>公共部分装修</v>
      </c>
      <c r="R32" s="1488" t="s">
        <v>1289</v>
      </c>
      <c r="S32" s="1489">
        <f t="shared" si="12"/>
        <v>100</v>
      </c>
      <c r="T32" s="1488" t="s">
        <v>1289</v>
      </c>
      <c r="U32" s="1489">
        <f t="shared" si="13"/>
        <v>100</v>
      </c>
      <c r="V32" s="1488" t="s">
        <v>1289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68"/>
      <c r="M33" s="3351"/>
      <c r="N33" s="3351"/>
      <c r="O33" s="3366"/>
      <c r="P33" s="1534"/>
      <c r="Q33" s="1051" t="str">
        <f t="shared" si="11"/>
        <v>成新度</v>
      </c>
      <c r="R33" s="1488" t="s">
        <v>1289</v>
      </c>
      <c r="S33" s="1489">
        <f t="shared" si="12"/>
        <v>100</v>
      </c>
      <c r="T33" s="1488" t="s">
        <v>1289</v>
      </c>
      <c r="U33" s="1489">
        <f t="shared" si="13"/>
        <v>104</v>
      </c>
      <c r="V33" s="1488" t="s">
        <v>1289</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1320</v>
      </c>
      <c r="C34" s="1959" t="s">
        <v>1366</v>
      </c>
      <c r="D34" s="1905">
        <v>100</v>
      </c>
      <c r="E34" s="1959" t="s">
        <v>1366</v>
      </c>
      <c r="F34" s="1945">
        <f>SUMIF(100:100,E34,101:101)-SUMIF(100:100,C34,101:101)+100</f>
        <v>100</v>
      </c>
      <c r="G34" s="1959" t="s">
        <v>1366</v>
      </c>
      <c r="H34" s="1915">
        <f>SUMIF(100:100,G34,101:101)-SUMIF(100:100,C34,101:101)+100</f>
        <v>100</v>
      </c>
      <c r="I34" s="1959" t="s">
        <v>1366</v>
      </c>
      <c r="J34" s="1915">
        <f>SUMIF(100:100,I34,101:101)-SUMIF(100:100,C34,101:101)+100</f>
        <v>100</v>
      </c>
      <c r="K34" s="1520">
        <v>2</v>
      </c>
      <c r="L34" s="3354"/>
      <c r="M34" s="3355"/>
      <c r="N34" s="3355"/>
      <c r="O34" s="3357"/>
      <c r="P34" s="1534"/>
      <c r="Q34" s="1205" t="str">
        <f t="shared" si="11"/>
        <v>物业管理</v>
      </c>
      <c r="R34" s="1438" t="s">
        <v>1289</v>
      </c>
      <c r="S34" s="1439">
        <f t="shared" si="12"/>
        <v>100</v>
      </c>
      <c r="T34" s="1438" t="s">
        <v>1289</v>
      </c>
      <c r="U34" s="1439">
        <f t="shared" si="13"/>
        <v>100</v>
      </c>
      <c r="V34" s="1438" t="s">
        <v>1289</v>
      </c>
      <c r="W34" s="1439">
        <f t="shared" si="14"/>
        <v>100</v>
      </c>
      <c r="X34" s="1440"/>
      <c r="Y34" s="1526"/>
      <c r="Z34" s="1443" t="str">
        <f t="shared" si="15"/>
        <v>物业管理</v>
      </c>
      <c r="AA34" s="1443">
        <f t="shared" si="3"/>
        <v>1</v>
      </c>
      <c r="AB34" s="1443">
        <f t="shared" si="4"/>
        <v>1</v>
      </c>
      <c r="AC34" s="1443">
        <f t="shared" si="5"/>
        <v>1</v>
      </c>
    </row>
    <row r="35" ht="15" spans="1:29">
      <c r="A35" s="1754"/>
      <c r="B35" s="1903" t="s">
        <v>1321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68"/>
      <c r="M35" s="3351"/>
      <c r="N35" s="3351"/>
      <c r="O35" s="3366"/>
      <c r="P35" s="1534" t="s">
        <v>1315</v>
      </c>
      <c r="Q35" s="1051" t="str">
        <f t="shared" si="11"/>
        <v>市政基础设施</v>
      </c>
      <c r="R35" s="1488" t="s">
        <v>1289</v>
      </c>
      <c r="S35" s="1489">
        <f t="shared" si="12"/>
        <v>100</v>
      </c>
      <c r="T35" s="1488" t="s">
        <v>1289</v>
      </c>
      <c r="U35" s="1489">
        <f t="shared" si="13"/>
        <v>100</v>
      </c>
      <c r="V35" s="1488" t="s">
        <v>1289</v>
      </c>
      <c r="W35" s="1489">
        <f t="shared" si="14"/>
        <v>100</v>
      </c>
      <c r="X35" s="1396"/>
      <c r="Y35" s="1526" t="s">
        <v>1315</v>
      </c>
      <c r="Z35" s="1491" t="str">
        <f t="shared" si="15"/>
        <v>市政基础设施</v>
      </c>
      <c r="AA35" s="1491">
        <f t="shared" si="3"/>
        <v>1</v>
      </c>
      <c r="AB35" s="1491">
        <f t="shared" si="4"/>
        <v>1</v>
      </c>
      <c r="AC35" s="1491">
        <f t="shared" si="5"/>
        <v>1</v>
      </c>
    </row>
    <row r="36" ht="15" spans="1:29">
      <c r="A36" s="1754"/>
      <c r="B36" s="1903" t="s">
        <v>1324</v>
      </c>
      <c r="C36" s="1959" t="s">
        <v>1367</v>
      </c>
      <c r="D36" s="1912">
        <v>100</v>
      </c>
      <c r="E36" s="1959" t="s">
        <v>1368</v>
      </c>
      <c r="F36" s="1945">
        <f>SUMIF(104:104,E36,105:105)-SUMIF(104:104,C36,105:105)+100</f>
        <v>96</v>
      </c>
      <c r="G36" s="1959" t="s">
        <v>1368</v>
      </c>
      <c r="H36" s="1915">
        <f>SUMIF(104:104,G36,105:105)-SUMIF(104:104,C36,105:105)+100</f>
        <v>96</v>
      </c>
      <c r="I36" s="1959" t="s">
        <v>1368</v>
      </c>
      <c r="J36" s="1915">
        <f>SUMIF(104:104,I36,105:105)-SUMIF(104:104,C36,105:105)+100</f>
        <v>96</v>
      </c>
      <c r="K36" s="1520">
        <v>2</v>
      </c>
      <c r="L36" s="3368"/>
      <c r="M36" s="3351"/>
      <c r="N36" s="3351"/>
      <c r="O36" s="3366"/>
      <c r="P36" s="1534"/>
      <c r="Q36" s="1051" t="str">
        <f t="shared" si="11"/>
        <v>内部装修</v>
      </c>
      <c r="R36" s="1488" t="s">
        <v>1289</v>
      </c>
      <c r="S36" s="1489">
        <f t="shared" si="12"/>
        <v>96</v>
      </c>
      <c r="T36" s="1488" t="s">
        <v>1289</v>
      </c>
      <c r="U36" s="1489">
        <f t="shared" si="13"/>
        <v>96</v>
      </c>
      <c r="V36" s="1488" t="s">
        <v>1289</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68"/>
      <c r="M37" s="3351"/>
      <c r="N37" s="3351"/>
      <c r="O37" s="3366"/>
      <c r="P37" s="1534"/>
      <c r="Q37" s="1051" t="str">
        <f t="shared" si="11"/>
        <v>内部装修状况</v>
      </c>
      <c r="R37" s="1488" t="s">
        <v>1289</v>
      </c>
      <c r="S37" s="1489">
        <f t="shared" si="12"/>
        <v>100</v>
      </c>
      <c r="T37" s="1488" t="s">
        <v>1289</v>
      </c>
      <c r="U37" s="1489">
        <f t="shared" si="13"/>
        <v>100</v>
      </c>
      <c r="V37" s="1488" t="s">
        <v>1289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4" t="s">
        <v>1370</v>
      </c>
      <c r="C38" s="3375" t="s">
        <v>1371</v>
      </c>
      <c r="D38" s="1912">
        <v>100</v>
      </c>
      <c r="E38" s="1911" t="s">
        <v>1372</v>
      </c>
      <c r="F38" s="1945">
        <f>SUMIF(108:108,E38,109:109)-SUMIF(108:108,C38,109:109)+100</f>
        <v>110</v>
      </c>
      <c r="G38" s="3375" t="s">
        <v>1373</v>
      </c>
      <c r="H38" s="1915">
        <f>SUMIF(108:108,G38,109:109)-SUMIF(108:108,C38,109:109)+100</f>
        <v>110</v>
      </c>
      <c r="I38" s="3375" t="s">
        <v>1373</v>
      </c>
      <c r="J38" s="1915">
        <f>SUMIF(108:108,I38,109:1038)-SUMIF(108:108,C38,109:109)+100</f>
        <v>110</v>
      </c>
      <c r="K38" s="1517"/>
      <c r="L38" s="3365"/>
      <c r="M38" s="3372"/>
      <c r="N38" s="3372"/>
      <c r="O38" s="3373"/>
      <c r="P38" s="1534"/>
      <c r="Q38" s="2086" t="str">
        <f t="shared" si="11"/>
        <v>地下面积占比</v>
      </c>
      <c r="R38" s="1535" t="s">
        <v>1289</v>
      </c>
      <c r="S38" s="1536">
        <f t="shared" si="12"/>
        <v>110</v>
      </c>
      <c r="T38" s="1535" t="s">
        <v>1289</v>
      </c>
      <c r="U38" s="1536">
        <f t="shared" si="13"/>
        <v>110</v>
      </c>
      <c r="V38" s="1535" t="s">
        <v>1289</v>
      </c>
      <c r="W38" s="1536">
        <f t="shared" si="14"/>
        <v>110</v>
      </c>
      <c r="X38" s="1537"/>
      <c r="Y38" s="1526"/>
      <c r="Z38" s="1538" t="str">
        <f t="shared" si="15"/>
        <v>地下面积占比</v>
      </c>
      <c r="AA38" s="1491">
        <f t="shared" si="3"/>
        <v>0.909090909090909</v>
      </c>
      <c r="AB38" s="1491">
        <f t="shared" si="4"/>
        <v>0.909090909090909</v>
      </c>
      <c r="AC38" s="1491">
        <f t="shared" si="5"/>
        <v>0.909090909090909</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68"/>
      <c r="M39" s="3351"/>
      <c r="N39" s="3351"/>
      <c r="O39" s="3366"/>
      <c r="P39" s="1534"/>
      <c r="Q39" s="1051">
        <f t="shared" si="11"/>
        <v>111</v>
      </c>
      <c r="R39" s="1488" t="s">
        <v>1289</v>
      </c>
      <c r="S39" s="1489">
        <f t="shared" si="12"/>
        <v>100</v>
      </c>
      <c r="T39" s="1488" t="s">
        <v>1289</v>
      </c>
      <c r="U39" s="1489">
        <f t="shared" si="13"/>
        <v>100</v>
      </c>
      <c r="V39" s="1488" t="s">
        <v>1289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68"/>
      <c r="M40" s="3351"/>
      <c r="N40" s="3351"/>
      <c r="O40" s="3366"/>
      <c r="P40" s="3376"/>
      <c r="Q40" s="1051">
        <f t="shared" si="11"/>
        <v>111</v>
      </c>
      <c r="R40" s="1488" t="s">
        <v>1289</v>
      </c>
      <c r="S40" s="1489">
        <f t="shared" si="12"/>
        <v>100</v>
      </c>
      <c r="T40" s="1488" t="s">
        <v>1289</v>
      </c>
      <c r="U40" s="1489">
        <f t="shared" si="13"/>
        <v>100</v>
      </c>
      <c r="V40" s="1488" t="s">
        <v>1289</v>
      </c>
      <c r="W40" s="1489">
        <f t="shared" si="14"/>
        <v>100</v>
      </c>
      <c r="X40" s="1396"/>
      <c r="Y40" s="2094"/>
      <c r="Z40" s="1491">
        <f t="shared" si="15"/>
        <v>111</v>
      </c>
      <c r="AA40" s="1491">
        <f t="shared" si="3"/>
        <v>1</v>
      </c>
      <c r="AB40" s="1491">
        <f t="shared" si="4"/>
        <v>1</v>
      </c>
      <c r="AC40" s="1491">
        <f t="shared" si="5"/>
        <v>1</v>
      </c>
    </row>
    <row r="41" ht="15" spans="1:29">
      <c r="A41" s="1552" t="s">
        <v>1326</v>
      </c>
      <c r="B41" s="1967"/>
      <c r="C41" s="1968" t="s">
        <v>124</v>
      </c>
      <c r="D41" s="1798"/>
      <c r="E41" s="1556">
        <v>45000</v>
      </c>
      <c r="F41" s="1557"/>
      <c r="G41" s="1558">
        <v>38000</v>
      </c>
      <c r="H41" s="1559"/>
      <c r="I41" s="1556">
        <v>45388</v>
      </c>
      <c r="J41" s="1559"/>
      <c r="K41" s="1560"/>
      <c r="L41" s="3377"/>
      <c r="M41" s="1627"/>
      <c r="N41" s="3351"/>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1327</v>
      </c>
      <c r="B42" s="1969"/>
      <c r="C42" s="1571">
        <f>R43</f>
        <v>36525</v>
      </c>
      <c r="D42" s="1799" t="s">
        <v>1328</v>
      </c>
      <c r="E42" s="2146">
        <f>R42</f>
        <v>40411</v>
      </c>
      <c r="F42" s="1570"/>
      <c r="G42" s="2147">
        <f>T42</f>
        <v>34066</v>
      </c>
      <c r="H42" s="1570"/>
      <c r="I42" s="2146">
        <f>V42</f>
        <v>35098</v>
      </c>
      <c r="J42" s="1570"/>
      <c r="K42" s="1572">
        <f>F42+H42+J42</f>
        <v>0</v>
      </c>
      <c r="L42" s="3377"/>
      <c r="M42" s="1627"/>
      <c r="N42" s="3351"/>
      <c r="O42" s="1627"/>
      <c r="P42" s="1051" t="str">
        <f>A42</f>
        <v>比较价值（元/平方米）</v>
      </c>
      <c r="Q42" s="1051"/>
      <c r="R42" s="1563">
        <f>IF(F1="售价",ROUND(PRODUCT(R41,AA7:AA40),0),ROUND(PRODUCT(R41,AA7:AA40),1))</f>
        <v>40411</v>
      </c>
      <c r="S42" s="1563"/>
      <c r="T42" s="1563">
        <f>IF(F1="售价",ROUND(PRODUCT(T41,AB7:AB40),0),ROUND(PRODUCT(T41,AB7:AB40),1))</f>
        <v>34066</v>
      </c>
      <c r="U42" s="1563"/>
      <c r="V42" s="1563">
        <f>IF(F1="售价",ROUND(PRODUCT(V41,AC7:AC40),0),ROUND(PRODUCT(V41,AC7:AC40),1))</f>
        <v>35098</v>
      </c>
      <c r="W42" s="1563"/>
      <c r="X42" s="1564"/>
      <c r="Y42" s="1564"/>
      <c r="Z42" s="1564"/>
      <c r="AA42" s="1564"/>
      <c r="AB42" s="1564"/>
      <c r="AC42" s="1564"/>
    </row>
    <row r="43" ht="15.75" spans="1:29">
      <c r="A43" s="1573" t="s">
        <v>1329</v>
      </c>
      <c r="B43" s="1574"/>
      <c r="C43" s="1575">
        <f>R43</f>
        <v>36525</v>
      </c>
      <c r="D43" s="1768"/>
      <c r="E43" s="1768"/>
      <c r="F43" s="1768"/>
      <c r="G43" s="1768"/>
      <c r="H43" s="1768"/>
      <c r="I43" s="1768"/>
      <c r="J43" s="1768"/>
      <c r="K43" s="1970"/>
      <c r="L43" s="3377"/>
      <c r="M43" s="1627"/>
      <c r="N43" s="1627"/>
      <c r="O43" s="1627"/>
      <c r="P43" s="1578" t="str">
        <f>A43</f>
        <v>估价对象XX用房的比较价值（楼面单价，元/平方米）</v>
      </c>
      <c r="Q43" s="1579"/>
      <c r="R43" s="1580">
        <f>IF(F1="售价",ROUND(IF(D42="简单平均",AVERAGE(R42:V42),R42*F42+T42*H42+V42*J42),0),ROUND(IF(D42="简单平均",AVERAGE(R42:V42),R42*F42+T42*H42+V42*J42),1))</f>
        <v>36525</v>
      </c>
      <c r="S43" s="1580"/>
      <c r="T43" s="1580"/>
      <c r="U43" s="1580"/>
      <c r="V43" s="1580"/>
      <c r="W43" s="1580"/>
      <c r="X43" s="1564"/>
      <c r="Y43" s="1564"/>
      <c r="Z43" s="1564"/>
      <c r="AA43" s="1564"/>
      <c r="AB43" s="1564"/>
      <c r="AC43" s="1564"/>
    </row>
    <row r="44" spans="1:29">
      <c r="A44" s="1562"/>
      <c r="B44" s="1562"/>
      <c r="C44" s="1562"/>
      <c r="D44" s="1562"/>
      <c r="E44" s="1562">
        <v>2015</v>
      </c>
      <c r="F44" s="1562"/>
      <c r="G44" s="3378">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1330</v>
      </c>
      <c r="D46" s="1123"/>
      <c r="E46" s="1584">
        <f>IF(E41&lt;E42,E42/E41-1,E41/E42-1)</f>
        <v>0.113558189601841</v>
      </c>
      <c r="F46" s="1585" t="str">
        <f>IF(OR(E46&gt;=0.3,E46&lt;=-0.3),"超过30%","")</f>
        <v/>
      </c>
      <c r="G46" s="1584">
        <f>IF(G41&lt;G42,G42/G41-1,G41/G42-1)</f>
        <v>0.11548171197088</v>
      </c>
      <c r="H46" s="1585" t="str">
        <f>IF(OR(G46&gt;=0.3,G46&lt;=-0.3),"超过30%","")</f>
        <v/>
      </c>
      <c r="I46" s="1584">
        <f>IF(I41&lt;I42,I42/I41-1,I41/I42-1)</f>
        <v>0.293179098524132</v>
      </c>
      <c r="J46" s="1585" t="str">
        <f>IF(OR(I46&gt;=0.3,I46&lt;=-0.3),"超过30%","")</f>
        <v/>
      </c>
      <c r="K46" s="1582"/>
      <c r="L46" s="1631"/>
      <c r="M46" s="1627"/>
      <c r="N46" s="1627"/>
      <c r="O46" s="1627"/>
    </row>
    <row r="47" ht="13.5" customHeight="1" spans="1:29">
      <c r="A47" s="1562"/>
      <c r="B47" s="1562"/>
      <c r="C47" s="682" t="s">
        <v>1331</v>
      </c>
      <c r="D47" s="1122"/>
      <c r="E47" s="1584">
        <f>IF(E42&lt;G42,G42/E42-1,E42/G42-1)</f>
        <v>0.186256091117243</v>
      </c>
      <c r="F47" s="1585" t="str">
        <f>IF(OR(E47&gt;=0.2,E47&lt;=-0.2),"超过20%","")</f>
        <v/>
      </c>
      <c r="G47" s="1584">
        <f>IF(G42&lt;I42,I42/G42-1,G42/I42-1)</f>
        <v>0.0302941349145776</v>
      </c>
      <c r="H47" s="1585" t="str">
        <f>IF(OR(G47&gt;=0.2,G47&lt;=-0.2),"超过20%","")</f>
        <v/>
      </c>
      <c r="I47" s="1584">
        <f>IF(I42&lt;E42,E42/I42-1,I42/E42-1)</f>
        <v>0.151376146788991</v>
      </c>
      <c r="J47" s="1585" t="str">
        <f>IF(OR(I47&gt;=0.2,I47&lt;=-0.2),"超过20%","")</f>
        <v/>
      </c>
      <c r="K47" s="1582"/>
      <c r="L47" s="1631"/>
      <c r="M47" s="1627"/>
      <c r="N47" s="1627"/>
      <c r="O47" s="1627"/>
    </row>
    <row r="48" s="1355" customFormat="1" ht="13.5" customHeight="1" spans="1:29">
      <c r="A48" s="1586"/>
      <c r="B48" s="1586"/>
      <c r="C48" s="682" t="s">
        <v>1332</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79"/>
      <c r="M48" s="3380"/>
      <c r="N48" s="3380"/>
      <c r="O48" s="3380"/>
      <c r="P48" s="3381"/>
      <c r="Q48" s="3381"/>
      <c r="R48" s="3381"/>
      <c r="S48" s="3381"/>
      <c r="T48" s="3381"/>
      <c r="U48" s="3381"/>
      <c r="V48" s="3381"/>
      <c r="W48" s="3381"/>
    </row>
    <row r="49" s="1355" customFormat="1" spans="1:36">
      <c r="A49" s="1586"/>
      <c r="B49" s="1589"/>
      <c r="C49" s="1973"/>
      <c r="D49" s="1586"/>
      <c r="E49" s="1586"/>
      <c r="F49" s="1586"/>
      <c r="G49" s="1586"/>
      <c r="H49" s="1586"/>
      <c r="I49" s="1586"/>
      <c r="J49" s="1586"/>
      <c r="K49" s="1587"/>
      <c r="L49" s="3379"/>
      <c r="M49" s="3380"/>
      <c r="N49" s="3380"/>
      <c r="O49" s="3380"/>
      <c r="P49" s="3381"/>
      <c r="Q49" s="3381"/>
      <c r="R49" s="3381"/>
      <c r="S49" s="3381"/>
      <c r="T49" s="3381"/>
      <c r="U49" s="3381"/>
      <c r="V49" s="3381"/>
      <c r="W49" s="3381"/>
    </row>
    <row r="50" spans="1:36">
      <c r="A50" s="1562"/>
      <c r="B50" s="1589"/>
      <c r="C50" s="1973"/>
      <c r="D50" s="1562"/>
      <c r="E50" s="1562"/>
      <c r="F50" s="1562"/>
      <c r="G50" s="1562"/>
      <c r="H50" s="1562"/>
      <c r="I50" s="1562"/>
      <c r="J50" s="1562"/>
      <c r="K50" s="1582"/>
      <c r="L50" s="1631"/>
      <c r="M50" s="1627"/>
      <c r="N50" s="1627"/>
      <c r="O50" s="1627"/>
    </row>
    <row r="51" ht="21" spans="1:36">
      <c r="A51" s="1633" t="s">
        <v>1333</v>
      </c>
      <c r="B51" s="1564"/>
      <c r="C51" s="1634"/>
      <c r="D51" s="1634"/>
      <c r="E51" s="1634"/>
      <c r="F51" s="1635"/>
      <c r="G51" s="1635"/>
      <c r="H51" s="1634"/>
      <c r="I51" s="1634"/>
      <c r="J51" s="1634"/>
      <c r="K51" s="2029"/>
      <c r="L51" s="1826"/>
      <c r="M51" s="1638"/>
      <c r="N51" s="1638"/>
      <c r="O51" s="1638"/>
      <c r="P51" s="3382"/>
      <c r="Q51" s="3383"/>
    </row>
    <row r="52" s="1357" customFormat="1" ht="15" spans="1:36">
      <c r="A52" s="1974" t="s">
        <v>1287</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1334</v>
      </c>
      <c r="B54" s="1653"/>
      <c r="C54" s="1654"/>
      <c r="D54" s="1655"/>
      <c r="E54" s="1655"/>
      <c r="F54" s="1655"/>
      <c r="G54" s="1655"/>
      <c r="H54" s="1655"/>
      <c r="I54" s="1655"/>
      <c r="J54" s="1655"/>
      <c r="K54" s="1655"/>
      <c r="L54" s="1655"/>
      <c r="M54" s="1656"/>
      <c r="N54" s="3384"/>
      <c r="O54" s="3385"/>
      <c r="P54" s="3383"/>
      <c r="Q54" s="3383"/>
      <c r="R54" s="3386"/>
      <c r="S54" s="3386"/>
      <c r="T54" s="3386"/>
      <c r="U54" s="3386"/>
      <c r="V54" s="3386"/>
      <c r="W54" s="3386"/>
    </row>
    <row r="55" s="1352" customFormat="1" ht="15" spans="1:36">
      <c r="A55" s="1658" t="s">
        <v>1290</v>
      </c>
      <c r="B55" s="1659"/>
      <c r="C55" s="1660" t="s">
        <v>1335</v>
      </c>
      <c r="D55" s="1661"/>
      <c r="E55" s="1661"/>
      <c r="F55" s="1661"/>
      <c r="G55" s="1661"/>
      <c r="H55" s="1661"/>
      <c r="I55" s="1661"/>
      <c r="J55" s="1661"/>
      <c r="K55" s="1661"/>
      <c r="L55" s="1662"/>
      <c r="M55" s="1663"/>
      <c r="N55" s="2157"/>
      <c r="O55" s="2157"/>
      <c r="P55" s="3387"/>
      <c r="Q55" s="3383"/>
      <c r="R55" s="3386"/>
      <c r="S55" s="3386"/>
      <c r="T55" s="3386"/>
      <c r="U55" s="3386"/>
      <c r="V55" s="3386"/>
      <c r="W55" s="3386"/>
    </row>
    <row r="56" s="1352" customFormat="1" ht="15.75" spans="1:36">
      <c r="A56" s="1658"/>
      <c r="B56" s="1659"/>
      <c r="C56" s="1666">
        <v>100</v>
      </c>
      <c r="D56" s="1667"/>
      <c r="E56" s="1667"/>
      <c r="F56" s="1667"/>
      <c r="G56" s="1667"/>
      <c r="H56" s="1667"/>
      <c r="I56" s="1667"/>
      <c r="J56" s="1667"/>
      <c r="K56" s="1667"/>
      <c r="L56" s="1667"/>
      <c r="M56" s="1668"/>
      <c r="N56" s="2157"/>
      <c r="O56" s="2157"/>
      <c r="P56" s="3383"/>
      <c r="Q56" s="3383"/>
      <c r="R56" s="3386"/>
      <c r="S56" s="3386"/>
      <c r="T56" s="3386"/>
      <c r="U56" s="3386"/>
      <c r="V56" s="3386"/>
      <c r="W56" s="3386"/>
    </row>
    <row r="57" spans="1:36">
      <c r="A57" s="1669" t="s">
        <v>1336</v>
      </c>
      <c r="B57" s="1670" t="s">
        <v>1294</v>
      </c>
      <c r="C57" s="1599" t="str">
        <f>C9</f>
        <v>研发</v>
      </c>
      <c r="D57" s="3388" t="s">
        <v>230</v>
      </c>
      <c r="E57" s="1671"/>
      <c r="F57" s="1671"/>
      <c r="G57" s="1671"/>
      <c r="H57" s="1671"/>
      <c r="I57" s="1671"/>
      <c r="J57" s="1671"/>
      <c r="K57" s="1672"/>
      <c r="L57" s="1673"/>
      <c r="M57" s="1674"/>
      <c r="N57" s="2159"/>
      <c r="O57" s="2159"/>
      <c r="P57" s="3389"/>
      <c r="Q57" s="3383"/>
    </row>
    <row r="58" ht="15.75" spans="1:36">
      <c r="A58" s="1676"/>
      <c r="B58" s="1677"/>
      <c r="C58" s="1678">
        <v>100</v>
      </c>
      <c r="D58" s="1678">
        <v>110</v>
      </c>
      <c r="E58" s="1678"/>
      <c r="F58" s="1678"/>
      <c r="G58" s="1678"/>
      <c r="H58" s="1678"/>
      <c r="I58" s="1678"/>
      <c r="J58" s="1678"/>
      <c r="K58" s="1678"/>
      <c r="L58" s="1678"/>
      <c r="M58" s="1679"/>
      <c r="N58" s="2161"/>
      <c r="O58" s="2161"/>
      <c r="P58" s="3389"/>
      <c r="Q58" s="3383"/>
    </row>
    <row r="59" ht="27.75" spans="1:36">
      <c r="A59" s="1676"/>
      <c r="B59" s="1681" t="s">
        <v>1297</v>
      </c>
      <c r="C59" s="3390" t="s">
        <v>1337</v>
      </c>
      <c r="D59" s="3390" t="s">
        <v>1338</v>
      </c>
      <c r="E59" s="3390" t="s">
        <v>1339</v>
      </c>
      <c r="F59" s="3390" t="s">
        <v>1340</v>
      </c>
      <c r="G59" s="3390" t="s">
        <v>1341</v>
      </c>
      <c r="H59" s="3390" t="s">
        <v>1342</v>
      </c>
      <c r="I59" s="3390" t="s">
        <v>1343</v>
      </c>
      <c r="J59" s="1734"/>
      <c r="K59" s="1735"/>
      <c r="L59" s="1736"/>
      <c r="M59" s="1737"/>
      <c r="N59" s="2159"/>
      <c r="O59" s="2159"/>
      <c r="P59" s="3389"/>
      <c r="Q59" s="3383"/>
    </row>
    <row r="60" ht="15.75" spans="1:36">
      <c r="A60" s="1676"/>
      <c r="B60" s="1686" t="s">
        <v>1344</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89"/>
      <c r="Q60" s="3383"/>
    </row>
    <row r="61" ht="15.75" spans="1:36">
      <c r="A61" s="1676"/>
      <c r="B61" s="1689" t="s">
        <v>1301</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89"/>
      <c r="Q61" s="3383"/>
    </row>
    <row r="62" ht="15" spans="1:36">
      <c r="A62" s="1676"/>
      <c r="B62" s="1692"/>
      <c r="C62" s="1693">
        <v>0</v>
      </c>
      <c r="D62" s="1693">
        <v>0.5</v>
      </c>
      <c r="E62" s="1693">
        <v>1</v>
      </c>
      <c r="F62" s="1693">
        <v>1.5</v>
      </c>
      <c r="G62" s="1693">
        <v>2</v>
      </c>
      <c r="H62" s="1693"/>
      <c r="I62" s="1693"/>
      <c r="J62" s="1693"/>
      <c r="K62" s="1694"/>
      <c r="L62" s="1695"/>
      <c r="M62" s="1696"/>
      <c r="N62" s="2159"/>
      <c r="O62" s="2159"/>
      <c r="P62" s="3389"/>
      <c r="Q62" s="3383"/>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89"/>
      <c r="Q63" s="3383"/>
    </row>
    <row r="64" s="1354" customFormat="1" ht="15.75" spans="1:36">
      <c r="A64" s="1697"/>
      <c r="B64" s="1681">
        <f>B12</f>
        <v>111</v>
      </c>
      <c r="C64" s="1698"/>
      <c r="D64" s="1698"/>
      <c r="E64" s="1698"/>
      <c r="F64" s="1698"/>
      <c r="G64" s="1698"/>
      <c r="H64" s="1699"/>
      <c r="I64" s="1699"/>
      <c r="J64" s="1699"/>
      <c r="K64" s="1699"/>
      <c r="L64" s="1700"/>
      <c r="M64" s="1701"/>
      <c r="N64" s="2162"/>
      <c r="O64" s="2162"/>
      <c r="P64" s="3391"/>
      <c r="Q64" s="3392"/>
      <c r="R64" s="3393"/>
      <c r="S64" s="3393"/>
      <c r="T64" s="3393"/>
      <c r="U64" s="3393"/>
      <c r="V64" s="3393"/>
      <c r="W64" s="3393"/>
    </row>
    <row r="65" s="1354" customFormat="1" ht="15.75" spans="1:23">
      <c r="A65" s="1697"/>
      <c r="B65" s="1686"/>
      <c r="C65" s="1705"/>
      <c r="D65" s="1678"/>
      <c r="E65" s="1678"/>
      <c r="F65" s="1678"/>
      <c r="G65" s="1678"/>
      <c r="H65" s="1678"/>
      <c r="I65" s="1678"/>
      <c r="J65" s="1678"/>
      <c r="K65" s="1678"/>
      <c r="L65" s="1678"/>
      <c r="M65" s="1679"/>
      <c r="N65" s="2161"/>
      <c r="O65" s="2161"/>
      <c r="P65" s="3391"/>
      <c r="Q65" s="3392"/>
      <c r="R65" s="3393"/>
      <c r="S65" s="3393"/>
      <c r="T65" s="3393"/>
      <c r="U65" s="3393"/>
      <c r="V65" s="3393"/>
      <c r="W65" s="3393"/>
    </row>
    <row r="66" s="1354" customFormat="1" ht="15.75" spans="1:23">
      <c r="A66" s="1697"/>
      <c r="B66" s="1681">
        <f>B13</f>
        <v>111</v>
      </c>
      <c r="C66" s="1698"/>
      <c r="D66" s="1698"/>
      <c r="E66" s="1698"/>
      <c r="F66" s="1698"/>
      <c r="G66" s="1698"/>
      <c r="H66" s="1699"/>
      <c r="I66" s="1699"/>
      <c r="J66" s="1699"/>
      <c r="K66" s="1699"/>
      <c r="L66" s="1700"/>
      <c r="M66" s="1701"/>
      <c r="N66" s="2162"/>
      <c r="O66" s="2162"/>
      <c r="P66" s="3394"/>
      <c r="Q66" s="3395"/>
      <c r="R66" s="3393"/>
      <c r="S66" s="3393"/>
      <c r="T66" s="3393"/>
      <c r="U66" s="3393"/>
      <c r="V66" s="3393"/>
      <c r="W66" s="3393"/>
    </row>
    <row r="67" s="1354" customFormat="1" ht="15.75" spans="1:23">
      <c r="A67" s="1697"/>
      <c r="B67" s="1686"/>
      <c r="C67" s="1705"/>
      <c r="D67" s="1678"/>
      <c r="E67" s="1678"/>
      <c r="F67" s="1678"/>
      <c r="G67" s="1705"/>
      <c r="H67" s="1707"/>
      <c r="I67" s="1707"/>
      <c r="J67" s="1707"/>
      <c r="K67" s="1707"/>
      <c r="L67" s="1707"/>
      <c r="M67" s="1708"/>
      <c r="N67" s="2162"/>
      <c r="O67" s="2162"/>
      <c r="P67" s="3391"/>
      <c r="Q67" s="3392"/>
      <c r="R67" s="3393"/>
      <c r="S67" s="3393"/>
      <c r="T67" s="3393"/>
      <c r="U67" s="3393"/>
      <c r="V67" s="3393"/>
      <c r="W67" s="3393"/>
    </row>
    <row r="68" s="1354" customFormat="1" ht="15.75" spans="1:23">
      <c r="A68" s="1697"/>
      <c r="B68" s="1689">
        <f>B14</f>
        <v>111</v>
      </c>
      <c r="C68" s="1661"/>
      <c r="D68" s="1661"/>
      <c r="E68" s="1661"/>
      <c r="F68" s="1661"/>
      <c r="G68" s="1661"/>
      <c r="H68" s="1709"/>
      <c r="I68" s="1709"/>
      <c r="J68" s="1709"/>
      <c r="K68" s="1709"/>
      <c r="L68" s="1710"/>
      <c r="M68" s="1711"/>
      <c r="N68" s="2162"/>
      <c r="O68" s="2162"/>
      <c r="P68" s="3391"/>
      <c r="Q68" s="3392"/>
      <c r="R68" s="3393"/>
      <c r="S68" s="3393"/>
      <c r="T68" s="3393"/>
      <c r="U68" s="3393"/>
      <c r="V68" s="3393"/>
      <c r="W68" s="3393"/>
    </row>
    <row r="69" s="1354" customFormat="1" ht="15.75" spans="1:23">
      <c r="A69" s="1713"/>
      <c r="B69" s="1714"/>
      <c r="C69" s="1715"/>
      <c r="D69" s="1715"/>
      <c r="E69" s="1715"/>
      <c r="F69" s="1715"/>
      <c r="G69" s="1715"/>
      <c r="H69" s="1716"/>
      <c r="I69" s="1716"/>
      <c r="J69" s="1716"/>
      <c r="K69" s="1716"/>
      <c r="L69" s="1716"/>
      <c r="M69" s="1717"/>
      <c r="N69" s="2162"/>
      <c r="O69" s="2162"/>
      <c r="P69" s="3391"/>
      <c r="Q69" s="3392"/>
      <c r="R69" s="3393"/>
      <c r="S69" s="3393"/>
      <c r="T69" s="3393"/>
      <c r="U69" s="3393"/>
      <c r="V69" s="3393"/>
      <c r="W69" s="3393"/>
    </row>
    <row r="70" spans="1:23">
      <c r="A70" s="1669" t="s">
        <v>1302</v>
      </c>
      <c r="B70" s="1670" t="s">
        <v>1362</v>
      </c>
      <c r="C70" s="1718" t="s">
        <v>1345</v>
      </c>
      <c r="D70" s="1718" t="s">
        <v>1346</v>
      </c>
      <c r="E70" s="1718" t="s">
        <v>1347</v>
      </c>
      <c r="F70" s="1718" t="s">
        <v>1348</v>
      </c>
      <c r="G70" s="1718" t="s">
        <v>1349</v>
      </c>
      <c r="H70" s="1599"/>
      <c r="I70" s="1599"/>
      <c r="J70" s="1599"/>
      <c r="K70" s="1719"/>
      <c r="L70" s="1720"/>
      <c r="M70" s="1721"/>
      <c r="N70" s="2159"/>
      <c r="O70" s="2159"/>
      <c r="P70" s="3389"/>
      <c r="Q70" s="3383"/>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89"/>
      <c r="Q71" s="3383"/>
    </row>
    <row r="72" ht="15.75" spans="1:23">
      <c r="A72" s="1676"/>
      <c r="B72" s="1681" t="s">
        <v>1306</v>
      </c>
      <c r="C72" s="1723" t="s">
        <v>1345</v>
      </c>
      <c r="D72" s="1723" t="s">
        <v>1346</v>
      </c>
      <c r="E72" s="1723" t="s">
        <v>1347</v>
      </c>
      <c r="F72" s="1723" t="s">
        <v>1348</v>
      </c>
      <c r="G72" s="1723" t="s">
        <v>1349</v>
      </c>
      <c r="H72" s="1682"/>
      <c r="I72" s="1682"/>
      <c r="J72" s="1682"/>
      <c r="K72" s="1683"/>
      <c r="L72" s="1684"/>
      <c r="M72" s="1685"/>
      <c r="N72" s="2159"/>
      <c r="O72" s="2159"/>
      <c r="P72" s="3389"/>
      <c r="Q72" s="3383"/>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89"/>
      <c r="Q73" s="3383"/>
    </row>
    <row r="74" ht="15.75" spans="1:23">
      <c r="A74" s="1676"/>
      <c r="B74" s="1681" t="s">
        <v>1307</v>
      </c>
      <c r="C74" s="1723" t="s">
        <v>1345</v>
      </c>
      <c r="D74" s="1723" t="s">
        <v>1346</v>
      </c>
      <c r="E74" s="1723" t="s">
        <v>1347</v>
      </c>
      <c r="F74" s="1723" t="s">
        <v>1348</v>
      </c>
      <c r="G74" s="1723" t="s">
        <v>1349</v>
      </c>
      <c r="H74" s="1682"/>
      <c r="I74" s="1682"/>
      <c r="J74" s="1682"/>
      <c r="K74" s="1683"/>
      <c r="L74" s="1684"/>
      <c r="M74" s="1685"/>
      <c r="N74" s="2159"/>
      <c r="O74" s="2159"/>
      <c r="P74" s="3389"/>
      <c r="Q74" s="3383"/>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89"/>
      <c r="Q75" s="3383"/>
    </row>
    <row r="76" ht="15.75" spans="1:23">
      <c r="A76" s="1676"/>
      <c r="B76" s="1689" t="s">
        <v>1308</v>
      </c>
      <c r="C76" s="1499" t="s">
        <v>1350</v>
      </c>
      <c r="D76" s="1499" t="s">
        <v>1351</v>
      </c>
      <c r="E76" s="1499" t="s">
        <v>1352</v>
      </c>
      <c r="F76" s="1499" t="s">
        <v>1353</v>
      </c>
      <c r="G76" s="1499" t="s">
        <v>1354</v>
      </c>
      <c r="H76" s="1682"/>
      <c r="I76" s="1682"/>
      <c r="J76" s="1682"/>
      <c r="K76" s="1682"/>
      <c r="L76" s="1682"/>
      <c r="M76" s="1980"/>
      <c r="N76" s="2161"/>
      <c r="O76" s="2161"/>
      <c r="P76" s="3389"/>
      <c r="Q76" s="3383"/>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89"/>
      <c r="Q77" s="3383"/>
    </row>
    <row r="78" ht="15.75" spans="1:23">
      <c r="A78" s="1676"/>
      <c r="B78" s="1681" t="s">
        <v>1309</v>
      </c>
      <c r="C78" s="1723" t="s">
        <v>1345</v>
      </c>
      <c r="D78" s="1723" t="s">
        <v>1346</v>
      </c>
      <c r="E78" s="1723" t="s">
        <v>1347</v>
      </c>
      <c r="F78" s="1723" t="s">
        <v>1348</v>
      </c>
      <c r="G78" s="1723" t="s">
        <v>1349</v>
      </c>
      <c r="H78" s="1682"/>
      <c r="I78" s="1682"/>
      <c r="J78" s="1682"/>
      <c r="K78" s="1683"/>
      <c r="L78" s="1684"/>
      <c r="M78" s="1685"/>
      <c r="N78" s="2159"/>
      <c r="O78" s="2159"/>
      <c r="P78" s="3389"/>
      <c r="Q78" s="3383"/>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89"/>
      <c r="Q79" s="3383"/>
    </row>
    <row r="80" s="1352" customFormat="1" ht="15.75" spans="1:23">
      <c r="A80" s="1724"/>
      <c r="B80" s="1681">
        <f>B25</f>
        <v>111</v>
      </c>
      <c r="C80" s="1698"/>
      <c r="D80" s="1698"/>
      <c r="E80" s="1698"/>
      <c r="F80" s="1698"/>
      <c r="G80" s="1698"/>
      <c r="H80" s="1698"/>
      <c r="I80" s="1698"/>
      <c r="J80" s="1698"/>
      <c r="K80" s="1698"/>
      <c r="L80" s="1981"/>
      <c r="M80" s="1982"/>
      <c r="N80" s="2157"/>
      <c r="O80" s="2157"/>
      <c r="P80" s="3389"/>
      <c r="Q80" s="3383"/>
      <c r="R80" s="3386"/>
      <c r="S80" s="3386"/>
      <c r="T80" s="3386"/>
      <c r="U80" s="3386"/>
      <c r="V80" s="3386"/>
      <c r="W80" s="3386"/>
    </row>
    <row r="81" s="1352" customFormat="1" ht="15.75" spans="1:23">
      <c r="A81" s="1724"/>
      <c r="B81" s="1686"/>
      <c r="C81" s="1705"/>
      <c r="D81" s="1678"/>
      <c r="E81" s="1678"/>
      <c r="F81" s="1678"/>
      <c r="G81" s="1678"/>
      <c r="H81" s="1678"/>
      <c r="I81" s="1678"/>
      <c r="J81" s="1678"/>
      <c r="K81" s="1678"/>
      <c r="L81" s="1678"/>
      <c r="M81" s="1679"/>
      <c r="N81" s="2161"/>
      <c r="O81" s="2161"/>
      <c r="P81" s="3389"/>
      <c r="Q81" s="3383"/>
      <c r="R81" s="3386"/>
      <c r="S81" s="3386"/>
      <c r="T81" s="3386"/>
      <c r="U81" s="3386"/>
      <c r="V81" s="3386"/>
      <c r="W81" s="3386"/>
    </row>
    <row r="82" s="1352" customFormat="1" ht="15.75" spans="1:23">
      <c r="A82" s="1724"/>
      <c r="B82" s="1681">
        <f>B26</f>
        <v>111</v>
      </c>
      <c r="C82" s="1698"/>
      <c r="D82" s="1698"/>
      <c r="E82" s="1698"/>
      <c r="F82" s="1698"/>
      <c r="G82" s="1698"/>
      <c r="H82" s="1698"/>
      <c r="I82" s="1698"/>
      <c r="J82" s="1698"/>
      <c r="K82" s="1698"/>
      <c r="L82" s="1981"/>
      <c r="M82" s="1982"/>
      <c r="N82" s="2157"/>
      <c r="O82" s="2157"/>
      <c r="P82" s="3389"/>
      <c r="Q82" s="3383"/>
      <c r="R82" s="3386"/>
      <c r="S82" s="3386"/>
      <c r="T82" s="3386"/>
      <c r="U82" s="3386"/>
      <c r="V82" s="3386"/>
      <c r="W82" s="3386"/>
    </row>
    <row r="83" s="1352" customFormat="1" ht="15.75" spans="1:23">
      <c r="A83" s="1724"/>
      <c r="B83" s="1686"/>
      <c r="C83" s="1705"/>
      <c r="D83" s="1678"/>
      <c r="E83" s="1678"/>
      <c r="F83" s="1678"/>
      <c r="G83" s="1678"/>
      <c r="H83" s="1678"/>
      <c r="I83" s="1678"/>
      <c r="J83" s="1678"/>
      <c r="K83" s="1678"/>
      <c r="L83" s="1678"/>
      <c r="M83" s="1679"/>
      <c r="N83" s="2161"/>
      <c r="O83" s="2161"/>
      <c r="P83" s="3389"/>
      <c r="Q83" s="3383"/>
      <c r="R83" s="3386"/>
      <c r="S83" s="3386"/>
      <c r="T83" s="3386"/>
      <c r="U83" s="3386"/>
      <c r="V83" s="3386"/>
      <c r="W83" s="3386"/>
    </row>
    <row r="84" s="1354" customFormat="1" ht="15.75" spans="1:23">
      <c r="A84" s="1697"/>
      <c r="B84" s="1681">
        <f>B27</f>
        <v>111</v>
      </c>
      <c r="C84" s="1698"/>
      <c r="D84" s="1698"/>
      <c r="E84" s="1698"/>
      <c r="F84" s="1698"/>
      <c r="G84" s="1698"/>
      <c r="H84" s="1698"/>
      <c r="I84" s="1698"/>
      <c r="J84" s="1698"/>
      <c r="K84" s="1698"/>
      <c r="L84" s="1981"/>
      <c r="M84" s="1982"/>
      <c r="N84" s="2162"/>
      <c r="O84" s="2162"/>
      <c r="P84" s="3391"/>
      <c r="Q84" s="3392"/>
      <c r="R84" s="3393"/>
      <c r="S84" s="3393"/>
      <c r="T84" s="3393"/>
      <c r="U84" s="3393"/>
      <c r="V84" s="3393"/>
      <c r="W84" s="3393"/>
    </row>
    <row r="85" s="1354" customFormat="1" ht="15.75" spans="1:23">
      <c r="A85" s="1697"/>
      <c r="B85" s="1686"/>
      <c r="C85" s="1705"/>
      <c r="D85" s="1678"/>
      <c r="E85" s="1678"/>
      <c r="F85" s="1678"/>
      <c r="G85" s="1678"/>
      <c r="H85" s="1678"/>
      <c r="I85" s="1678"/>
      <c r="J85" s="1678"/>
      <c r="K85" s="1678"/>
      <c r="L85" s="1678"/>
      <c r="M85" s="1679"/>
      <c r="N85" s="2162"/>
      <c r="O85" s="2162"/>
      <c r="P85" s="3391"/>
      <c r="Q85" s="3392"/>
      <c r="R85" s="3393"/>
      <c r="S85" s="3393"/>
      <c r="T85" s="3393"/>
      <c r="U85" s="3393"/>
      <c r="V85" s="3393"/>
      <c r="W85" s="3393"/>
    </row>
    <row r="86" ht="15.75" spans="1:23">
      <c r="A86" s="1676"/>
      <c r="B86" s="1689">
        <f>B28</f>
        <v>111</v>
      </c>
      <c r="C86" s="1661"/>
      <c r="D86" s="1661"/>
      <c r="E86" s="1661"/>
      <c r="F86" s="1661"/>
      <c r="G86" s="1738"/>
      <c r="H86" s="1738"/>
      <c r="I86" s="1738"/>
      <c r="J86" s="1738"/>
      <c r="K86" s="1739"/>
      <c r="L86" s="1740"/>
      <c r="M86" s="1741"/>
      <c r="N86" s="2159"/>
      <c r="O86" s="2159"/>
      <c r="P86" s="3389"/>
      <c r="Q86" s="3383"/>
    </row>
    <row r="87" ht="15.75" spans="1:23">
      <c r="A87" s="2066"/>
      <c r="B87" s="1714"/>
      <c r="C87" s="1715"/>
      <c r="D87" s="1715"/>
      <c r="E87" s="1715"/>
      <c r="F87" s="1715"/>
      <c r="G87" s="1742"/>
      <c r="H87" s="1742"/>
      <c r="I87" s="1742"/>
      <c r="J87" s="1742"/>
      <c r="K87" s="1742"/>
      <c r="L87" s="1742"/>
      <c r="M87" s="1743"/>
      <c r="N87" s="2161"/>
      <c r="O87" s="2161"/>
      <c r="P87" s="3389"/>
      <c r="Q87" s="3383"/>
    </row>
    <row r="88" spans="1:23">
      <c r="A88" s="1669" t="s">
        <v>1313</v>
      </c>
      <c r="B88" s="1670" t="s">
        <v>1314</v>
      </c>
      <c r="C88" s="3388" t="s">
        <v>884</v>
      </c>
      <c r="D88" s="1671"/>
      <c r="E88" s="1671"/>
      <c r="F88" s="1671"/>
      <c r="G88" s="1671"/>
      <c r="H88" s="1671"/>
      <c r="I88" s="1671"/>
      <c r="J88" s="1671"/>
      <c r="K88" s="1672"/>
      <c r="L88" s="1673"/>
      <c r="M88" s="1674"/>
      <c r="N88" s="2159"/>
      <c r="O88" s="2159"/>
      <c r="P88" s="3389"/>
      <c r="Q88" s="3383"/>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89"/>
      <c r="Q89" s="3383"/>
    </row>
    <row r="90" ht="29.25" spans="1:23">
      <c r="A90" s="1676"/>
      <c r="B90" s="1681" t="s">
        <v>1316</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89"/>
      <c r="Q90" s="3383"/>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1"/>
      <c r="Q91" s="3392"/>
      <c r="R91" s="3393"/>
      <c r="S91" s="3393"/>
      <c r="T91" s="3393"/>
      <c r="U91" s="3393"/>
      <c r="V91" s="3393"/>
      <c r="W91" s="3393"/>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1"/>
      <c r="Q92" s="3392"/>
      <c r="R92" s="3393"/>
      <c r="S92" s="3393"/>
      <c r="T92" s="3393"/>
      <c r="U92" s="3393"/>
      <c r="V92" s="3393"/>
      <c r="W92" s="3393"/>
    </row>
    <row r="93" ht="15.75" spans="1:23">
      <c r="A93" s="1754"/>
      <c r="B93" s="1681" t="s">
        <v>1317</v>
      </c>
      <c r="C93" s="3396" t="s">
        <v>1364</v>
      </c>
      <c r="D93" s="1698"/>
      <c r="E93" s="1734"/>
      <c r="F93" s="1734"/>
      <c r="G93" s="1734"/>
      <c r="H93" s="1734"/>
      <c r="I93" s="1734"/>
      <c r="J93" s="1734"/>
      <c r="K93" s="1735"/>
      <c r="L93" s="1736"/>
      <c r="M93" s="1737"/>
      <c r="N93" s="2159"/>
      <c r="O93" s="2159"/>
      <c r="P93" s="3389"/>
      <c r="Q93" s="3383"/>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89"/>
      <c r="Q94" s="3383"/>
    </row>
    <row r="95" ht="15.75" spans="1:23">
      <c r="A95" s="1754"/>
      <c r="B95" s="1681" t="s">
        <v>1318</v>
      </c>
      <c r="C95" s="3396" t="s">
        <v>1365</v>
      </c>
      <c r="D95" s="1698"/>
      <c r="E95" s="1698"/>
      <c r="F95" s="1734"/>
      <c r="G95" s="1734"/>
      <c r="H95" s="1734"/>
      <c r="I95" s="1734"/>
      <c r="J95" s="1734"/>
      <c r="K95" s="1735"/>
      <c r="L95" s="1736"/>
      <c r="M95" s="1737"/>
      <c r="N95" s="2159"/>
      <c r="O95" s="2159"/>
      <c r="P95" s="3389"/>
      <c r="Q95" s="3383"/>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89"/>
      <c r="Q96" s="3383"/>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89"/>
      <c r="Q97" s="3383"/>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89"/>
      <c r="Q98" s="3383"/>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89"/>
      <c r="Q99" s="3383"/>
    </row>
    <row r="100" s="1354" customFormat="1" ht="15.75" spans="1:23">
      <c r="A100" s="1745"/>
      <c r="B100" s="1681" t="s">
        <v>1320</v>
      </c>
      <c r="C100" s="3396" t="s">
        <v>1366</v>
      </c>
      <c r="D100" s="1698"/>
      <c r="E100" s="1698"/>
      <c r="F100" s="1698"/>
      <c r="G100" s="1698"/>
      <c r="H100" s="1734"/>
      <c r="I100" s="1734"/>
      <c r="J100" s="1734"/>
      <c r="K100" s="1735"/>
      <c r="L100" s="1736"/>
      <c r="M100" s="1737"/>
      <c r="N100" s="2162"/>
      <c r="O100" s="2162"/>
      <c r="P100" s="3391"/>
      <c r="Q100" s="3392"/>
      <c r="R100" s="3393"/>
      <c r="S100" s="3393"/>
      <c r="T100" s="3393"/>
      <c r="U100" s="3393"/>
      <c r="V100" s="3393"/>
      <c r="W100" s="3393"/>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1"/>
      <c r="Q101" s="3392"/>
      <c r="R101" s="3393"/>
      <c r="S101" s="3393"/>
      <c r="T101" s="3393"/>
      <c r="U101" s="3393"/>
      <c r="V101" s="3393"/>
      <c r="W101" s="3393"/>
    </row>
    <row r="102" ht="15.75" spans="1:23">
      <c r="A102" s="1754"/>
      <c r="B102" s="1681" t="s">
        <v>1321</v>
      </c>
      <c r="C102" s="1698"/>
      <c r="D102" s="1698"/>
      <c r="E102" s="1698"/>
      <c r="F102" s="1698"/>
      <c r="G102" s="1698"/>
      <c r="H102" s="1734"/>
      <c r="I102" s="1734"/>
      <c r="J102" s="1734"/>
      <c r="K102" s="1735"/>
      <c r="L102" s="1736"/>
      <c r="M102" s="1737"/>
      <c r="N102" s="2159"/>
      <c r="O102" s="2159"/>
      <c r="P102" s="3389"/>
      <c r="Q102" s="3383"/>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89"/>
      <c r="Q103" s="3383"/>
    </row>
    <row r="104" ht="15.75" spans="1:23">
      <c r="A104" s="1754"/>
      <c r="B104" s="1681" t="s">
        <v>1324</v>
      </c>
      <c r="C104" s="3396" t="s">
        <v>1365</v>
      </c>
      <c r="D104" s="3396" t="s">
        <v>1367</v>
      </c>
      <c r="E104" s="3396" t="s">
        <v>1374</v>
      </c>
      <c r="F104" s="3396" t="s">
        <v>1368</v>
      </c>
      <c r="G104" s="1698"/>
      <c r="H104" s="1734"/>
      <c r="I104" s="1734"/>
      <c r="J104" s="1734"/>
      <c r="K104" s="1735"/>
      <c r="L104" s="1736"/>
      <c r="M104" s="1737"/>
      <c r="N104" s="2159"/>
      <c r="O104" s="2159"/>
      <c r="P104" s="3389"/>
      <c r="Q104" s="3383"/>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89"/>
      <c r="Q105" s="3383"/>
    </row>
    <row r="106" ht="15.75" spans="1:23">
      <c r="A106" s="1754"/>
      <c r="B106" s="1983" t="s">
        <v>1375</v>
      </c>
      <c r="C106" s="1723" t="s">
        <v>1345</v>
      </c>
      <c r="D106" s="1723" t="s">
        <v>1346</v>
      </c>
      <c r="E106" s="1723" t="s">
        <v>1347</v>
      </c>
      <c r="F106" s="1723" t="s">
        <v>1348</v>
      </c>
      <c r="G106" s="1723" t="s">
        <v>1349</v>
      </c>
      <c r="H106" s="1682"/>
      <c r="I106" s="1682"/>
      <c r="J106" s="1682"/>
      <c r="K106" s="1683"/>
      <c r="L106" s="1684"/>
      <c r="M106" s="1685"/>
      <c r="N106" s="2161"/>
      <c r="O106" s="2161"/>
      <c r="P106" s="3397"/>
      <c r="Q106" s="3398"/>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89"/>
      <c r="Q107" s="3383"/>
    </row>
    <row r="108" s="1354" customFormat="1" ht="28.5" spans="1:23">
      <c r="A108" s="1745"/>
      <c r="B108" s="1681" t="str">
        <f>B38</f>
        <v>地下面积占比</v>
      </c>
      <c r="C108" s="3399" t="s">
        <v>1373</v>
      </c>
      <c r="D108" s="3400" t="s">
        <v>1376</v>
      </c>
      <c r="E108" s="3399" t="s">
        <v>1371</v>
      </c>
      <c r="F108" s="3401" t="s">
        <v>1377</v>
      </c>
      <c r="G108" s="1698"/>
      <c r="H108" s="1699"/>
      <c r="I108" s="1699"/>
      <c r="J108" s="1699"/>
      <c r="K108" s="1699"/>
      <c r="L108" s="1700"/>
      <c r="M108" s="1701"/>
      <c r="N108" s="2162"/>
      <c r="O108" s="2162"/>
      <c r="P108" s="3391"/>
      <c r="Q108" s="3392"/>
      <c r="R108" s="3393"/>
      <c r="S108" s="3393"/>
      <c r="T108" s="3393"/>
      <c r="U108" s="3393"/>
      <c r="V108" s="3393"/>
      <c r="W108" s="3393"/>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1"/>
      <c r="Q109" s="3392"/>
      <c r="R109" s="3393"/>
      <c r="S109" s="3393"/>
      <c r="T109" s="3393"/>
      <c r="U109" s="3393"/>
      <c r="V109" s="3393"/>
      <c r="W109" s="3393"/>
    </row>
    <row r="110" ht="15.75" spans="1:23">
      <c r="A110" s="1754"/>
      <c r="B110" s="1681">
        <f>B39</f>
        <v>111</v>
      </c>
      <c r="C110" s="1698"/>
      <c r="D110" s="1698"/>
      <c r="E110" s="1698"/>
      <c r="F110" s="1698"/>
      <c r="G110" s="1698"/>
      <c r="H110" s="1699"/>
      <c r="I110" s="1699"/>
      <c r="J110" s="1699"/>
      <c r="K110" s="1699"/>
      <c r="L110" s="1700"/>
      <c r="M110" s="1701"/>
      <c r="N110" s="2159"/>
      <c r="O110" s="2159"/>
      <c r="P110" s="3389"/>
      <c r="Q110" s="3383"/>
    </row>
    <row r="111" ht="15.75" spans="1:23">
      <c r="A111" s="1676"/>
      <c r="B111" s="1686"/>
      <c r="C111" s="1705"/>
      <c r="D111" s="1678"/>
      <c r="E111" s="1678"/>
      <c r="F111" s="1678"/>
      <c r="G111" s="1705"/>
      <c r="H111" s="1707"/>
      <c r="I111" s="1707"/>
      <c r="J111" s="1707"/>
      <c r="K111" s="1707"/>
      <c r="L111" s="1707"/>
      <c r="M111" s="1708"/>
      <c r="N111" s="2161"/>
      <c r="O111" s="2161"/>
      <c r="P111" s="3389"/>
      <c r="Q111" s="3383"/>
    </row>
    <row r="112" ht="15.75" spans="1:23">
      <c r="A112" s="1754"/>
      <c r="B112" s="1689">
        <f>B40</f>
        <v>111</v>
      </c>
      <c r="C112" s="1661"/>
      <c r="D112" s="1661"/>
      <c r="E112" s="1661"/>
      <c r="F112" s="1661"/>
      <c r="G112" s="1738"/>
      <c r="H112" s="1738"/>
      <c r="I112" s="1738"/>
      <c r="J112" s="1738"/>
      <c r="K112" s="1661"/>
      <c r="L112" s="1662"/>
      <c r="M112" s="1741"/>
      <c r="N112" s="2159"/>
      <c r="O112" s="2159"/>
      <c r="P112" s="3389"/>
      <c r="Q112" s="3383"/>
    </row>
    <row r="113" ht="15.75" spans="1:17">
      <c r="A113" s="2066"/>
      <c r="B113" s="1714"/>
      <c r="C113" s="1715"/>
      <c r="D113" s="1715"/>
      <c r="E113" s="1715"/>
      <c r="F113" s="1715"/>
      <c r="G113" s="1742"/>
      <c r="H113" s="1742"/>
      <c r="I113" s="1742"/>
      <c r="J113" s="1742"/>
      <c r="K113" s="1742"/>
      <c r="L113" s="1742"/>
      <c r="M113" s="1743"/>
      <c r="N113" s="2161"/>
      <c r="O113" s="2161"/>
      <c r="P113" s="3389"/>
      <c r="Q113" s="338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7" t="s">
        <v>833</v>
      </c>
      <c r="B1" s="3327" t="s">
        <v>989</v>
      </c>
      <c r="C1" s="3327" t="s">
        <v>876</v>
      </c>
      <c r="D1" s="3327" t="s">
        <v>1378</v>
      </c>
      <c r="E1" s="3327" t="s">
        <v>1379</v>
      </c>
      <c r="F1" s="3327" t="s">
        <v>1380</v>
      </c>
      <c r="G1" s="3327" t="s">
        <v>455</v>
      </c>
      <c r="H1" s="3327" t="s">
        <v>1381</v>
      </c>
      <c r="I1" s="3327" t="s">
        <v>1382</v>
      </c>
      <c r="J1" s="3328" t="s">
        <v>1383</v>
      </c>
      <c r="K1" s="3327" t="s">
        <v>1384</v>
      </c>
      <c r="L1" s="3327" t="s">
        <v>1385</v>
      </c>
      <c r="M1" s="3327" t="s">
        <v>1386</v>
      </c>
      <c r="N1" s="3327" t="s">
        <v>1387</v>
      </c>
      <c r="O1" s="3327" t="s">
        <v>1388</v>
      </c>
      <c r="P1" s="3329" t="s">
        <v>1389</v>
      </c>
      <c r="Q1" s="3327" t="s">
        <v>1390</v>
      </c>
      <c r="R1" s="3327" t="s">
        <v>1391</v>
      </c>
      <c r="S1" s="3327" t="s">
        <v>1392</v>
      </c>
      <c r="T1" s="3327" t="s">
        <v>1393</v>
      </c>
      <c r="U1" s="3327" t="s">
        <v>1394</v>
      </c>
      <c r="V1" s="3327" t="s">
        <v>1395</v>
      </c>
      <c r="W1" s="3327" t="s">
        <v>1106</v>
      </c>
    </row>
    <row r="2" s="3326" customFormat="1" ht="36" spans="1:23">
      <c r="A2" s="3327">
        <v>565</v>
      </c>
      <c r="B2" s="3327" t="s">
        <v>1396</v>
      </c>
      <c r="C2" s="3327" t="s">
        <v>1283</v>
      </c>
      <c r="D2" s="3327" t="s">
        <v>1397</v>
      </c>
      <c r="E2" s="3327" t="s">
        <v>1398</v>
      </c>
      <c r="F2" s="3327" t="s">
        <v>1399</v>
      </c>
      <c r="G2" s="3327" t="s">
        <v>1400</v>
      </c>
      <c r="H2" s="3327"/>
      <c r="I2" s="3327">
        <v>20714.13</v>
      </c>
      <c r="J2" s="3328">
        <v>20714.13</v>
      </c>
      <c r="K2" s="3327"/>
      <c r="L2" s="3327">
        <v>93213.58</v>
      </c>
      <c r="M2" s="3327">
        <v>45000</v>
      </c>
      <c r="N2" s="3330">
        <v>44999.9975861888</v>
      </c>
      <c r="O2" s="3327" t="s">
        <v>1401</v>
      </c>
      <c r="P2" s="3331">
        <v>45139</v>
      </c>
      <c r="Q2" s="3327" t="s">
        <v>1402</v>
      </c>
      <c r="R2" s="3327" t="s">
        <v>1403</v>
      </c>
      <c r="S2" s="3327"/>
      <c r="T2" s="3330">
        <v>0</v>
      </c>
      <c r="U2" s="3327"/>
      <c r="V2" s="3332" t="e">
        <v>#DIV/0!</v>
      </c>
      <c r="W2" s="3327" t="s">
        <v>1404</v>
      </c>
    </row>
    <row r="3" ht="132" spans="1:23">
      <c r="A3" s="3327">
        <v>566</v>
      </c>
      <c r="B3" s="3327" t="s">
        <v>1405</v>
      </c>
      <c r="C3" s="3327" t="s">
        <v>1284</v>
      </c>
      <c r="D3" s="3333" t="s">
        <v>1406</v>
      </c>
      <c r="E3" s="3333" t="s">
        <v>1407</v>
      </c>
      <c r="F3" s="3333" t="s">
        <v>1408</v>
      </c>
      <c r="G3" s="3327" t="s">
        <v>1409</v>
      </c>
      <c r="H3" s="3333"/>
      <c r="I3" s="3333">
        <v>8905</v>
      </c>
      <c r="J3" s="3334">
        <v>8905</v>
      </c>
      <c r="K3" s="3333"/>
      <c r="L3" s="3333">
        <v>33839</v>
      </c>
      <c r="M3" s="3327">
        <v>38000</v>
      </c>
      <c r="N3" s="3335">
        <v>38000</v>
      </c>
      <c r="O3" s="3333" t="s">
        <v>1410</v>
      </c>
      <c r="P3" s="3336">
        <v>45041</v>
      </c>
      <c r="Q3" s="3327" t="s">
        <v>1411</v>
      </c>
      <c r="R3" s="3333" t="s">
        <v>1412</v>
      </c>
      <c r="S3" s="3333"/>
      <c r="T3" s="3335">
        <v>0</v>
      </c>
      <c r="U3" s="3333"/>
      <c r="V3" s="3337" t="e">
        <v>#DIV/0!</v>
      </c>
      <c r="W3" s="3333" t="s">
        <v>1413</v>
      </c>
    </row>
    <row r="4" s="5" customFormat="1" ht="24" hidden="1" spans="1:23">
      <c r="A4" s="3327">
        <v>508</v>
      </c>
      <c r="B4" s="3333" t="s">
        <v>1414</v>
      </c>
      <c r="C4" s="3327" t="s">
        <v>1415</v>
      </c>
      <c r="D4" s="3333" t="s">
        <v>1406</v>
      </c>
      <c r="E4" s="3333" t="s">
        <v>1416</v>
      </c>
      <c r="F4" s="3333" t="s">
        <v>124</v>
      </c>
      <c r="G4" s="3327" t="s">
        <v>1417</v>
      </c>
      <c r="H4" s="3333"/>
      <c r="I4" s="3333">
        <v>470.01</v>
      </c>
      <c r="J4" s="3334">
        <v>352.5075</v>
      </c>
      <c r="K4" s="3334">
        <v>117.5025</v>
      </c>
      <c r="L4" s="3333">
        <v>1921</v>
      </c>
      <c r="M4" s="3338">
        <v>40871</v>
      </c>
      <c r="N4" s="3339">
        <v>54495.2944263597</v>
      </c>
      <c r="O4" s="3333" t="s">
        <v>1418</v>
      </c>
      <c r="P4" s="3340">
        <v>44930</v>
      </c>
      <c r="Q4" s="3333" t="s">
        <v>1419</v>
      </c>
      <c r="R4" s="3333" t="s">
        <v>1420</v>
      </c>
      <c r="S4" s="3333">
        <v>1500</v>
      </c>
      <c r="T4" s="3335">
        <v>42552.2861215719</v>
      </c>
      <c r="U4" s="3333"/>
      <c r="V4" s="3341">
        <v>1.28066666666667</v>
      </c>
      <c r="W4" s="3333" t="s">
        <v>1421</v>
      </c>
    </row>
    <row r="5" ht="24" hidden="1" spans="1:23">
      <c r="B5" s="3342" t="s">
        <v>1422</v>
      </c>
      <c r="I5">
        <v>21684.06</v>
      </c>
      <c r="L5">
        <v>73725.8</v>
      </c>
      <c r="M5" s="3342">
        <v>34000</v>
      </c>
      <c r="P5" s="3343">
        <v>45632</v>
      </c>
    </row>
    <row r="7" s="5" customFormat="1" spans="1:23">
      <c r="A7" s="5" t="s">
        <v>1423</v>
      </c>
      <c r="B7" s="5" t="s">
        <v>989</v>
      </c>
      <c r="C7" s="5" t="s">
        <v>1424</v>
      </c>
      <c r="D7" s="5" t="s">
        <v>1425</v>
      </c>
      <c r="E7" s="5" t="s">
        <v>1379</v>
      </c>
      <c r="F7" s="5" t="s">
        <v>1426</v>
      </c>
      <c r="G7" s="5" t="s">
        <v>1427</v>
      </c>
      <c r="H7" s="5" t="s">
        <v>1428</v>
      </c>
      <c r="I7" s="5" t="s">
        <v>1429</v>
      </c>
      <c r="J7" s="5" t="s">
        <v>1430</v>
      </c>
      <c r="K7" s="5" t="s">
        <v>1431</v>
      </c>
      <c r="L7" s="5" t="s">
        <v>1432</v>
      </c>
      <c r="M7" s="5" t="s">
        <v>1433</v>
      </c>
      <c r="N7" s="5" t="s">
        <v>1434</v>
      </c>
      <c r="O7" s="5" t="s">
        <v>1435</v>
      </c>
      <c r="P7" s="5" t="s">
        <v>1436</v>
      </c>
    </row>
    <row r="8" s="3326" customFormat="1" ht="27" spans="1:23">
      <c r="A8" s="3326" t="s">
        <v>1285</v>
      </c>
      <c r="B8" s="3326" t="s">
        <v>1437</v>
      </c>
      <c r="C8" s="3326" t="s">
        <v>1438</v>
      </c>
      <c r="D8" s="3326" t="s">
        <v>1439</v>
      </c>
      <c r="E8" s="3326" t="s">
        <v>1440</v>
      </c>
      <c r="F8" s="3326" t="s">
        <v>884</v>
      </c>
      <c r="G8" s="3326" t="s">
        <v>884</v>
      </c>
      <c r="H8" s="3326" t="s">
        <v>1441</v>
      </c>
      <c r="I8" s="3326" t="s">
        <v>1442</v>
      </c>
      <c r="J8" s="3326" t="s">
        <v>1443</v>
      </c>
      <c r="K8" s="3326" t="s">
        <v>1444</v>
      </c>
      <c r="L8" s="3326" t="s">
        <v>1445</v>
      </c>
      <c r="M8" s="3326" t="s">
        <v>1446</v>
      </c>
      <c r="N8" s="3344" t="s">
        <v>1447</v>
      </c>
      <c r="O8" s="3326" t="s">
        <v>1448</v>
      </c>
      <c r="P8" s="3326" t="s">
        <v>1449</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1450</v>
      </c>
      <c r="B1" s="3300"/>
      <c r="C1" s="3300"/>
      <c r="D1" s="3300"/>
      <c r="E1" s="3301"/>
      <c r="F1" s="3302"/>
      <c r="G1" s="3303"/>
      <c r="H1" s="3303"/>
      <c r="I1" s="3303"/>
      <c r="J1" s="3303"/>
      <c r="K1" s="3303"/>
      <c r="L1" s="3303"/>
      <c r="M1" s="3303"/>
      <c r="N1" s="3303"/>
      <c r="O1" s="3303"/>
      <c r="P1" s="3303"/>
      <c r="Q1" s="3303"/>
      <c r="R1" s="3303"/>
      <c r="S1" s="3303"/>
    </row>
    <row r="2" spans="1:22">
      <c r="A2" s="3304" t="s">
        <v>1265</v>
      </c>
      <c r="B2" s="3305">
        <f ca="1">SUMIF(B6:B13,"&lt;&gt;#ref!",B6:B13)</f>
        <v>59766</v>
      </c>
      <c r="C2" s="3306" t="s">
        <v>1451</v>
      </c>
      <c r="D2" s="3307" t="s">
        <v>1452</v>
      </c>
      <c r="E2" s="3308">
        <f>SUM(E6:E13)</f>
        <v>32267.62</v>
      </c>
      <c r="F2" s="3302"/>
      <c r="G2" s="3303"/>
      <c r="H2" s="3303"/>
      <c r="I2" s="3303"/>
      <c r="J2" s="3303"/>
      <c r="K2" s="3303"/>
      <c r="L2" s="3303"/>
      <c r="M2" s="3303"/>
      <c r="N2" s="3303"/>
      <c r="O2" s="3303"/>
      <c r="P2" s="3303"/>
      <c r="Q2" s="3303"/>
      <c r="R2" s="3303"/>
      <c r="S2" s="3303"/>
    </row>
    <row r="3" spans="1:22">
      <c r="A3" s="3304" t="s">
        <v>1268</v>
      </c>
      <c r="B3" s="3309">
        <f ca="1">ROUND(B2*10000/E2,0)</f>
        <v>18522</v>
      </c>
      <c r="C3" s="3306" t="s">
        <v>1453</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1454</v>
      </c>
      <c r="B5" s="3314" t="s">
        <v>1455</v>
      </c>
      <c r="C5" s="3315"/>
      <c r="D5" s="3316"/>
      <c r="E5" s="3317" t="s">
        <v>1456</v>
      </c>
      <c r="F5" s="3318" t="s">
        <v>1457</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52998</v>
      </c>
      <c r="C6" s="3306" t="s">
        <v>1451</v>
      </c>
      <c r="D6" s="3310"/>
      <c r="E6" s="3321">
        <f>IF(OR(A6=0,F6="否"),0,'数据-取费表'!K6+'数据-取费表'!S6)</f>
        <v>23066.36</v>
      </c>
      <c r="F6" s="3322" t="s">
        <v>1458</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5457</v>
      </c>
      <c r="C7" s="3306" t="s">
        <v>1451</v>
      </c>
      <c r="D7" s="3310"/>
      <c r="E7" s="3321">
        <f>IF(OR(A7=0,F7="否"),0,'数据-取费表'!K7+'数据-取费表'!S7)</f>
        <v>5491.16</v>
      </c>
      <c r="F7" s="3322" t="s">
        <v>1458</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167</v>
      </c>
      <c r="C8" s="3306" t="s">
        <v>1451</v>
      </c>
      <c r="D8" s="3310"/>
      <c r="E8" s="3321">
        <f>IF(OR(A8=0,F8="否"),0,'数据-取费表'!K8+'数据-取费表'!S8)</f>
        <v>365.25</v>
      </c>
      <c r="F8" s="3322" t="s">
        <v>1458</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1144</v>
      </c>
      <c r="C9" s="3306" t="s">
        <v>1451</v>
      </c>
      <c r="D9" s="3310"/>
      <c r="E9" s="3321">
        <f>IF(OR(A9=0,F9="否"),0,'数据-取费表'!K9+'数据-取费表'!S9)</f>
        <v>3344.85</v>
      </c>
      <c r="F9" s="3322" t="s">
        <v>1458</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1451</v>
      </c>
      <c r="D10" s="3310"/>
      <c r="E10" s="3321">
        <f>IF(OR(A10=0,F10="否"),0,'数据-取费表'!K10+'数据-取费表'!S10)</f>
        <v>0</v>
      </c>
      <c r="F10" s="3322" t="s">
        <v>1458</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1451</v>
      </c>
      <c r="D11" s="3310"/>
      <c r="E11" s="3321">
        <f>IF(OR(A11=0,F11="否"),0,'数据-取费表'!K11+'数据-取费表'!S11)</f>
        <v>0</v>
      </c>
      <c r="F11" s="3322" t="s">
        <v>1458</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1451</v>
      </c>
      <c r="D12" s="3310"/>
      <c r="E12" s="3321">
        <f>IF(OR(A12=0,F12="否"),0,'数据-取费表'!K12+'数据-取费表'!S12)</f>
        <v>0</v>
      </c>
      <c r="F12" s="3322" t="s">
        <v>1458</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1451</v>
      </c>
      <c r="D13" s="3325"/>
      <c r="E13" s="3321">
        <f>IF(OR(A13=0,F13="否"),0,'数据-取费表'!K13+'数据-取费表'!S13)</f>
        <v>0</v>
      </c>
      <c r="F13" s="3322" t="s">
        <v>1458</v>
      </c>
      <c r="G13" s="3303"/>
      <c r="H13" s="3303"/>
      <c r="I13" s="3303"/>
      <c r="J13" s="3303"/>
      <c r="K13" s="3303"/>
      <c r="L13" s="3303"/>
      <c r="M13" s="3303"/>
      <c r="N13" s="3303"/>
      <c r="O13" s="3303"/>
      <c r="P13" s="3303"/>
      <c r="Q13" s="3303"/>
      <c r="R13" s="3303"/>
      <c r="S13" s="3303"/>
    </row>
    <row r="14" spans="1:22">
      <c r="A14" s="3303"/>
      <c r="B14" s="3303"/>
      <c r="C14" s="3303"/>
      <c r="D14" s="3303"/>
      <c r="E14" s="3303"/>
      <c r="F14" s="3303"/>
      <c r="G14" s="3303"/>
      <c r="H14" s="3303"/>
      <c r="I14" s="3303"/>
      <c r="J14" s="3303"/>
      <c r="K14" s="3303"/>
      <c r="L14" s="3303"/>
      <c r="M14" s="3303"/>
      <c r="N14" s="3303"/>
      <c r="O14" s="3303"/>
      <c r="P14" s="3303"/>
      <c r="Q14" s="3303"/>
      <c r="R14" s="3303"/>
      <c r="S14" s="3303"/>
      <c r="T14" s="3303"/>
      <c r="U14" s="3303"/>
      <c r="V14" s="3303"/>
    </row>
    <row r="15" spans="1:22">
      <c r="A15" s="3303"/>
      <c r="B15" s="3303"/>
      <c r="C15" s="3303"/>
      <c r="D15" s="3303"/>
      <c r="E15" s="3303"/>
      <c r="F15" s="3303"/>
      <c r="G15" s="3303"/>
      <c r="H15" s="3303"/>
      <c r="I15" s="3303"/>
      <c r="J15" s="3303"/>
      <c r="K15" s="3303"/>
      <c r="L15" s="3303"/>
      <c r="M15" s="3303"/>
      <c r="N15" s="3303"/>
      <c r="O15" s="3303"/>
      <c r="P15" s="3303"/>
      <c r="Q15" s="3303"/>
      <c r="R15" s="3303"/>
      <c r="S15" s="3303"/>
      <c r="T15" s="3303"/>
      <c r="U15" s="3303"/>
      <c r="V15" s="3303"/>
    </row>
    <row r="16" spans="1:22">
      <c r="A16" s="3303"/>
      <c r="B16" s="3303"/>
      <c r="C16" s="3303"/>
      <c r="D16" s="3303"/>
      <c r="E16" s="3303"/>
      <c r="F16" s="3303"/>
      <c r="G16" s="3303"/>
      <c r="H16" s="3303"/>
      <c r="I16" s="3303"/>
      <c r="J16" s="3303"/>
      <c r="K16" s="3303"/>
      <c r="L16" s="3303"/>
      <c r="M16" s="3303"/>
      <c r="N16" s="3303"/>
      <c r="O16" s="3303"/>
      <c r="P16" s="3303"/>
      <c r="Q16" s="3303"/>
      <c r="R16" s="3303"/>
      <c r="S16" s="3303"/>
      <c r="T16" s="3303"/>
      <c r="U16" s="3303"/>
      <c r="V16" s="3303"/>
    </row>
    <row r="17" spans="1:22">
      <c r="A17" s="3303"/>
      <c r="B17" s="3303"/>
      <c r="C17" s="3303"/>
      <c r="D17" s="3303"/>
      <c r="E17" s="3303"/>
      <c r="F17" s="3303"/>
      <c r="G17" s="3303"/>
      <c r="H17" s="3303"/>
      <c r="I17" s="3303"/>
      <c r="J17" s="3303"/>
      <c r="K17" s="3303"/>
      <c r="L17" s="3303"/>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52998</v>
      </c>
      <c r="C2" s="2617" t="s">
        <v>1462</v>
      </c>
      <c r="D2" s="2882" t="s">
        <v>1266</v>
      </c>
      <c r="E2" s="2619"/>
      <c r="F2" s="2620"/>
      <c r="G2" s="2621"/>
      <c r="H2" s="2622"/>
      <c r="I2" s="2622"/>
      <c r="J2" s="2622"/>
      <c r="K2" s="2623"/>
      <c r="L2" s="2622"/>
      <c r="M2" s="2622"/>
    </row>
    <row r="3" ht="18" customHeight="1" spans="1:37">
      <c r="A3" s="2624" t="s">
        <v>1463</v>
      </c>
      <c r="B3" s="3008">
        <f ca="1">IF(ISERROR(B2*10000/F32),0,ROUND(B2*10000/F32,0))</f>
        <v>22976</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3111</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3106.69</v>
      </c>
      <c r="D6" s="1279" t="s">
        <v>1474</v>
      </c>
      <c r="E6" s="2900" t="s">
        <v>1475</v>
      </c>
      <c r="F6" s="2947">
        <f ca="1">INDIRECT("'数据-取费表'!u"&amp;$G$1)</f>
        <v>4.1</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3451.88</v>
      </c>
      <c r="D7" s="2906" t="s">
        <v>1477</v>
      </c>
      <c r="E7" s="2650" t="s">
        <v>1478</v>
      </c>
      <c r="F7" s="2907">
        <f ca="1">IF(INDIRECT("'数据-取费表'!ah"&amp;$G$1)="",INDIRECT("'数据-取费表'!k"&amp;$G$1),INDIRECT("'数据-取费表'!ah"&amp;$G$1))</f>
        <v>23066.36</v>
      </c>
      <c r="G7" s="883">
        <f ca="1">C5+收益法地下商业!C5+收益法地下仓储!C5+收益法地下车库!C5</f>
        <v>3517</v>
      </c>
      <c r="H7" s="2903" t="s">
        <v>1186</v>
      </c>
      <c r="I7" s="2904" t="s">
        <v>1476</v>
      </c>
      <c r="J7" s="3256">
        <f ca="1">ROUND(M6*M8*M7/10000,2)</f>
        <v>0</v>
      </c>
      <c r="K7" s="2906" t="s">
        <v>1477</v>
      </c>
      <c r="L7" s="1301" t="s">
        <v>1478</v>
      </c>
      <c r="M7" s="2907">
        <f ca="1">F7</f>
        <v>23066.36</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345.19</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3.88</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479</v>
      </c>
      <c r="D13" s="3259" t="s">
        <v>1490</v>
      </c>
      <c r="E13" s="2926"/>
      <c r="F13" s="2895"/>
      <c r="G13" s="2878"/>
      <c r="H13" s="2675" t="s">
        <v>1488</v>
      </c>
      <c r="I13" s="2676" t="s">
        <v>1489</v>
      </c>
      <c r="J13" s="2924">
        <f ca="1">ROUND(J14+J22+J24+J26,0)</f>
        <v>176</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418.02</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144.73</v>
      </c>
      <c r="K14" s="2931" t="s">
        <v>1494</v>
      </c>
      <c r="L14" s="2685" t="str">
        <f>E14</f>
        <v/>
      </c>
      <c r="M14" s="2930" t="str">
        <f ca="1">IF(M56="非住宅","",IF(M6*M7*M8/12/(1+'数据-取费表'!F30)&gt;100000,4%,2.5%))</f>
        <v/>
      </c>
    </row>
    <row r="15" s="2604" customFormat="1" ht="18" customHeight="1" spans="1:37">
      <c r="A15" s="1315" t="s">
        <v>1186</v>
      </c>
      <c r="B15" s="2900" t="s">
        <v>1495</v>
      </c>
      <c r="C15" s="3255">
        <f ca="1">C18</f>
        <v>33</v>
      </c>
      <c r="D15" s="1104" t="s">
        <v>1496</v>
      </c>
      <c r="E15" s="2932"/>
      <c r="F15" s="2933"/>
      <c r="G15" s="2691"/>
      <c r="H15" s="1315" t="s">
        <v>1186</v>
      </c>
      <c r="I15" s="2900" t="s">
        <v>1495</v>
      </c>
      <c r="J15" s="3255">
        <f ca="1">J18</f>
        <v>-0.34</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279.6</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4.59</v>
      </c>
      <c r="D17" s="2938" t="s">
        <v>1501</v>
      </c>
      <c r="E17" s="2941"/>
      <c r="F17" s="2937">
        <v>0.06</v>
      </c>
      <c r="G17" s="2691"/>
      <c r="H17" s="662" t="s">
        <v>1500</v>
      </c>
      <c r="I17" s="2935" t="s">
        <v>1126</v>
      </c>
      <c r="J17" s="3262">
        <f ca="1">ROUND(J22*M16+((J24+J26)*M17),2)</f>
        <v>2.85</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33</v>
      </c>
      <c r="D18" s="2931" t="s">
        <v>1504</v>
      </c>
      <c r="E18" s="1301" t="s">
        <v>1505</v>
      </c>
      <c r="F18" s="2937">
        <f>'数据-取费表'!B44</f>
        <v>0.12</v>
      </c>
      <c r="G18" s="2691"/>
      <c r="H18" s="662" t="s">
        <v>1502</v>
      </c>
      <c r="I18" s="2935" t="s">
        <v>1506</v>
      </c>
      <c r="J18" s="3262">
        <f ca="1">ROUND((J16-J17)*M18,2)</f>
        <v>-0.34</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372.8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132.85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12.22</v>
      </c>
      <c r="D20" s="2705" t="s">
        <v>1511</v>
      </c>
      <c r="E20" s="1301" t="s">
        <v>1512</v>
      </c>
      <c r="F20" s="3017">
        <f>'数据-取费表'!B53</f>
        <v>12</v>
      </c>
      <c r="G20" s="883"/>
      <c r="H20" s="2903" t="s">
        <v>1193</v>
      </c>
      <c r="I20" s="2645" t="s">
        <v>1510</v>
      </c>
      <c r="J20" s="3257">
        <f ca="1">ROUND(M20*M21/10000,2)</f>
        <v>12.22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10187.38</v>
      </c>
      <c r="G21" s="2691"/>
      <c r="H21" s="2707"/>
      <c r="I21" s="2708"/>
      <c r="J21" s="3263"/>
      <c r="K21" s="2710"/>
      <c r="L21" s="1301" t="s">
        <v>1513</v>
      </c>
      <c r="M21" s="2907">
        <f ca="1">INDIRECT("'数据-取费表'!r"&amp;$G$1)</f>
        <v>10187.38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31.63</v>
      </c>
      <c r="D22" s="2951" t="s">
        <v>1515</v>
      </c>
      <c r="E22" s="1301" t="s">
        <v>1509</v>
      </c>
      <c r="F22" s="2913">
        <f ca="1">INDIRECT("'数据-取费表'!Ak"&amp;$G$1)</f>
        <v>0.002</v>
      </c>
      <c r="G22" s="2691"/>
      <c r="H22" s="2949" t="s">
        <v>1162</v>
      </c>
      <c r="I22" s="2642" t="s">
        <v>1514</v>
      </c>
      <c r="J22" s="3264">
        <f ca="1">ROUND(J35*M22,2)</f>
        <v>31.63</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15816</v>
      </c>
      <c r="G23" s="2691"/>
      <c r="H23" s="2707"/>
      <c r="I23" s="2708"/>
      <c r="J23" s="3265"/>
      <c r="K23" s="2954"/>
      <c r="L23" s="2900" t="s">
        <v>1516</v>
      </c>
      <c r="M23" s="2911">
        <f ca="1">J35</f>
        <v>15816</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13.44</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13444</v>
      </c>
      <c r="G25" s="883"/>
      <c r="H25" s="2707"/>
      <c r="I25" s="2708"/>
      <c r="J25" s="3265"/>
      <c r="K25" s="2954"/>
      <c r="L25" s="2944" t="s">
        <v>1520</v>
      </c>
      <c r="M25" s="2911">
        <f ca="1">J37</f>
        <v>0</v>
      </c>
    </row>
    <row r="26" s="2604" customFormat="1" ht="18" customHeight="1" spans="1:37">
      <c r="A26" s="2692" t="s">
        <v>1218</v>
      </c>
      <c r="B26" s="2671" t="s">
        <v>1521</v>
      </c>
      <c r="C26" s="3266">
        <f ca="1">ROUND(C5*F26,2)</f>
        <v>15.56</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2632</v>
      </c>
      <c r="D27" s="3267" t="s">
        <v>1525</v>
      </c>
      <c r="E27" s="2957"/>
      <c r="F27" s="2958"/>
      <c r="G27" s="2959"/>
      <c r="H27" s="2675" t="s">
        <v>1523</v>
      </c>
      <c r="I27" s="2716" t="s">
        <v>1524</v>
      </c>
      <c r="J27" s="2924">
        <f ca="1">J5-J13</f>
        <v>-176</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52513</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57239</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23066.36</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24815</v>
      </c>
      <c r="D32" s="2981" t="s">
        <v>1541</v>
      </c>
      <c r="E32" s="2725" t="s">
        <v>1542</v>
      </c>
      <c r="F32" s="2982">
        <f ca="1">INDIRECT("'数据-取费表'!k"&amp;$G$1)</f>
        <v>23066.36</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0.153969784635166</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12539</v>
      </c>
      <c r="D35" s="3269" t="s">
        <v>1546</v>
      </c>
      <c r="E35" s="633"/>
      <c r="F35" s="634"/>
      <c r="G35" s="883"/>
      <c r="H35" s="3272" t="s">
        <v>1544</v>
      </c>
      <c r="I35" s="3273" t="s">
        <v>1547</v>
      </c>
      <c r="J35" s="1287">
        <f ca="1">C51</f>
        <v>15816</v>
      </c>
      <c r="K35" s="3021" t="s">
        <v>1266</v>
      </c>
      <c r="L35" s="1280"/>
      <c r="M35" s="1281"/>
    </row>
    <row r="36" ht="18" customHeight="1" spans="1:37">
      <c r="A36" s="1315" t="s">
        <v>1186</v>
      </c>
      <c r="B36" s="2318" t="s">
        <v>1548</v>
      </c>
      <c r="C36" s="1103">
        <f ca="1">INDIRECT("'数据-取费表'!m"&amp;$G$1)+INDIRECT("'数据-取费表'!t"&amp;$G$1)</f>
        <v>11072</v>
      </c>
      <c r="D36" s="2321" t="s">
        <v>1549</v>
      </c>
      <c r="E36" s="2321"/>
      <c r="F36" s="2722"/>
      <c r="G36" s="883"/>
      <c r="H36" s="3004" t="s">
        <v>1162</v>
      </c>
      <c r="I36" s="3005" t="s">
        <v>1550</v>
      </c>
      <c r="J36" s="803">
        <f ca="1">ROUND(J35*(1-M36),0)</f>
        <v>15816</v>
      </c>
      <c r="K36" s="1301" t="s">
        <v>1551</v>
      </c>
      <c r="L36" s="1279" t="s">
        <v>1552</v>
      </c>
      <c r="M36" s="2913">
        <f ca="1">INDIRECT("'数据-取费表'!ad"&amp;$G$1)</f>
        <v>0</v>
      </c>
    </row>
    <row r="37" ht="18" customHeight="1" spans="1:37">
      <c r="A37" s="1315" t="s">
        <v>1190</v>
      </c>
      <c r="B37" s="2935" t="s">
        <v>760</v>
      </c>
      <c r="C37" s="1287">
        <f ca="1">ROUND(C36*F37,0)</f>
        <v>664</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692</v>
      </c>
      <c r="D39" s="1301" t="s">
        <v>1560</v>
      </c>
      <c r="E39" s="1301" t="s">
        <v>1561</v>
      </c>
      <c r="F39" s="3017">
        <f>'数据-取费表'!B35</f>
        <v>300</v>
      </c>
      <c r="G39" s="883"/>
    </row>
    <row r="40" ht="18" customHeight="1" spans="1:37">
      <c r="A40" s="1315" t="s">
        <v>1562</v>
      </c>
      <c r="B40" s="2935" t="s">
        <v>766</v>
      </c>
      <c r="C40" s="1287">
        <f ca="1">ROUND(C36*F40,0)</f>
        <v>111</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376</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404+0.0009V建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404</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1937+0.0045V建</v>
      </c>
      <c r="D47" s="1295" t="s">
        <v>1577</v>
      </c>
      <c r="E47" s="2314"/>
      <c r="F47" s="3017"/>
      <c r="G47" s="883"/>
      <c r="H47" s="713"/>
      <c r="I47" s="713"/>
      <c r="J47" s="713"/>
      <c r="K47" s="1337"/>
      <c r="L47" s="713"/>
      <c r="M47" s="713"/>
    </row>
    <row r="48" ht="18" customHeight="1" spans="1:37">
      <c r="A48" s="1315" t="s">
        <v>1186</v>
      </c>
      <c r="B48" s="1301" t="s">
        <v>1578</v>
      </c>
      <c r="C48" s="1287">
        <f ca="1">ROUND((C35+C42)*F48,0)</f>
        <v>1937</v>
      </c>
      <c r="D48" s="2703" t="s">
        <v>1579</v>
      </c>
      <c r="E48" s="1301" t="s">
        <v>1580</v>
      </c>
      <c r="F48" s="2913">
        <f ca="1">INDIRECT("'数据-取费表'!q"&amp;$G$1)</f>
        <v>0.15</v>
      </c>
      <c r="G48" s="883"/>
      <c r="H48" s="713"/>
      <c r="I48" s="713"/>
      <c r="J48" s="713"/>
      <c r="K48" s="1337"/>
      <c r="L48" s="713"/>
      <c r="M48" s="713"/>
    </row>
    <row r="49" ht="18" customHeight="1" spans="1:18">
      <c r="A49" s="1315" t="s">
        <v>1190</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15816</v>
      </c>
      <c r="D51" s="3021" t="s">
        <v>1266</v>
      </c>
      <c r="E51" s="2964"/>
      <c r="F51" s="2913"/>
      <c r="K51" s="2748"/>
    </row>
    <row r="52" s="883" customFormat="1" ht="18" customHeight="1" spans="1:18">
      <c r="A52" s="3022" t="s">
        <v>1588</v>
      </c>
      <c r="B52" s="3013" t="s">
        <v>1550</v>
      </c>
      <c r="C52" s="2905">
        <f ca="1">ROUND(C51*(1-F52),0)</f>
        <v>2372</v>
      </c>
      <c r="D52" s="2964" t="s">
        <v>1589</v>
      </c>
      <c r="E52" s="2964" t="s">
        <v>1590</v>
      </c>
      <c r="F52" s="2913">
        <f ca="1">INDIRECT("'数据-取费表'!y"&amp;$G$1)</f>
        <v>0.85</v>
      </c>
      <c r="K52" s="2748"/>
    </row>
    <row r="53" s="883" customFormat="1" ht="18" customHeight="1" spans="1:18">
      <c r="A53" s="3023" t="s">
        <v>1591</v>
      </c>
      <c r="B53" s="3024" t="s">
        <v>1592</v>
      </c>
      <c r="C53" s="3008">
        <f ca="1">C51-C52</f>
        <v>13444</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-53395</v>
      </c>
      <c r="D55" s="2755" t="str">
        <f>C2</f>
        <v>万元</v>
      </c>
      <c r="E55" s="2746"/>
      <c r="F55" s="2746"/>
      <c r="I55" s="2756" t="s">
        <v>1596</v>
      </c>
      <c r="J55" s="2757"/>
      <c r="K55" s="2758"/>
      <c r="L55" s="3030">
        <f ca="1">IF(M56="住宅",0,IF(L57&gt;J60,L69,J69))</f>
        <v>485</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52513</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485</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15816</v>
      </c>
      <c r="R58" s="2774" t="s">
        <v>1618</v>
      </c>
    </row>
    <row r="59" s="883" customFormat="1" ht="13.5" spans="1:18">
      <c r="A59" s="3057" t="s">
        <v>1186</v>
      </c>
      <c r="B59" s="3279" t="s">
        <v>1476</v>
      </c>
      <c r="C59" s="3257">
        <f ca="1">ROUND(F58*F60*F59/10000,2)</f>
        <v>0</v>
      </c>
      <c r="D59" s="2906" t="s">
        <v>1477</v>
      </c>
      <c r="E59" s="2797" t="s">
        <v>1478</v>
      </c>
      <c r="F59" s="3058">
        <f ca="1">F7</f>
        <v>23066.36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44803</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57768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57</v>
      </c>
      <c r="D65" s="2827" t="s">
        <v>1640</v>
      </c>
      <c r="E65" s="2839"/>
      <c r="F65" s="2778"/>
      <c r="I65" s="2829" t="s">
        <v>1641</v>
      </c>
      <c r="J65" s="3290" t="s">
        <v>1642</v>
      </c>
      <c r="K65" s="2780" t="s">
        <v>1643</v>
      </c>
      <c r="L65" s="3047" t="str">
        <f ca="1">IF(L57&lt;J60,"——",L57-J62)</f>
        <v>——</v>
      </c>
      <c r="O65" s="3040" t="s">
        <v>1602</v>
      </c>
      <c r="P65" s="3048" t="s">
        <v>1603</v>
      </c>
      <c r="Q65" s="3088">
        <f ca="1">C28+J31</f>
        <v>52513</v>
      </c>
      <c r="R65" s="3043" t="s">
        <v>1604</v>
      </c>
    </row>
    <row r="66" s="883" customFormat="1" ht="24.75" spans="1:18">
      <c r="A66" s="1282" t="s">
        <v>1157</v>
      </c>
      <c r="B66" s="1306" t="s">
        <v>1492</v>
      </c>
      <c r="C66" s="3255">
        <f ca="1">ROUND(IF(AND(项目基本情况!B11="自然人",项目基本情况!B10="北京市",M56="住宅"),C58*F66,C67+C71+C72),2)</f>
        <v>11.78</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-0.44</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F16</f>
        <v>0.09</v>
      </c>
      <c r="I68" s="2835" t="s">
        <v>1651</v>
      </c>
      <c r="J68" s="3080">
        <f ca="1">IF(OR(M56="住宅",J60&lt;L57,J65="是"),"——",ROUND(C51*J67,0))</f>
        <v>6326</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3.65</v>
      </c>
      <c r="D69" s="2938" t="s">
        <v>1501</v>
      </c>
      <c r="E69" s="2941"/>
      <c r="F69" s="2937">
        <f t="shared" ref="F69:F70" si="0">F17</f>
        <v>0.06</v>
      </c>
      <c r="I69" s="2843" t="s">
        <v>1653</v>
      </c>
      <c r="J69" s="3081">
        <f ca="1">IF(OR(M56="住宅",J60&lt;L57,J65="是"),"0",ROUND(J68/(1+J61)^J62,0))</f>
        <v>485</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-0.44</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57239</v>
      </c>
      <c r="R71" s="3043" t="s">
        <v>1636</v>
      </c>
    </row>
    <row r="72" s="883" customFormat="1" ht="13.5" spans="1:18">
      <c r="A72" s="2903" t="s">
        <v>1193</v>
      </c>
      <c r="B72" s="3292" t="s">
        <v>1510</v>
      </c>
      <c r="C72" s="3257">
        <f ca="1">IF(项目基本情况!B11="自然人","——",ROUND(F72*F73/10000,2))</f>
        <v>12.22</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10187.38</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31.63</v>
      </c>
      <c r="D74" s="3087" t="s">
        <v>1515</v>
      </c>
      <c r="E74" s="3294" t="s">
        <v>1670</v>
      </c>
      <c r="F74" s="3063">
        <f ca="1">C51</f>
        <v>15816</v>
      </c>
      <c r="I74" s="2848" t="s">
        <v>1671</v>
      </c>
      <c r="J74" s="3085">
        <v>40</v>
      </c>
      <c r="K74" s="3085">
        <v>30</v>
      </c>
      <c r="L74" s="3085">
        <v>50</v>
      </c>
      <c r="M74" s="2852">
        <v>0.02</v>
      </c>
      <c r="O74" s="3040" t="s">
        <v>1602</v>
      </c>
      <c r="P74" s="3048" t="s">
        <v>1603</v>
      </c>
      <c r="Q74" s="3088">
        <f ca="1">C28+J31</f>
        <v>52513</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13.44</v>
      </c>
      <c r="D76" s="3087" t="s">
        <v>1518</v>
      </c>
      <c r="E76" s="3294" t="s">
        <v>1592</v>
      </c>
      <c r="F76" s="3092">
        <f ca="1">C53</f>
        <v>13444</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44803</v>
      </c>
      <c r="R77" s="2774" t="s">
        <v>1672</v>
      </c>
    </row>
    <row r="78" s="883" customFormat="1" ht="13.5" spans="1:18">
      <c r="A78" s="3089" t="s">
        <v>1218</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-57</v>
      </c>
      <c r="D79" s="2853" t="s">
        <v>1525</v>
      </c>
      <c r="E79" s="3094"/>
      <c r="F79" s="3095"/>
      <c r="O79" s="2793" t="s">
        <v>1621</v>
      </c>
      <c r="P79" s="2859" t="s">
        <v>1673</v>
      </c>
      <c r="Q79" s="3093">
        <f ca="1">ROUND(Q80-Q81*Q82,0)</f>
        <v>2466</v>
      </c>
      <c r="R79" s="2774" t="s">
        <v>1674</v>
      </c>
    </row>
    <row r="80" s="883" customFormat="1" ht="13.5" spans="1:18">
      <c r="A80" s="3096" t="s">
        <v>1526</v>
      </c>
      <c r="B80" s="2858" t="s">
        <v>1527</v>
      </c>
      <c r="C80" s="2915">
        <f ca="1">ROUND(C79*(1-((1+F82)/(1+F80))^F81)/(F80-F82),0)</f>
        <v>-882</v>
      </c>
      <c r="D80" s="3097" t="s">
        <v>1528</v>
      </c>
      <c r="E80" s="2827" t="s">
        <v>1529</v>
      </c>
      <c r="F80" s="2913">
        <f ca="1">F28</f>
        <v>0.055</v>
      </c>
      <c r="O80" s="2793" t="s">
        <v>1675</v>
      </c>
      <c r="P80" s="2859" t="s">
        <v>1676</v>
      </c>
      <c r="Q80" s="3093">
        <f ca="1">C27</f>
        <v>2632</v>
      </c>
      <c r="R80" s="2774" t="s">
        <v>1618</v>
      </c>
    </row>
    <row r="81" s="883" customFormat="1" ht="13.5" spans="1:18">
      <c r="A81" s="3098"/>
      <c r="B81" s="2861"/>
      <c r="C81" s="2892"/>
      <c r="D81" s="3099" t="s">
        <v>1531</v>
      </c>
      <c r="E81" s="2827" t="s">
        <v>1532</v>
      </c>
      <c r="F81" s="2969">
        <f ca="1">F29</f>
        <v>35.52</v>
      </c>
      <c r="O81" s="2793" t="s">
        <v>1677</v>
      </c>
      <c r="P81" s="2859" t="s">
        <v>1678</v>
      </c>
      <c r="Q81" s="3093">
        <f ca="1">C52</f>
        <v>2372</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-961</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-417</v>
      </c>
      <c r="D84" s="3106" t="s">
        <v>1541</v>
      </c>
      <c r="E84" s="2866" t="s">
        <v>1542</v>
      </c>
      <c r="F84" s="2982">
        <f ca="1">F32</f>
        <v>23066.36</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57239</v>
      </c>
      <c r="R86" s="3043" t="s">
        <v>1636</v>
      </c>
    </row>
    <row r="87" spans="1:18">
      <c r="A87" s="883"/>
      <c r="B87" s="2870" t="s">
        <v>1684</v>
      </c>
      <c r="C87" s="1807">
        <f ca="1">ROUND(C53*C88,0)</f>
        <v>941</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0.642</v>
      </c>
    </row>
    <row r="92" spans="1:18">
      <c r="B92" s="2870" t="s">
        <v>1689</v>
      </c>
      <c r="C92" s="3108">
        <f ca="1">ROUND(C87/C27,3)</f>
        <v>0.358</v>
      </c>
    </row>
    <row r="93" spans="1:18">
      <c r="B93" s="493" t="s">
        <v>1690</v>
      </c>
      <c r="C93" s="460"/>
    </row>
    <row r="94" spans="1:18">
      <c r="B94" s="495" t="s">
        <v>1691</v>
      </c>
      <c r="C94" s="3109">
        <f ca="1">1-C95</f>
        <v>0.746</v>
      </c>
    </row>
    <row r="95" spans="1:18">
      <c r="B95" s="495" t="s">
        <v>1692</v>
      </c>
      <c r="C95" s="3108">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5457</v>
      </c>
      <c r="C2" s="2617" t="s">
        <v>1462</v>
      </c>
      <c r="D2" s="2882" t="s">
        <v>1266</v>
      </c>
      <c r="E2" s="2619"/>
      <c r="F2" s="2620"/>
      <c r="G2" s="2621"/>
      <c r="H2" s="2622"/>
      <c r="I2" s="2622"/>
      <c r="J2" s="2622"/>
      <c r="K2" s="2623"/>
      <c r="L2" s="2622"/>
      <c r="M2" s="2622"/>
    </row>
    <row r="3" ht="18" customHeight="1" spans="1:37">
      <c r="A3" s="2624" t="s">
        <v>1463</v>
      </c>
      <c r="B3" s="3008">
        <f ca="1">IF(ISERROR(B2*10000/F32),0,ROUND(B2*10000/F32,0))</f>
        <v>9938</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325</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324.69</v>
      </c>
      <c r="D6" s="1279" t="s">
        <v>1474</v>
      </c>
      <c r="E6" s="2900" t="s">
        <v>1475</v>
      </c>
      <c r="F6" s="2947">
        <f ca="1">INDIRECT("'数据-取费表'!u"&amp;$G$1)</f>
        <v>1.8</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360.77</v>
      </c>
      <c r="D7" s="2906" t="s">
        <v>1477</v>
      </c>
      <c r="E7" s="2650" t="s">
        <v>1478</v>
      </c>
      <c r="F7" s="2907">
        <f ca="1">IF(INDIRECT("'数据-取费表'!ah"&amp;$G$1)="",INDIRECT("'数据-取费表'!k"&amp;$G$1),INDIRECT("'数据-取费表'!ah"&amp;$G$1))</f>
        <v>5491.16</v>
      </c>
      <c r="G7" s="883"/>
      <c r="H7" s="2903" t="s">
        <v>1186</v>
      </c>
      <c r="I7" s="2904" t="s">
        <v>1476</v>
      </c>
      <c r="J7" s="3256">
        <f ca="1">ROUND(M6*M8*M7/10000,2)</f>
        <v>0</v>
      </c>
      <c r="K7" s="2906" t="s">
        <v>1477</v>
      </c>
      <c r="L7" s="1301" t="s">
        <v>1478</v>
      </c>
      <c r="M7" s="2907">
        <f ca="1">F7</f>
        <v>5491.16</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36.08</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0.41</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57</v>
      </c>
      <c r="D13" s="3259" t="s">
        <v>1490</v>
      </c>
      <c r="E13" s="2926"/>
      <c r="F13" s="2895"/>
      <c r="G13" s="2878"/>
      <c r="H13" s="2675" t="s">
        <v>1488</v>
      </c>
      <c r="I13" s="2676" t="s">
        <v>1489</v>
      </c>
      <c r="J13" s="2924">
        <f ca="1">ROUND(J14+J22+J24+J26,0)</f>
        <v>40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45.26</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33.08</v>
      </c>
      <c r="K14" s="2931" t="s">
        <v>1494</v>
      </c>
      <c r="L14" s="2685" t="str">
        <f>E14</f>
        <v/>
      </c>
      <c r="M14" s="2930" t="str">
        <f ca="1">IF(M56="非住宅","",IF(M6*M7*M8/12/(1+'数据-取费表'!F30)&gt;100000,4%,2.5%))</f>
        <v/>
      </c>
    </row>
    <row r="15" s="2604" customFormat="1" ht="18" customHeight="1" spans="1:37">
      <c r="A15" s="1315" t="s">
        <v>1186</v>
      </c>
      <c r="B15" s="2900" t="s">
        <v>1495</v>
      </c>
      <c r="C15" s="3255">
        <f ca="1">C18</f>
        <v>3.39</v>
      </c>
      <c r="D15" s="1104" t="s">
        <v>1496</v>
      </c>
      <c r="E15" s="2932"/>
      <c r="F15" s="2933"/>
      <c r="G15" s="2691"/>
      <c r="H15" s="1315" t="s">
        <v>1186</v>
      </c>
      <c r="I15" s="2900" t="s">
        <v>1495</v>
      </c>
      <c r="J15" s="3255">
        <f ca="1">J18</f>
        <v>-0.08</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29.22</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0.93</v>
      </c>
      <c r="D17" s="2938" t="s">
        <v>1501</v>
      </c>
      <c r="E17" s="2941"/>
      <c r="F17" s="2937">
        <v>0.06</v>
      </c>
      <c r="G17" s="2691"/>
      <c r="H17" s="662" t="s">
        <v>1500</v>
      </c>
      <c r="I17" s="2935" t="s">
        <v>1126</v>
      </c>
      <c r="J17" s="3262">
        <f ca="1">ROUND(J22*M16+((J24+J26)*M17),2)</f>
        <v>0.65</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3.39</v>
      </c>
      <c r="D18" s="2931" t="s">
        <v>1504</v>
      </c>
      <c r="E18" s="1301" t="s">
        <v>1505</v>
      </c>
      <c r="F18" s="2937">
        <f>'数据-取费表'!B44</f>
        <v>0.12</v>
      </c>
      <c r="G18" s="2691"/>
      <c r="H18" s="662" t="s">
        <v>1502</v>
      </c>
      <c r="I18" s="2935" t="s">
        <v>1506</v>
      </c>
      <c r="J18" s="3262">
        <f ca="1">ROUND((J16-J17)*M18,2)</f>
        <v>-0.08</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38.96</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30.25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2.91</v>
      </c>
      <c r="D20" s="2705" t="s">
        <v>1511</v>
      </c>
      <c r="E20" s="1301" t="s">
        <v>1512</v>
      </c>
      <c r="F20" s="3017">
        <f>'数据-取费表'!B53</f>
        <v>12</v>
      </c>
      <c r="G20" s="883"/>
      <c r="H20" s="2903" t="s">
        <v>1193</v>
      </c>
      <c r="I20" s="2645" t="s">
        <v>1510</v>
      </c>
      <c r="J20" s="3257">
        <f ca="1">ROUND(M20*M21/10000,2)</f>
        <v>2.91</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2425.2</v>
      </c>
      <c r="G21" s="2691"/>
      <c r="H21" s="2707"/>
      <c r="I21" s="2708"/>
      <c r="J21" s="3263"/>
      <c r="K21" s="2710"/>
      <c r="L21" s="1301" t="s">
        <v>1513</v>
      </c>
      <c r="M21" s="2907">
        <f ca="1">INDIRECT("'数据-取费表'!r"&amp;$G$1)</f>
        <v>2425.2</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7.2</v>
      </c>
      <c r="D22" s="2951" t="s">
        <v>1515</v>
      </c>
      <c r="E22" s="1301" t="s">
        <v>1509</v>
      </c>
      <c r="F22" s="2913">
        <f ca="1">INDIRECT("'数据-取费表'!Ak"&amp;$G$1)</f>
        <v>0.002</v>
      </c>
      <c r="G22" s="2691"/>
      <c r="H22" s="2949" t="s">
        <v>1162</v>
      </c>
      <c r="I22" s="2642" t="s">
        <v>1514</v>
      </c>
      <c r="J22" s="3264">
        <f ca="1">ROUND(J35*M22,2)</f>
        <v>7.2</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3601</v>
      </c>
      <c r="G23" s="2691"/>
      <c r="H23" s="2707"/>
      <c r="I23" s="2708"/>
      <c r="J23" s="3265"/>
      <c r="K23" s="2954"/>
      <c r="L23" s="2900" t="s">
        <v>1516</v>
      </c>
      <c r="M23" s="2911">
        <f ca="1">J35</f>
        <v>3601</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3.06</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3061</v>
      </c>
      <c r="G25" s="883"/>
      <c r="H25" s="2707"/>
      <c r="I25" s="2708"/>
      <c r="J25" s="3265"/>
      <c r="K25" s="2954"/>
      <c r="L25" s="2944" t="s">
        <v>1520</v>
      </c>
      <c r="M25" s="2911">
        <f ca="1">J37</f>
        <v>0</v>
      </c>
    </row>
    <row r="26" s="2604" customFormat="1" ht="18" customHeight="1" spans="1:37">
      <c r="A26" s="2692" t="s">
        <v>1218</v>
      </c>
      <c r="B26" s="2671" t="s">
        <v>1521</v>
      </c>
      <c r="C26" s="3266">
        <f ca="1">ROUND(C5*F26,2)</f>
        <v>1.63</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268</v>
      </c>
      <c r="D27" s="3267" t="s">
        <v>1525</v>
      </c>
      <c r="E27" s="2957"/>
      <c r="F27" s="2958"/>
      <c r="G27" s="2959"/>
      <c r="H27" s="2675" t="s">
        <v>1523</v>
      </c>
      <c r="I27" s="2716" t="s">
        <v>1524</v>
      </c>
      <c r="J27" s="2924">
        <f ca="1">J5-J13</f>
        <v>-40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5347</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5828</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5491.16</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10613</v>
      </c>
      <c r="D32" s="2981" t="s">
        <v>1541</v>
      </c>
      <c r="E32" s="2725" t="s">
        <v>1542</v>
      </c>
      <c r="F32" s="2982">
        <f ca="1">INDIRECT("'数据-取费表'!k"&amp;$G$1)</f>
        <v>5491.16</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0.175384615384615</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2985</v>
      </c>
      <c r="D35" s="3269" t="s">
        <v>1546</v>
      </c>
      <c r="E35" s="633"/>
      <c r="F35" s="634"/>
      <c r="G35" s="883"/>
      <c r="H35" s="3272" t="s">
        <v>1544</v>
      </c>
      <c r="I35" s="3273" t="s">
        <v>1547</v>
      </c>
      <c r="J35" s="1287">
        <f ca="1">C51</f>
        <v>3601</v>
      </c>
      <c r="K35" s="3021" t="s">
        <v>1266</v>
      </c>
      <c r="L35" s="1280"/>
      <c r="M35" s="1281"/>
    </row>
    <row r="36" ht="18" customHeight="1" spans="1:37">
      <c r="A36" s="1315" t="s">
        <v>1186</v>
      </c>
      <c r="B36" s="2318" t="s">
        <v>1548</v>
      </c>
      <c r="C36" s="1103">
        <f ca="1">INDIRECT("'数据-取费表'!m"&amp;$G$1)+INDIRECT("'数据-取费表'!t"&amp;$G$1)</f>
        <v>2636</v>
      </c>
      <c r="D36" s="2321" t="s">
        <v>1549</v>
      </c>
      <c r="E36" s="2321"/>
      <c r="F36" s="2722"/>
      <c r="G36" s="883"/>
      <c r="H36" s="3004" t="s">
        <v>1162</v>
      </c>
      <c r="I36" s="3005" t="s">
        <v>1550</v>
      </c>
      <c r="J36" s="803">
        <f ca="1">ROUND(J35*(1-M36),0)</f>
        <v>3601</v>
      </c>
      <c r="K36" s="1301" t="s">
        <v>1551</v>
      </c>
      <c r="L36" s="1279" t="s">
        <v>1552</v>
      </c>
      <c r="M36" s="2913">
        <f ca="1">INDIRECT("'数据-取费表'!ad"&amp;$G$1)</f>
        <v>0</v>
      </c>
    </row>
    <row r="37" ht="18" customHeight="1" spans="1:37">
      <c r="A37" s="1315" t="s">
        <v>1190</v>
      </c>
      <c r="B37" s="2935" t="s">
        <v>760</v>
      </c>
      <c r="C37" s="1287">
        <f ca="1">ROUND(C36*F37,0)</f>
        <v>158</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165</v>
      </c>
      <c r="D39" s="1301" t="s">
        <v>1560</v>
      </c>
      <c r="E39" s="1301" t="s">
        <v>1561</v>
      </c>
      <c r="F39" s="3017">
        <f>'数据-取费表'!B35</f>
        <v>300</v>
      </c>
      <c r="G39" s="883"/>
    </row>
    <row r="40" ht="18" customHeight="1" spans="1:37">
      <c r="A40" s="1315" t="s">
        <v>1562</v>
      </c>
      <c r="B40" s="2935" t="s">
        <v>766</v>
      </c>
      <c r="C40" s="1287">
        <f ca="1">ROUND(C36*F40,0)</f>
        <v>26</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90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96+0.0009V建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96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308+0.003V建</v>
      </c>
      <c r="D47" s="1295" t="s">
        <v>1577</v>
      </c>
      <c r="E47" s="2314"/>
      <c r="F47" s="3017"/>
      <c r="G47" s="883"/>
      <c r="H47" s="713"/>
      <c r="I47" s="713"/>
      <c r="J47" s="713"/>
      <c r="K47" s="1337"/>
      <c r="L47" s="713"/>
      <c r="M47" s="713"/>
    </row>
    <row r="48" ht="18" customHeight="1" spans="1:37">
      <c r="A48" s="1315" t="s">
        <v>1186</v>
      </c>
      <c r="B48" s="1301" t="s">
        <v>1578</v>
      </c>
      <c r="C48" s="1287">
        <f ca="1">ROUND((C35+C42)*F48,0)</f>
        <v>308</v>
      </c>
      <c r="D48" s="2703" t="s">
        <v>1579</v>
      </c>
      <c r="E48" s="1301" t="s">
        <v>1580</v>
      </c>
      <c r="F48" s="2913">
        <f ca="1">INDIRECT("'数据-取费表'!q"&amp;$G$1)</f>
        <v>0.1</v>
      </c>
      <c r="G48" s="883"/>
      <c r="H48" s="713"/>
      <c r="I48" s="713"/>
      <c r="J48" s="713"/>
      <c r="K48" s="1337"/>
      <c r="L48" s="713"/>
      <c r="M48" s="713"/>
    </row>
    <row r="49" ht="18" customHeight="1" spans="1:18">
      <c r="A49" s="1315" t="s">
        <v>1190</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3601</v>
      </c>
      <c r="D51" s="3021" t="s">
        <v>1266</v>
      </c>
      <c r="E51" s="2964"/>
      <c r="F51" s="2913"/>
      <c r="K51" s="2748"/>
    </row>
    <row r="52" s="883" customFormat="1" ht="18" customHeight="1" spans="1:18">
      <c r="A52" s="3022" t="s">
        <v>1588</v>
      </c>
      <c r="B52" s="3013" t="s">
        <v>1550</v>
      </c>
      <c r="C52" s="2905">
        <f ca="1">ROUND(C51*(1-F52),0)</f>
        <v>540</v>
      </c>
      <c r="D52" s="2964" t="s">
        <v>1589</v>
      </c>
      <c r="E52" s="2964" t="s">
        <v>1590</v>
      </c>
      <c r="F52" s="2913">
        <f ca="1">INDIRECT("'数据-取费表'!y"&amp;$G$1)</f>
        <v>0.85</v>
      </c>
      <c r="K52" s="2748"/>
    </row>
    <row r="53" s="883" customFormat="1" ht="18" customHeight="1" spans="1:18">
      <c r="A53" s="3023" t="s">
        <v>1591</v>
      </c>
      <c r="B53" s="3024" t="s">
        <v>1592</v>
      </c>
      <c r="C53" s="3008">
        <f ca="1">C51-C52</f>
        <v>3061</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-5548</v>
      </c>
      <c r="D55" s="2755" t="str">
        <f>C2</f>
        <v>万元</v>
      </c>
      <c r="E55" s="2746"/>
      <c r="F55" s="2746"/>
      <c r="I55" s="2756" t="s">
        <v>1596</v>
      </c>
      <c r="J55" s="2757"/>
      <c r="K55" s="2758"/>
      <c r="L55" s="3030">
        <f ca="1">IF(M56="住宅",0,IF(L57&gt;J60,L69,J69))</f>
        <v>110</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5347</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110</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3601</v>
      </c>
      <c r="R58" s="2774" t="s">
        <v>1618</v>
      </c>
    </row>
    <row r="59" s="883" customFormat="1" ht="13.5" spans="1:18">
      <c r="A59" s="3057" t="s">
        <v>1186</v>
      </c>
      <c r="B59" s="3279" t="s">
        <v>1476</v>
      </c>
      <c r="C59" s="3257">
        <f ca="1">ROUND(F58*F60*F59/10000,2)</f>
        <v>0</v>
      </c>
      <c r="D59" s="2906" t="s">
        <v>1477</v>
      </c>
      <c r="E59" s="2797" t="s">
        <v>1478</v>
      </c>
      <c r="F59" s="3058">
        <f ca="1">F7</f>
        <v>5491.16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4182</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5948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13</v>
      </c>
      <c r="D65" s="2827" t="s">
        <v>1640</v>
      </c>
      <c r="E65" s="2839"/>
      <c r="F65" s="2778"/>
      <c r="I65" s="2829" t="s">
        <v>1641</v>
      </c>
      <c r="J65" s="3290" t="s">
        <v>1642</v>
      </c>
      <c r="K65" s="2780" t="s">
        <v>1643</v>
      </c>
      <c r="L65" s="3047" t="str">
        <f ca="1">IF(L57&lt;J60,"——",L57-J62)</f>
        <v>——</v>
      </c>
      <c r="O65" s="3040" t="s">
        <v>1602</v>
      </c>
      <c r="P65" s="3048" t="s">
        <v>1603</v>
      </c>
      <c r="Q65" s="3088">
        <f ca="1">C28+J31</f>
        <v>5347</v>
      </c>
      <c r="R65" s="3043" t="s">
        <v>1604</v>
      </c>
    </row>
    <row r="66" s="883" customFormat="1" ht="24.75" spans="1:18">
      <c r="A66" s="1282" t="s">
        <v>1157</v>
      </c>
      <c r="B66" s="1306" t="s">
        <v>1492</v>
      </c>
      <c r="C66" s="3255">
        <f ca="1">ROUND(IF(AND(项目基本情况!B11="自然人",项目基本情况!B10="北京市",M56="住宅"),C58*F66,C67+C71+C72),2)</f>
        <v>2.81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1440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0.83</v>
      </c>
      <c r="D69" s="2938" t="s">
        <v>1501</v>
      </c>
      <c r="E69" s="2941"/>
      <c r="F69" s="2937">
        <f t="shared" si="0"/>
        <v>0.06</v>
      </c>
      <c r="I69" s="2843" t="s">
        <v>1653</v>
      </c>
      <c r="J69" s="3081">
        <f ca="1">IF(OR(M56="住宅",J60&lt;L57,J65="是"),"0",ROUND(J68/(1+J61)^J62,0))</f>
        <v>110</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5828</v>
      </c>
      <c r="R71" s="3043" t="s">
        <v>1636</v>
      </c>
    </row>
    <row r="72" s="883" customFormat="1" ht="13.5" spans="1:18">
      <c r="A72" s="2903" t="s">
        <v>1193</v>
      </c>
      <c r="B72" s="3292" t="s">
        <v>1510</v>
      </c>
      <c r="C72" s="3257">
        <f ca="1">IF(项目基本情况!B11="自然人","——",ROUND(F72*F73/10000,2))</f>
        <v>2.91</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2425.2</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7.2</v>
      </c>
      <c r="D74" s="3087" t="s">
        <v>1515</v>
      </c>
      <c r="E74" s="3294" t="s">
        <v>1670</v>
      </c>
      <c r="F74" s="3063">
        <f ca="1">C51</f>
        <v>3601</v>
      </c>
      <c r="I74" s="2848" t="s">
        <v>1671</v>
      </c>
      <c r="J74" s="3085">
        <v>40</v>
      </c>
      <c r="K74" s="3085">
        <v>30</v>
      </c>
      <c r="L74" s="3085">
        <v>50</v>
      </c>
      <c r="M74" s="2852">
        <v>0.02</v>
      </c>
      <c r="O74" s="3040" t="s">
        <v>1602</v>
      </c>
      <c r="P74" s="3048" t="s">
        <v>1603</v>
      </c>
      <c r="Q74" s="3088">
        <f ca="1">C28+J31</f>
        <v>5347</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3.06</v>
      </c>
      <c r="D76" s="3087" t="s">
        <v>1518</v>
      </c>
      <c r="E76" s="3294" t="s">
        <v>1592</v>
      </c>
      <c r="F76" s="3092">
        <f ca="1">C53</f>
        <v>3061</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4182</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-13</v>
      </c>
      <c r="D79" s="2853" t="s">
        <v>1525</v>
      </c>
      <c r="E79" s="3094"/>
      <c r="F79" s="3095"/>
      <c r="O79" s="2793" t="s">
        <v>1621</v>
      </c>
      <c r="P79" s="2859" t="s">
        <v>1673</v>
      </c>
      <c r="Q79" s="3093">
        <f ca="1">ROUND(Q80-Q81*Q82,0)</f>
        <v>230</v>
      </c>
      <c r="R79" s="2774" t="s">
        <v>1674</v>
      </c>
    </row>
    <row r="80" s="883" customFormat="1" ht="13.5" spans="1:18">
      <c r="A80" s="3096" t="s">
        <v>1526</v>
      </c>
      <c r="B80" s="2858" t="s">
        <v>1527</v>
      </c>
      <c r="C80" s="2915">
        <f ca="1">ROUND(C79*(1-((1+F82)/(1+F80))^F81)/(F80-F82),0)</f>
        <v>-201</v>
      </c>
      <c r="D80" s="3097" t="s">
        <v>1528</v>
      </c>
      <c r="E80" s="2827" t="s">
        <v>1529</v>
      </c>
      <c r="F80" s="2913">
        <f ca="1" t="shared" si="1"/>
        <v>0.055</v>
      </c>
      <c r="O80" s="2793" t="s">
        <v>1675</v>
      </c>
      <c r="P80" s="2859" t="s">
        <v>1676</v>
      </c>
      <c r="Q80" s="3093">
        <f ca="1">C27</f>
        <v>268</v>
      </c>
      <c r="R80" s="2774" t="s">
        <v>1618</v>
      </c>
    </row>
    <row r="81" s="883" customFormat="1" ht="13.5" spans="1:18">
      <c r="A81" s="3098"/>
      <c r="B81" s="2861"/>
      <c r="C81" s="2892"/>
      <c r="D81" s="3099" t="s">
        <v>1531</v>
      </c>
      <c r="E81" s="2827" t="s">
        <v>1532</v>
      </c>
      <c r="F81" s="2969">
        <f ca="1" t="shared" si="1"/>
        <v>35.52</v>
      </c>
      <c r="O81" s="2793" t="s">
        <v>1677</v>
      </c>
      <c r="P81" s="2859" t="s">
        <v>1678</v>
      </c>
      <c r="Q81" s="3093">
        <f ca="1">C52</f>
        <v>540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-219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-399</v>
      </c>
      <c r="D84" s="3106" t="s">
        <v>1541</v>
      </c>
      <c r="E84" s="2866" t="s">
        <v>1542</v>
      </c>
      <c r="F84" s="2982">
        <f ca="1">F32</f>
        <v>5491.16</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5828</v>
      </c>
      <c r="R86" s="3043" t="s">
        <v>1636</v>
      </c>
    </row>
    <row r="87" spans="1:18">
      <c r="A87" s="883"/>
      <c r="B87" s="2870" t="s">
        <v>1684</v>
      </c>
      <c r="C87" s="1807">
        <f ca="1">ROUND(C53*C88,0)</f>
        <v>214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0.201</v>
      </c>
    </row>
    <row r="92" spans="1:18">
      <c r="B92" s="2870" t="s">
        <v>1689</v>
      </c>
      <c r="C92" s="3108">
        <f ca="1">ROUND(C87/C27,3)</f>
        <v>0.799</v>
      </c>
    </row>
    <row r="93" spans="1:18">
      <c r="B93" s="493" t="s">
        <v>1690</v>
      </c>
      <c r="C93" s="460"/>
    </row>
    <row r="94" spans="1:18">
      <c r="B94" s="495" t="s">
        <v>1691</v>
      </c>
      <c r="C94" s="3109">
        <f ca="1">1-C95</f>
        <v>0.439</v>
      </c>
    </row>
    <row r="95" spans="1:18">
      <c r="B95" s="495" t="s">
        <v>1692</v>
      </c>
      <c r="C95" s="3108">
        <f ca="1">ROUND(C53/(C28+J31+L55),3)</f>
        <v>0.561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167</v>
      </c>
      <c r="C2" s="2617" t="s">
        <v>1462</v>
      </c>
      <c r="D2" s="2882" t="s">
        <v>1266</v>
      </c>
      <c r="E2" s="2619"/>
      <c r="F2" s="2620"/>
      <c r="G2" s="2621"/>
      <c r="H2" s="2622"/>
      <c r="I2" s="2622"/>
      <c r="J2" s="2622"/>
      <c r="K2" s="2623"/>
      <c r="L2" s="2622"/>
      <c r="M2" s="2622"/>
    </row>
    <row r="3" ht="18" customHeight="1" spans="1:37">
      <c r="A3" s="2624" t="s">
        <v>1463</v>
      </c>
      <c r="B3" s="3008">
        <f ca="1">IF(ISERROR(B2*10000/F32),0,ROUND(B2*10000/F32,0))</f>
        <v>4572</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10</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10.2</v>
      </c>
      <c r="D6" s="1279" t="s">
        <v>1474</v>
      </c>
      <c r="E6" s="2900" t="s">
        <v>1475</v>
      </c>
      <c r="F6" s="2947">
        <f ca="1">INDIRECT("'数据-取费表'!u"&amp;$G$1)</f>
        <v>0.9</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12</v>
      </c>
      <c r="D7" s="2906" t="s">
        <v>1477</v>
      </c>
      <c r="E7" s="2650" t="s">
        <v>1478</v>
      </c>
      <c r="F7" s="2907">
        <f ca="1">IF(INDIRECT("'数据-取费表'!ah"&amp;$G$1)="",INDIRECT("'数据-取费表'!k"&amp;$G$1),INDIRECT("'数据-取费表'!ah"&amp;$G$1))</f>
        <v>365.25</v>
      </c>
      <c r="G7" s="883"/>
      <c r="H7" s="2903" t="s">
        <v>1186</v>
      </c>
      <c r="I7" s="2904" t="s">
        <v>1476</v>
      </c>
      <c r="J7" s="3256">
        <f ca="1">ROUND(M6*M8*M7/10000,2)</f>
        <v>0</v>
      </c>
      <c r="K7" s="2906" t="s">
        <v>1477</v>
      </c>
      <c r="L7" s="1301" t="s">
        <v>1478</v>
      </c>
      <c r="M7" s="2907">
        <f ca="1">F7</f>
        <v>365.25</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1.8</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0.01</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2</v>
      </c>
      <c r="D13" s="3259" t="s">
        <v>1490</v>
      </c>
      <c r="E13" s="2926"/>
      <c r="F13" s="2895"/>
      <c r="G13" s="2878"/>
      <c r="H13" s="2675" t="s">
        <v>1488</v>
      </c>
      <c r="I13" s="2676" t="s">
        <v>1489</v>
      </c>
      <c r="J13" s="2924">
        <f ca="1">ROUND(J14+J22+J24+J26,0)</f>
        <v>3</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1.51</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2.11</v>
      </c>
      <c r="K14" s="2931" t="s">
        <v>1494</v>
      </c>
      <c r="L14" s="2685" t="str">
        <f>E14</f>
        <v/>
      </c>
      <c r="M14" s="2930" t="str">
        <f ca="1">IF(M56="非住宅","",IF(M6*M7*M8/12/(1+'数据-取费表'!F30)&gt;100000,4%,2.5%))</f>
        <v/>
      </c>
    </row>
    <row r="15" s="2604" customFormat="1" ht="18" customHeight="1" spans="1:37">
      <c r="A15" s="1315" t="s">
        <v>1186</v>
      </c>
      <c r="B15" s="2900" t="s">
        <v>1495</v>
      </c>
      <c r="C15" s="3255">
        <f ca="1">C18</f>
        <v>0.1</v>
      </c>
      <c r="D15" s="1104" t="s">
        <v>1496</v>
      </c>
      <c r="E15" s="2932"/>
      <c r="F15" s="2933"/>
      <c r="G15" s="2691"/>
      <c r="H15" s="1315" t="s">
        <v>1186</v>
      </c>
      <c r="I15" s="2900" t="s">
        <v>1495</v>
      </c>
      <c r="J15" s="3255">
        <f ca="1">J18</f>
        <v>0</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0.92</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0.06</v>
      </c>
      <c r="D17" s="2938" t="s">
        <v>1501</v>
      </c>
      <c r="E17" s="2941"/>
      <c r="F17" s="2937">
        <v>0.06</v>
      </c>
      <c r="G17" s="2691"/>
      <c r="H17" s="662" t="s">
        <v>1500</v>
      </c>
      <c r="I17" s="2935" t="s">
        <v>1126</v>
      </c>
      <c r="J17" s="3262">
        <f ca="1">ROUND(J22*M16+((J24+J26)*M17),2)</f>
        <v>0.04</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0.1</v>
      </c>
      <c r="D18" s="2931" t="s">
        <v>1504</v>
      </c>
      <c r="E18" s="1301" t="s">
        <v>1505</v>
      </c>
      <c r="F18" s="2937">
        <f>'数据-取费表'!B44</f>
        <v>0.12</v>
      </c>
      <c r="G18" s="2691"/>
      <c r="H18" s="662" t="s">
        <v>1502</v>
      </c>
      <c r="I18" s="2935" t="s">
        <v>1506</v>
      </c>
      <c r="J18" s="3262">
        <f ca="1">ROUND((J16-J17)*M18,2)</f>
        <v>0</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1.22</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1.92</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0.19</v>
      </c>
      <c r="D20" s="2705" t="s">
        <v>1511</v>
      </c>
      <c r="E20" s="1301" t="s">
        <v>1512</v>
      </c>
      <c r="F20" s="3017">
        <f>'数据-取费表'!B53</f>
        <v>12</v>
      </c>
      <c r="G20" s="883"/>
      <c r="H20" s="2903" t="s">
        <v>1193</v>
      </c>
      <c r="I20" s="2645" t="s">
        <v>1510</v>
      </c>
      <c r="J20" s="3257">
        <f ca="1">ROUND(M20*M21/10000,2)</f>
        <v>0.19</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161.31</v>
      </c>
      <c r="G21" s="2691"/>
      <c r="H21" s="2707"/>
      <c r="I21" s="2708"/>
      <c r="J21" s="3263"/>
      <c r="K21" s="2710"/>
      <c r="L21" s="1301" t="s">
        <v>1513</v>
      </c>
      <c r="M21" s="2907">
        <f ca="1">INDIRECT("'数据-取费表'!r"&amp;$G$1)</f>
        <v>161.31</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0.46</v>
      </c>
      <c r="D22" s="2951" t="s">
        <v>1515</v>
      </c>
      <c r="E22" s="1301" t="s">
        <v>1509</v>
      </c>
      <c r="F22" s="2913">
        <f ca="1">INDIRECT("'数据-取费表'!Ak"&amp;$G$1)</f>
        <v>0.002</v>
      </c>
      <c r="G22" s="2691"/>
      <c r="H22" s="2949" t="s">
        <v>1162</v>
      </c>
      <c r="I22" s="2642" t="s">
        <v>1514</v>
      </c>
      <c r="J22" s="3264">
        <f ca="1">ROUND(J35*M22,2)</f>
        <v>0.46</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228</v>
      </c>
      <c r="G23" s="2691"/>
      <c r="H23" s="2707"/>
      <c r="I23" s="2708"/>
      <c r="J23" s="3265"/>
      <c r="K23" s="2954"/>
      <c r="L23" s="2900" t="s">
        <v>1516</v>
      </c>
      <c r="M23" s="2911">
        <f ca="1">J35</f>
        <v>228</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0.19</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194</v>
      </c>
      <c r="G25" s="883"/>
      <c r="H25" s="2707"/>
      <c r="I25" s="2708"/>
      <c r="J25" s="3265"/>
      <c r="K25" s="2954"/>
      <c r="L25" s="2944" t="s">
        <v>1520</v>
      </c>
      <c r="M25" s="2911">
        <f ca="1">J37</f>
        <v>0</v>
      </c>
    </row>
    <row r="26" s="2604" customFormat="1" ht="18" customHeight="1" spans="1:37">
      <c r="A26" s="2692" t="s">
        <v>1218</v>
      </c>
      <c r="B26" s="2671" t="s">
        <v>1521</v>
      </c>
      <c r="C26" s="3266">
        <f ca="1">ROUND(C5*F26,2)</f>
        <v>0.05</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8</v>
      </c>
      <c r="D27" s="3267" t="s">
        <v>1525</v>
      </c>
      <c r="E27" s="2957"/>
      <c r="F27" s="2958"/>
      <c r="G27" s="2959"/>
      <c r="H27" s="2675" t="s">
        <v>1523</v>
      </c>
      <c r="I27" s="2716" t="s">
        <v>1524</v>
      </c>
      <c r="J27" s="2924">
        <f ca="1">J5-J13</f>
        <v>-3</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160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174</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365.25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4764</v>
      </c>
      <c r="D32" s="2981" t="s">
        <v>1541</v>
      </c>
      <c r="E32" s="2725" t="s">
        <v>1542</v>
      </c>
      <c r="F32" s="2982">
        <f ca="1">INDIRECT("'数据-取费表'!k"&amp;$G$1)</f>
        <v>365.25</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199</v>
      </c>
      <c r="D35" s="3269" t="s">
        <v>1546</v>
      </c>
      <c r="E35" s="633"/>
      <c r="F35" s="634"/>
      <c r="G35" s="883"/>
      <c r="H35" s="3272" t="s">
        <v>1544</v>
      </c>
      <c r="I35" s="3273" t="s">
        <v>1547</v>
      </c>
      <c r="J35" s="1287">
        <f ca="1">C51</f>
        <v>228</v>
      </c>
      <c r="K35" s="3021" t="s">
        <v>1266</v>
      </c>
      <c r="L35" s="1280"/>
      <c r="M35" s="1281"/>
    </row>
    <row r="36" ht="18" customHeight="1" spans="1:37">
      <c r="A36" s="1315" t="s">
        <v>1186</v>
      </c>
      <c r="B36" s="2318" t="s">
        <v>1548</v>
      </c>
      <c r="C36" s="1103">
        <f ca="1">INDIRECT("'数据-取费表'!m"&amp;$G$1)+INDIRECT("'数据-取费表'!t"&amp;$G$1)</f>
        <v>175</v>
      </c>
      <c r="D36" s="2321" t="s">
        <v>1549</v>
      </c>
      <c r="E36" s="2321"/>
      <c r="F36" s="2722"/>
      <c r="G36" s="883"/>
      <c r="H36" s="3004" t="s">
        <v>1162</v>
      </c>
      <c r="I36" s="3005" t="s">
        <v>1550</v>
      </c>
      <c r="J36" s="803">
        <f ca="1">ROUND(J35*(1-M36),0)</f>
        <v>228</v>
      </c>
      <c r="K36" s="1301" t="s">
        <v>1551</v>
      </c>
      <c r="L36" s="1279" t="s">
        <v>1552</v>
      </c>
      <c r="M36" s="2913">
        <f ca="1">INDIRECT("'数据-取费表'!ad"&amp;$G$1)</f>
        <v>0</v>
      </c>
    </row>
    <row r="37" ht="18" customHeight="1" spans="1:37">
      <c r="A37" s="1315" t="s">
        <v>1190</v>
      </c>
      <c r="B37" s="2935" t="s">
        <v>760</v>
      </c>
      <c r="C37" s="1287">
        <f ca="1">ROUND(C36*F37,0)</f>
        <v>11</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11</v>
      </c>
      <c r="D39" s="1301" t="s">
        <v>1560</v>
      </c>
      <c r="E39" s="1301" t="s">
        <v>1561</v>
      </c>
      <c r="F39" s="3017">
        <f>'数据-取费表'!B35</f>
        <v>300</v>
      </c>
      <c r="G39" s="883"/>
    </row>
    <row r="40" ht="18" customHeight="1" spans="1:37">
      <c r="A40" s="1315" t="s">
        <v>1562</v>
      </c>
      <c r="B40" s="2935" t="s">
        <v>766</v>
      </c>
      <c r="C40" s="1287">
        <f ca="1">ROUND(C36*F40,0)</f>
        <v>2</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6</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10+0.0015V建</v>
      </c>
      <c r="D47" s="1295" t="s">
        <v>1577</v>
      </c>
      <c r="E47" s="2314"/>
      <c r="F47" s="3017"/>
      <c r="G47" s="883"/>
      <c r="H47" s="713"/>
      <c r="I47" s="713"/>
      <c r="J47" s="713"/>
      <c r="K47" s="1337"/>
      <c r="L47" s="713"/>
      <c r="M47" s="713"/>
    </row>
    <row r="48" ht="18" customHeight="1" spans="1:37">
      <c r="A48" s="1315" t="s">
        <v>1186</v>
      </c>
      <c r="B48" s="1301" t="s">
        <v>1578</v>
      </c>
      <c r="C48" s="1287">
        <f ca="1">ROUND((C35+C42)*F48,0)</f>
        <v>10</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228</v>
      </c>
      <c r="D51" s="3021" t="s">
        <v>1266</v>
      </c>
      <c r="E51" s="2964"/>
      <c r="F51" s="2913"/>
      <c r="K51" s="2748"/>
    </row>
    <row r="52" s="883" customFormat="1" ht="18" customHeight="1" spans="1:18">
      <c r="A52" s="3022" t="s">
        <v>1588</v>
      </c>
      <c r="B52" s="3013" t="s">
        <v>1550</v>
      </c>
      <c r="C52" s="2905">
        <f ca="1">ROUND(C51*(1-F52),0)</f>
        <v>34</v>
      </c>
      <c r="D52" s="2964" t="s">
        <v>1589</v>
      </c>
      <c r="E52" s="2964" t="s">
        <v>1590</v>
      </c>
      <c r="F52" s="2913">
        <f ca="1">INDIRECT("'数据-取费表'!y"&amp;$G$1)</f>
        <v>0.85</v>
      </c>
      <c r="K52" s="2748"/>
    </row>
    <row r="53" s="883" customFormat="1" ht="18" customHeight="1" spans="1:18">
      <c r="A53" s="3023" t="s">
        <v>1591</v>
      </c>
      <c r="B53" s="3024" t="s">
        <v>1592</v>
      </c>
      <c r="C53" s="3008">
        <f ca="1">C51-C52</f>
        <v>194</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-176</v>
      </c>
      <c r="D55" s="2755" t="str">
        <f>C2</f>
        <v>万元</v>
      </c>
      <c r="E55" s="2746"/>
      <c r="F55" s="2746"/>
      <c r="I55" s="2756" t="s">
        <v>1596</v>
      </c>
      <c r="J55" s="2757"/>
      <c r="K55" s="2758"/>
      <c r="L55" s="3030">
        <f ca="1">IF(M56="住宅",0,IF(L57&gt;J60,L69,J69))</f>
        <v>7</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160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7</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228</v>
      </c>
      <c r="R58" s="2774" t="s">
        <v>1618</v>
      </c>
    </row>
    <row r="59" s="883" customFormat="1" ht="13.5" spans="1:18">
      <c r="A59" s="3057" t="s">
        <v>1186</v>
      </c>
      <c r="B59" s="3279" t="s">
        <v>1476</v>
      </c>
      <c r="C59" s="3257">
        <f ca="1">ROUND(F58*F60*F59/10000,2)</f>
        <v>0</v>
      </c>
      <c r="D59" s="2906" t="s">
        <v>1477</v>
      </c>
      <c r="E59" s="2797" t="s">
        <v>1478</v>
      </c>
      <c r="F59" s="3058">
        <f ca="1">F7</f>
        <v>365.25</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110</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182</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v>
      </c>
      <c r="D65" s="2827" t="s">
        <v>1640</v>
      </c>
      <c r="E65" s="2839"/>
      <c r="F65" s="2778"/>
      <c r="I65" s="2829" t="s">
        <v>1641</v>
      </c>
      <c r="J65" s="3290" t="s">
        <v>1642</v>
      </c>
      <c r="K65" s="2780" t="s">
        <v>1643</v>
      </c>
      <c r="L65" s="3047" t="str">
        <f ca="1">IF(L57&lt;J60,"——",L57-J62)</f>
        <v>——</v>
      </c>
      <c r="O65" s="3040" t="s">
        <v>1602</v>
      </c>
      <c r="P65" s="3048" t="s">
        <v>1603</v>
      </c>
      <c r="Q65" s="3088">
        <f ca="1">C28+J31</f>
        <v>160</v>
      </c>
      <c r="R65" s="3043" t="s">
        <v>1604</v>
      </c>
    </row>
    <row r="66" s="883" customFormat="1" ht="24.75" spans="1:18">
      <c r="A66" s="1282" t="s">
        <v>1157</v>
      </c>
      <c r="B66" s="1306" t="s">
        <v>1492</v>
      </c>
      <c r="C66" s="3255">
        <f ca="1">ROUND(IF(AND(项目基本情况!B11="自然人",项目基本情况!B10="北京市",M56="住宅"),C58*F66,C67+C71+C72),2)</f>
        <v>0.18</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91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0.05</v>
      </c>
      <c r="D69" s="2938" t="s">
        <v>1501</v>
      </c>
      <c r="E69" s="2941"/>
      <c r="F69" s="2937">
        <f t="shared" si="0"/>
        <v>0.06</v>
      </c>
      <c r="I69" s="2843" t="s">
        <v>1653</v>
      </c>
      <c r="J69" s="3081">
        <f ca="1">IF(OR(M56="住宅",J60&lt;L57,J65="是"),"0",ROUND(J68/(1+J61)^J62,0))</f>
        <v>7</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174</v>
      </c>
      <c r="R71" s="3043" t="s">
        <v>1636</v>
      </c>
    </row>
    <row r="72" s="883" customFormat="1" ht="13.5" spans="1:18">
      <c r="A72" s="2903" t="s">
        <v>1193</v>
      </c>
      <c r="B72" s="3292" t="s">
        <v>1510</v>
      </c>
      <c r="C72" s="3257">
        <f ca="1">IF(项目基本情况!B11="自然人","——",ROUND(F72*F73/10000,2))</f>
        <v>0.19</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161.31</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0.46</v>
      </c>
      <c r="D74" s="3087" t="s">
        <v>1515</v>
      </c>
      <c r="E74" s="3294" t="s">
        <v>1670</v>
      </c>
      <c r="F74" s="3063">
        <f ca="1">C51</f>
        <v>228</v>
      </c>
      <c r="I74" s="2848" t="s">
        <v>1671</v>
      </c>
      <c r="J74" s="3085">
        <v>40</v>
      </c>
      <c r="K74" s="3085">
        <v>30</v>
      </c>
      <c r="L74" s="3085">
        <v>50</v>
      </c>
      <c r="M74" s="2852">
        <v>0.02</v>
      </c>
      <c r="O74" s="3040" t="s">
        <v>1602</v>
      </c>
      <c r="P74" s="3048" t="s">
        <v>1603</v>
      </c>
      <c r="Q74" s="3088">
        <f ca="1">C28+J31</f>
        <v>160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0.19</v>
      </c>
      <c r="D76" s="3087" t="s">
        <v>1518</v>
      </c>
      <c r="E76" s="3294" t="s">
        <v>1592</v>
      </c>
      <c r="F76" s="3092">
        <f ca="1">C53</f>
        <v>194</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110</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v>
      </c>
      <c r="D79" s="2853" t="s">
        <v>1525</v>
      </c>
      <c r="E79" s="3094"/>
      <c r="F79" s="3095"/>
      <c r="O79" s="2793" t="s">
        <v>1621</v>
      </c>
      <c r="P79" s="2859" t="s">
        <v>1673</v>
      </c>
      <c r="Q79" s="3093">
        <f ca="1">ROUND(Q80-Q81*Q82,0)</f>
        <v>6</v>
      </c>
      <c r="R79" s="2774" t="s">
        <v>1674</v>
      </c>
    </row>
    <row r="80" s="883" customFormat="1" ht="13.5" spans="1:18">
      <c r="A80" s="3096" t="s">
        <v>1526</v>
      </c>
      <c r="B80" s="2858" t="s">
        <v>1527</v>
      </c>
      <c r="C80" s="2915">
        <f ca="1">ROUND(C79*(1-((1+F82)/(1+F80))^F81)/(F80-F82),0)</f>
        <v>-16</v>
      </c>
      <c r="D80" s="3097" t="s">
        <v>1528</v>
      </c>
      <c r="E80" s="2827" t="s">
        <v>1529</v>
      </c>
      <c r="F80" s="2913">
        <f ca="1" t="shared" si="1"/>
        <v>0.05</v>
      </c>
      <c r="O80" s="2793" t="s">
        <v>1675</v>
      </c>
      <c r="P80" s="2859" t="s">
        <v>1676</v>
      </c>
      <c r="Q80" s="3093">
        <f ca="1">C27</f>
        <v>8</v>
      </c>
      <c r="R80" s="2774" t="s">
        <v>1618</v>
      </c>
    </row>
    <row r="81" s="883" customFormat="1" ht="13.5" spans="1:18">
      <c r="A81" s="3098"/>
      <c r="B81" s="2861"/>
      <c r="C81" s="2892"/>
      <c r="D81" s="3099" t="s">
        <v>1531</v>
      </c>
      <c r="E81" s="2827" t="s">
        <v>1532</v>
      </c>
      <c r="F81" s="2969">
        <f ca="1" t="shared" si="1"/>
        <v>35.52</v>
      </c>
      <c r="O81" s="2793" t="s">
        <v>1677</v>
      </c>
      <c r="P81" s="2859" t="s">
        <v>1678</v>
      </c>
      <c r="Q81" s="3093">
        <f ca="1">C52</f>
        <v>34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-17</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-465</v>
      </c>
      <c r="D84" s="3106" t="s">
        <v>1541</v>
      </c>
      <c r="E84" s="2866" t="s">
        <v>1542</v>
      </c>
      <c r="F84" s="2982">
        <f ca="1">F32</f>
        <v>365.25</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174</v>
      </c>
      <c r="R86" s="3043" t="s">
        <v>1636</v>
      </c>
    </row>
    <row r="87" spans="1:18">
      <c r="A87" s="883"/>
      <c r="B87" s="2870" t="s">
        <v>1684</v>
      </c>
      <c r="C87" s="1807">
        <f ca="1">ROUND(C53*C88,0)</f>
        <v>14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-0.75</v>
      </c>
    </row>
    <row r="92" spans="1:18">
      <c r="B92" s="2870" t="s">
        <v>1689</v>
      </c>
      <c r="C92" s="3108">
        <f ca="1">ROUND(C87/C27,3)</f>
        <v>1.75</v>
      </c>
    </row>
    <row r="93" spans="1:18">
      <c r="B93" s="493" t="s">
        <v>1690</v>
      </c>
      <c r="C93" s="460"/>
    </row>
    <row r="94" spans="1:18">
      <c r="B94" s="495" t="s">
        <v>1691</v>
      </c>
      <c r="C94" s="3109">
        <f ca="1">1-C95</f>
        <v>-0.162</v>
      </c>
    </row>
    <row r="95" spans="1:18">
      <c r="B95" s="495" t="s">
        <v>1692</v>
      </c>
      <c r="C95" s="3108">
        <f ca="1">ROUND(C53/(C28+J31+L55),3)</f>
        <v>1.162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1144</v>
      </c>
      <c r="C2" s="2617" t="s">
        <v>1462</v>
      </c>
      <c r="D2" s="2882" t="s">
        <v>1266</v>
      </c>
      <c r="E2" s="2619"/>
      <c r="F2" s="2620"/>
      <c r="G2" s="2621"/>
      <c r="H2" s="2622"/>
      <c r="I2" s="2622"/>
      <c r="J2" s="2622"/>
      <c r="K2" s="2623"/>
      <c r="L2" s="2622"/>
      <c r="M2" s="2622"/>
    </row>
    <row r="3" ht="18" customHeight="1" spans="1:37">
      <c r="A3" s="2624" t="s">
        <v>1463</v>
      </c>
      <c r="B3" s="3008">
        <f ca="1">IF(ISERROR(B2*10000/F32),0,ROUND(B2*10000/F32,0))</f>
        <v>3420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71</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71.48</v>
      </c>
      <c r="D6" s="1279" t="s">
        <v>1474</v>
      </c>
      <c r="E6" s="2900" t="s">
        <v>1475</v>
      </c>
      <c r="F6" s="2947">
        <f ca="1">INDIRECT("'数据-取费表'!u"&amp;$G$1)</f>
        <v>730</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84.1</v>
      </c>
      <c r="D7" s="2906" t="s">
        <v>1477</v>
      </c>
      <c r="E7" s="2650" t="s">
        <v>1478</v>
      </c>
      <c r="F7" s="2907">
        <f ca="1">IF(INDIRECT("'数据-取费表'!ah"&amp;$G$1)="",INDIRECT("'数据-取费表'!k"&amp;$G$1),INDIRECT("'数据-取费表'!ah"&amp;$G$1))</f>
        <v>96</v>
      </c>
      <c r="G7" s="883"/>
      <c r="H7" s="2903" t="s">
        <v>1186</v>
      </c>
      <c r="I7" s="2904" t="s">
        <v>1476</v>
      </c>
      <c r="J7" s="3256">
        <f ca="1">ROUND(M6*M8*M7/10000,2)</f>
        <v>0</v>
      </c>
      <c r="K7" s="2906" t="s">
        <v>1477</v>
      </c>
      <c r="L7" s="1301" t="s">
        <v>1478</v>
      </c>
      <c r="M7" s="2907">
        <f ca="1">F7</f>
        <v>96</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1190</v>
      </c>
      <c r="B9" s="2910" t="s">
        <v>1479</v>
      </c>
      <c r="C9" s="3256">
        <f ca="1">ROUND(C7*F9,2)</f>
        <v>12.62</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v>
      </c>
      <c r="D10" s="2658" t="s">
        <v>1483</v>
      </c>
      <c r="E10" s="2655" t="s">
        <v>1484</v>
      </c>
      <c r="F10" s="3071" t="s">
        <v>1055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17</v>
      </c>
      <c r="D13" s="3259" t="s">
        <v>1490</v>
      </c>
      <c r="E13" s="2926"/>
      <c r="F13" s="2895"/>
      <c r="G13" s="2878"/>
      <c r="H13" s="2675" t="s">
        <v>1488</v>
      </c>
      <c r="I13" s="2676" t="s">
        <v>1489</v>
      </c>
      <c r="J13" s="2924">
        <f ca="1">ROUND(J14+J22+J24+J26,0)</f>
        <v>24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11.06</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19.31</v>
      </c>
      <c r="K14" s="2931" t="s">
        <v>1494</v>
      </c>
      <c r="L14" s="2685" t="str">
        <f>E14</f>
        <v/>
      </c>
      <c r="M14" s="2930" t="str">
        <f ca="1">IF(M56="非住宅","",IF(M6*M7*M8/12/(1+'数据-取费表'!F30)&gt;100000,4%,2.5%))</f>
        <v/>
      </c>
    </row>
    <row r="15" s="2604" customFormat="1" ht="18" customHeight="1" spans="1:37">
      <c r="A15" s="1315" t="s">
        <v>1186</v>
      </c>
      <c r="B15" s="2900" t="s">
        <v>1495</v>
      </c>
      <c r="C15" s="3255">
        <f ca="1">C18</f>
        <v>0.71</v>
      </c>
      <c r="D15" s="1104" t="s">
        <v>1496</v>
      </c>
      <c r="E15" s="2932"/>
      <c r="F15" s="2933"/>
      <c r="G15" s="2691"/>
      <c r="H15" s="1315" t="s">
        <v>1186</v>
      </c>
      <c r="I15" s="2900" t="s">
        <v>1495</v>
      </c>
      <c r="J15" s="3255">
        <f ca="1">J18</f>
        <v>-0.05</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6.43</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0.51</v>
      </c>
      <c r="D17" s="2938" t="s">
        <v>1501</v>
      </c>
      <c r="E17" s="2941"/>
      <c r="F17" s="2937">
        <v>0.06</v>
      </c>
      <c r="G17" s="2691"/>
      <c r="H17" s="662" t="s">
        <v>1500</v>
      </c>
      <c r="I17" s="2935" t="s">
        <v>1126</v>
      </c>
      <c r="J17" s="3262">
        <f ca="1">ROUND(J22*M16+((J24+J26)*M17),2)</f>
        <v>0.38</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0.71</v>
      </c>
      <c r="D18" s="2931" t="s">
        <v>1504</v>
      </c>
      <c r="E18" s="1301" t="s">
        <v>1505</v>
      </c>
      <c r="F18" s="2937">
        <f>'数据-取费表'!B44</f>
        <v>0.12</v>
      </c>
      <c r="G18" s="2691"/>
      <c r="H18" s="662" t="s">
        <v>1502</v>
      </c>
      <c r="I18" s="2935" t="s">
        <v>1506</v>
      </c>
      <c r="J18" s="3262">
        <f ca="1">ROUND((J16-J17)*M18,2)</f>
        <v>-0.05</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8.58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17.59</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1.77</v>
      </c>
      <c r="D20" s="2705" t="s">
        <v>1511</v>
      </c>
      <c r="E20" s="1301" t="s">
        <v>1512</v>
      </c>
      <c r="F20" s="3017">
        <f>'数据-取费表'!B53</f>
        <v>12</v>
      </c>
      <c r="G20" s="883"/>
      <c r="H20" s="2903" t="s">
        <v>1193</v>
      </c>
      <c r="I20" s="2645" t="s">
        <v>1510</v>
      </c>
      <c r="J20" s="3257">
        <f ca="1">ROUND(M20*M21/10000,2)</f>
        <v>1.77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1477.27</v>
      </c>
      <c r="G21" s="2691"/>
      <c r="H21" s="2707"/>
      <c r="I21" s="2708"/>
      <c r="J21" s="3263"/>
      <c r="K21" s="2710"/>
      <c r="L21" s="1301" t="s">
        <v>1513</v>
      </c>
      <c r="M21" s="2907">
        <f ca="1">INDIRECT("'数据-取费表'!r"&amp;$G$1)</f>
        <v>1477.27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4.19</v>
      </c>
      <c r="D22" s="2951" t="s">
        <v>1515</v>
      </c>
      <c r="E22" s="1301" t="s">
        <v>1509</v>
      </c>
      <c r="F22" s="2913">
        <f ca="1">INDIRECT("'数据-取费表'!Ak"&amp;$G$1)</f>
        <v>0.002</v>
      </c>
      <c r="G22" s="2691"/>
      <c r="H22" s="2949" t="s">
        <v>1162</v>
      </c>
      <c r="I22" s="2642" t="s">
        <v>1514</v>
      </c>
      <c r="J22" s="3264">
        <f ca="1">ROUND(J35*M22,2)</f>
        <v>4.19</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2094</v>
      </c>
      <c r="G23" s="2691"/>
      <c r="H23" s="2707"/>
      <c r="I23" s="2708"/>
      <c r="J23" s="3265"/>
      <c r="K23" s="2954"/>
      <c r="L23" s="2900" t="s">
        <v>1516</v>
      </c>
      <c r="M23" s="2911">
        <f ca="1">J35</f>
        <v>2094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1.78</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1780</v>
      </c>
      <c r="G25" s="883"/>
      <c r="H25" s="2707"/>
      <c r="I25" s="2708"/>
      <c r="J25" s="3265"/>
      <c r="K25" s="2954"/>
      <c r="L25" s="2944" t="s">
        <v>1520</v>
      </c>
      <c r="M25" s="2911">
        <f ca="1">J37</f>
        <v>0</v>
      </c>
    </row>
    <row r="26" s="2604" customFormat="1" ht="18" customHeight="1" spans="1:37">
      <c r="A26" s="2692" t="s">
        <v>1218</v>
      </c>
      <c r="B26" s="2671" t="s">
        <v>1521</v>
      </c>
      <c r="C26" s="3266">
        <f ca="1">ROUND(C5*F26,2)</f>
        <v>0.36</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54</v>
      </c>
      <c r="D27" s="3267" t="s">
        <v>1525</v>
      </c>
      <c r="E27" s="2957"/>
      <c r="F27" s="2958"/>
      <c r="G27" s="2959"/>
      <c r="H27" s="2675" t="s">
        <v>1523</v>
      </c>
      <c r="I27" s="2716" t="s">
        <v>1524</v>
      </c>
      <c r="J27" s="2924">
        <f ca="1">J5-J13</f>
        <v>-24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1080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1177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3344.85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3519</v>
      </c>
      <c r="D32" s="2981" t="s">
        <v>1541</v>
      </c>
      <c r="E32" s="2725" t="s">
        <v>1542</v>
      </c>
      <c r="F32" s="2982">
        <f ca="1">INDIRECT("'数据-取费表'!k"&amp;$G$1)</f>
        <v>3344.85</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0.23943661971831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1818</v>
      </c>
      <c r="D35" s="3269" t="s">
        <v>1546</v>
      </c>
      <c r="E35" s="633"/>
      <c r="F35" s="634"/>
      <c r="G35" s="883"/>
      <c r="H35" s="3272" t="s">
        <v>1544</v>
      </c>
      <c r="I35" s="3273" t="s">
        <v>1547</v>
      </c>
      <c r="J35" s="1287">
        <f ca="1">C51</f>
        <v>2094</v>
      </c>
      <c r="K35" s="3021" t="s">
        <v>1266</v>
      </c>
      <c r="L35" s="1280"/>
      <c r="M35" s="1281"/>
    </row>
    <row r="36" ht="18" customHeight="1" spans="1:37">
      <c r="A36" s="1315" t="s">
        <v>1186</v>
      </c>
      <c r="B36" s="2318" t="s">
        <v>1548</v>
      </c>
      <c r="C36" s="1103">
        <f ca="1">INDIRECT("'数据-取费表'!m"&amp;$G$1)+INDIRECT("'数据-取费表'!t"&amp;$G$1)</f>
        <v>1606</v>
      </c>
      <c r="D36" s="2321" t="s">
        <v>1549</v>
      </c>
      <c r="E36" s="2321"/>
      <c r="F36" s="2722"/>
      <c r="G36" s="883"/>
      <c r="H36" s="3004" t="s">
        <v>1162</v>
      </c>
      <c r="I36" s="3005" t="s">
        <v>1550</v>
      </c>
      <c r="J36" s="803">
        <f ca="1">ROUND(J35*(1-M36),0)</f>
        <v>2094</v>
      </c>
      <c r="K36" s="1301" t="s">
        <v>1551</v>
      </c>
      <c r="L36" s="1279" t="s">
        <v>1552</v>
      </c>
      <c r="M36" s="2913">
        <f ca="1">INDIRECT("'数据-取费表'!ad"&amp;$G$1)</f>
        <v>0</v>
      </c>
    </row>
    <row r="37" ht="18" customHeight="1" spans="1:37">
      <c r="A37" s="1315" t="s">
        <v>1190</v>
      </c>
      <c r="B37" s="2935" t="s">
        <v>760</v>
      </c>
      <c r="C37" s="1287">
        <f ca="1">ROUND(C36*F37,0)</f>
        <v>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100</v>
      </c>
      <c r="D39" s="1301" t="s">
        <v>1560</v>
      </c>
      <c r="E39" s="1301" t="s">
        <v>1561</v>
      </c>
      <c r="F39" s="3017">
        <f>'数据-取费表'!B35</f>
        <v>300</v>
      </c>
      <c r="G39" s="883"/>
    </row>
    <row r="40" ht="18" customHeight="1" spans="1:37">
      <c r="A40" s="1315" t="s">
        <v>1562</v>
      </c>
      <c r="B40" s="2935" t="s">
        <v>766</v>
      </c>
      <c r="C40" s="1287">
        <f ca="1">ROUND(C36*F40,0)</f>
        <v>16</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55</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59+0.0009V建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59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94+0.0015V建</v>
      </c>
      <c r="D47" s="1295" t="s">
        <v>1577</v>
      </c>
      <c r="E47" s="2314"/>
      <c r="F47" s="3017"/>
      <c r="G47" s="883"/>
      <c r="H47" s="713"/>
      <c r="I47" s="713"/>
      <c r="J47" s="713"/>
      <c r="K47" s="1337"/>
      <c r="L47" s="713"/>
      <c r="M47" s="713"/>
    </row>
    <row r="48" ht="18" customHeight="1" spans="1:37">
      <c r="A48" s="1315" t="s">
        <v>1186</v>
      </c>
      <c r="B48" s="1301" t="s">
        <v>1578</v>
      </c>
      <c r="C48" s="1287">
        <f ca="1">ROUND((C35+C42)*F48,0)</f>
        <v>94</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2094</v>
      </c>
      <c r="D51" s="3021" t="s">
        <v>1266</v>
      </c>
      <c r="E51" s="2964"/>
      <c r="F51" s="2913"/>
      <c r="K51" s="2748"/>
    </row>
    <row r="52" s="883" customFormat="1" ht="18" customHeight="1" spans="1:18">
      <c r="A52" s="3022" t="s">
        <v>1588</v>
      </c>
      <c r="B52" s="3013" t="s">
        <v>1550</v>
      </c>
      <c r="C52" s="2905">
        <f ca="1">ROUND(C51*(1-F52),0)</f>
        <v>314</v>
      </c>
      <c r="D52" s="2964" t="s">
        <v>1589</v>
      </c>
      <c r="E52" s="2964" t="s">
        <v>1590</v>
      </c>
      <c r="F52" s="2913">
        <f ca="1">INDIRECT("'数据-取费表'!y"&amp;$G$1)</f>
        <v>0.85</v>
      </c>
      <c r="K52" s="2748"/>
    </row>
    <row r="53" s="883" customFormat="1" ht="18" customHeight="1" spans="1:18">
      <c r="A53" s="3023" t="s">
        <v>1591</v>
      </c>
      <c r="B53" s="3024" t="s">
        <v>1592</v>
      </c>
      <c r="C53" s="3008">
        <f ca="1">C51-C52</f>
        <v>1780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-1212</v>
      </c>
      <c r="D55" s="2755" t="str">
        <f>C2</f>
        <v>万元</v>
      </c>
      <c r="E55" s="2746"/>
      <c r="F55" s="2746"/>
      <c r="I55" s="2756" t="s">
        <v>1596</v>
      </c>
      <c r="J55" s="2757"/>
      <c r="K55" s="2758"/>
      <c r="L55" s="3030">
        <f ca="1">IF(M56="住宅",0,IF(L57&gt;J60,L69,J69))</f>
        <v>64</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1080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64</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2094</v>
      </c>
      <c r="R58" s="2774" t="s">
        <v>1618</v>
      </c>
    </row>
    <row r="59" s="883" customFormat="1" ht="13.5" spans="1:18">
      <c r="A59" s="3057" t="s">
        <v>1186</v>
      </c>
      <c r="B59" s="3279" t="s">
        <v>1476</v>
      </c>
      <c r="C59" s="3257">
        <f ca="1">ROUND(F58*F60*F59/10000,2)</f>
        <v>0</v>
      </c>
      <c r="D59" s="2906" t="s">
        <v>1477</v>
      </c>
      <c r="E59" s="2797" t="s">
        <v>1478</v>
      </c>
      <c r="F59" s="3058">
        <f ca="1">F7</f>
        <v>96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629</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1247</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8</v>
      </c>
      <c r="D65" s="2827" t="s">
        <v>1640</v>
      </c>
      <c r="E65" s="2839"/>
      <c r="F65" s="2778"/>
      <c r="I65" s="2829" t="s">
        <v>1641</v>
      </c>
      <c r="J65" s="3290" t="s">
        <v>1642</v>
      </c>
      <c r="K65" s="2780" t="s">
        <v>1643</v>
      </c>
      <c r="L65" s="3047" t="str">
        <f ca="1">IF(L57&lt;J60,"——",L57-J62)</f>
        <v>——</v>
      </c>
      <c r="O65" s="3040" t="s">
        <v>1602</v>
      </c>
      <c r="P65" s="3048" t="s">
        <v>1603</v>
      </c>
      <c r="Q65" s="3088">
        <f ca="1">C28+J31</f>
        <v>1080</v>
      </c>
      <c r="R65" s="3043" t="s">
        <v>1604</v>
      </c>
    </row>
    <row r="66" s="883" customFormat="1" ht="24.75" spans="1:18">
      <c r="A66" s="1282" t="s">
        <v>1157</v>
      </c>
      <c r="B66" s="1306" t="s">
        <v>1492</v>
      </c>
      <c r="C66" s="3255">
        <f ca="1">ROUND(IF(AND(项目基本情况!B11="自然人",项目基本情况!B10="北京市",M56="住宅"),C58*F66,C67+C71+C72),2)</f>
        <v>1.71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-0.06</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838</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0.48</v>
      </c>
      <c r="D69" s="2938" t="s">
        <v>1501</v>
      </c>
      <c r="E69" s="2941"/>
      <c r="F69" s="2937">
        <f t="shared" si="0"/>
        <v>0.06</v>
      </c>
      <c r="I69" s="2843" t="s">
        <v>1653</v>
      </c>
      <c r="J69" s="3081">
        <f ca="1">IF(OR(M56="住宅",J60&lt;L57,J65="是"),"0",ROUND(J68/(1+J61)^J62,0))</f>
        <v>64</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-0.06</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1177</v>
      </c>
      <c r="R71" s="3043" t="s">
        <v>1636</v>
      </c>
    </row>
    <row r="72" s="883" customFormat="1" ht="13.5" spans="1:18">
      <c r="A72" s="2903" t="s">
        <v>1193</v>
      </c>
      <c r="B72" s="3292" t="s">
        <v>1510</v>
      </c>
      <c r="C72" s="3257">
        <f ca="1">IF(项目基本情况!B11="自然人","——",ROUND(F72*F73/10000,2))</f>
        <v>1.77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1477.27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4.19</v>
      </c>
      <c r="D74" s="3087" t="s">
        <v>1515</v>
      </c>
      <c r="E74" s="3294" t="s">
        <v>1670</v>
      </c>
      <c r="F74" s="3063">
        <f ca="1">C51</f>
        <v>2094</v>
      </c>
      <c r="I74" s="2848" t="s">
        <v>1671</v>
      </c>
      <c r="J74" s="3085">
        <v>40</v>
      </c>
      <c r="K74" s="3085">
        <v>30</v>
      </c>
      <c r="L74" s="3085">
        <v>50</v>
      </c>
      <c r="M74" s="2852">
        <v>0.02</v>
      </c>
      <c r="O74" s="3040" t="s">
        <v>1602</v>
      </c>
      <c r="P74" s="3048" t="s">
        <v>1603</v>
      </c>
      <c r="Q74" s="3088">
        <f ca="1">C28+J31</f>
        <v>1080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1.78</v>
      </c>
      <c r="D76" s="3087" t="s">
        <v>1518</v>
      </c>
      <c r="E76" s="3294" t="s">
        <v>1592</v>
      </c>
      <c r="F76" s="3092">
        <f ca="1">C53</f>
        <v>1780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629</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-8</v>
      </c>
      <c r="D79" s="2853" t="s">
        <v>1525</v>
      </c>
      <c r="E79" s="3094"/>
      <c r="F79" s="3095"/>
      <c r="O79" s="2793" t="s">
        <v>1621</v>
      </c>
      <c r="P79" s="2859" t="s">
        <v>1673</v>
      </c>
      <c r="Q79" s="3093">
        <f ca="1">ROUND(Q80-Q81*Q82,0)</f>
        <v>32</v>
      </c>
      <c r="R79" s="2774" t="s">
        <v>1674</v>
      </c>
    </row>
    <row r="80" s="883" customFormat="1" ht="13.5" spans="1:18">
      <c r="A80" s="3096" t="s">
        <v>1526</v>
      </c>
      <c r="B80" s="2858" t="s">
        <v>1527</v>
      </c>
      <c r="C80" s="2915">
        <f ca="1">ROUND(C79*(1-((1+F82)/(1+F80))^F81)/(F80-F82),0)</f>
        <v>-132</v>
      </c>
      <c r="D80" s="3097" t="s">
        <v>1528</v>
      </c>
      <c r="E80" s="2827" t="s">
        <v>1529</v>
      </c>
      <c r="F80" s="2913">
        <f ca="1" t="shared" si="1"/>
        <v>0.05</v>
      </c>
      <c r="O80" s="2793" t="s">
        <v>1675</v>
      </c>
      <c r="P80" s="2859" t="s">
        <v>1676</v>
      </c>
      <c r="Q80" s="3093">
        <f ca="1">C27</f>
        <v>54</v>
      </c>
      <c r="R80" s="2774" t="s">
        <v>1618</v>
      </c>
    </row>
    <row r="81" s="883" customFormat="1" ht="13.5" spans="1:18">
      <c r="A81" s="3098"/>
      <c r="B81" s="2861"/>
      <c r="C81" s="2892"/>
      <c r="D81" s="3099" t="s">
        <v>1531</v>
      </c>
      <c r="E81" s="2827" t="s">
        <v>1532</v>
      </c>
      <c r="F81" s="2969">
        <f ca="1" t="shared" si="1"/>
        <v>35.52</v>
      </c>
      <c r="O81" s="2793" t="s">
        <v>1677</v>
      </c>
      <c r="P81" s="2859" t="s">
        <v>1678</v>
      </c>
      <c r="Q81" s="3093">
        <f ca="1">C52</f>
        <v>314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-144</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-431</v>
      </c>
      <c r="D84" s="3106" t="s">
        <v>1541</v>
      </c>
      <c r="E84" s="2866" t="s">
        <v>1542</v>
      </c>
      <c r="F84" s="2982">
        <f ca="1">F32</f>
        <v>3344.85</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1177</v>
      </c>
      <c r="R86" s="3043" t="s">
        <v>1636</v>
      </c>
    </row>
    <row r="87" spans="1:18">
      <c r="A87" s="883"/>
      <c r="B87" s="2870" t="s">
        <v>1684</v>
      </c>
      <c r="C87" s="1807">
        <f ca="1">ROUND(C53*C88,0)</f>
        <v>125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-1.315</v>
      </c>
    </row>
    <row r="92" spans="1:18">
      <c r="B92" s="2870" t="s">
        <v>1689</v>
      </c>
      <c r="C92" s="3108">
        <f ca="1">ROUND(C87/C27,3)</f>
        <v>2.315</v>
      </c>
    </row>
    <row r="93" spans="1:18">
      <c r="B93" s="493" t="s">
        <v>1690</v>
      </c>
      <c r="C93" s="460"/>
    </row>
    <row r="94" spans="1:18">
      <c r="B94" s="495" t="s">
        <v>1691</v>
      </c>
      <c r="C94" s="3109">
        <f ca="1">1-C95</f>
        <v>-0.556</v>
      </c>
    </row>
    <row r="95" spans="1:18">
      <c r="B95" s="495" t="s">
        <v>1692</v>
      </c>
      <c r="C95" s="3108">
        <f ca="1">ROUND(C53/(C28+J31+L55),3)</f>
        <v>1.556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1265</v>
      </c>
      <c r="B2" s="604">
        <f ca="1">IF(C1="含税",E2+C33,E2+C32)</f>
        <v>19198</v>
      </c>
      <c r="C2" s="416" t="s">
        <v>1267</v>
      </c>
      <c r="D2" s="3113" t="s">
        <v>124</v>
      </c>
      <c r="E2" s="3237">
        <f ca="1">IF(D2="——",0,SUMIF(INDIRECT("'"&amp;G2&amp;"'"&amp;"!A:A"),"承租人权益价值",INDIRECT("'"&amp;G2&amp;"'"&amp;"!c:c")))</f>
        <v>0</v>
      </c>
      <c r="F2" s="720" t="s">
        <v>1267</v>
      </c>
      <c r="G2" s="3115"/>
    </row>
    <row r="3" s="405" customFormat="1" ht="16.5" spans="1:9">
      <c r="A3" s="420" t="s">
        <v>1268</v>
      </c>
      <c r="B3" s="606">
        <f ca="1">ROUND(B2*10000/(IF(B1="",'数据-汇总表'!E3,INDIRECT("'数据-取费表'!k"&amp;$G$1))),0)</f>
        <v>5950</v>
      </c>
      <c r="C3" s="416" t="s">
        <v>1694</v>
      </c>
      <c r="D3" s="416"/>
      <c r="E3" s="605"/>
      <c r="F3" s="416"/>
      <c r="G3" s="416"/>
    </row>
    <row r="4" s="405" customFormat="1" ht="15.75" spans="1:9">
      <c r="A4" s="3121" t="s">
        <v>833</v>
      </c>
      <c r="B4" s="3122" t="s">
        <v>1148</v>
      </c>
      <c r="C4" s="3123" t="s">
        <v>1695</v>
      </c>
      <c r="D4" s="3124" t="s">
        <v>1696</v>
      </c>
      <c r="E4" s="3125" t="s">
        <v>1697</v>
      </c>
      <c r="F4" s="3125" t="s">
        <v>1698</v>
      </c>
      <c r="G4" s="3126" t="s">
        <v>1394</v>
      </c>
    </row>
    <row r="5" s="406" customFormat="1" ht="15.75" spans="1:9">
      <c r="A5" s="3127" t="s">
        <v>1605</v>
      </c>
      <c r="B5" s="3128" t="s">
        <v>1699</v>
      </c>
      <c r="C5" s="3129">
        <f ca="1">ROUND((C6+C9+C21+C24+C25+C28)/(1-F22-C26-C29),0)</f>
        <v>22459</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18122</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15489</v>
      </c>
      <c r="D10" s="3139"/>
      <c r="E10" s="471"/>
      <c r="F10" s="3147">
        <f ca="1">IF('数据-取费表'!B24=0,1,IF(B1="",'数据-取费表'!N16,INDIRECT("'数据-取费表'!n"&amp;$G$1)))</f>
        <v>1</v>
      </c>
      <c r="G10" s="482" t="s">
        <v>1710</v>
      </c>
    </row>
    <row r="11" s="407" customFormat="1" spans="1:9">
      <c r="A11" s="3145" t="s">
        <v>1705</v>
      </c>
      <c r="B11" s="3146" t="s">
        <v>1711</v>
      </c>
      <c r="C11" s="641">
        <f ca="1">ROUND(C10*F11,0)</f>
        <v>929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1549</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645</v>
      </c>
      <c r="D16" s="664">
        <f ca="1">IF(B1="",'数据-汇总表'!E6,IF(INDIRECT("'数据-取费表'!c"&amp;$G$1)="住宅",INDIRECT("'数据-取费表'!s"&amp;$G$1),INDIRECT("'数据-取费表'!k"&amp;$G$1)+INDIRECT("'数据-取费表'!s"&amp;$G$1)))</f>
        <v>32267.62</v>
      </c>
      <c r="E16" s="664">
        <f>'数据-取费表'!B28</f>
        <v>200</v>
      </c>
      <c r="F16" s="644"/>
      <c r="G16" s="444"/>
    </row>
    <row r="17" s="407" customFormat="1" spans="1:7">
      <c r="A17" s="662" t="s">
        <v>1500</v>
      </c>
      <c r="B17" s="3154" t="s">
        <v>1722</v>
      </c>
      <c r="C17" s="641">
        <f ca="1">IF(G17="已包含在土地取得成本中","0",ROUND(D17*E17/10000,0))</f>
        <v>581</v>
      </c>
      <c r="D17" s="623">
        <f ca="1">D15+D16</f>
        <v>32267.62</v>
      </c>
      <c r="E17" s="623">
        <f>'数据-取费表'!B31</f>
        <v>180</v>
      </c>
      <c r="F17" s="3155"/>
      <c r="G17" s="661"/>
    </row>
    <row r="18" s="407" customFormat="1" spans="1:7">
      <c r="A18" s="3156" t="s">
        <v>1502</v>
      </c>
      <c r="B18" s="3154" t="s">
        <v>1723</v>
      </c>
      <c r="C18" s="641">
        <f ca="1">ROUND(E18*D18*F10/10000,0)</f>
        <v>968</v>
      </c>
      <c r="D18" s="641">
        <f ca="1">D17</f>
        <v>32267.62</v>
      </c>
      <c r="E18" s="641">
        <f>'数据-取费表'!B35</f>
        <v>300</v>
      </c>
      <c r="F18" s="3148"/>
      <c r="G18" s="482" t="str">
        <f ca="1">IF(F10=100%,"","按工程进度计取")</f>
        <v/>
      </c>
    </row>
    <row r="19" s="407" customFormat="1" spans="1:7">
      <c r="A19" s="3145" t="s">
        <v>1724</v>
      </c>
      <c r="B19" s="3146" t="s">
        <v>1725</v>
      </c>
      <c r="C19" s="641">
        <f ca="1">ROUND(C10*F19,0)</f>
        <v>155</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544</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584+0.0009V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584</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2427+0.0039V</v>
      </c>
      <c r="D27" s="681"/>
      <c r="E27" s="682"/>
      <c r="F27" s="3166">
        <f ca="1">IF(B1="",'数据-取费表'!Q16,INDIRECT("'数据-取费表'!q"&amp;$G$1))</f>
        <v>0.13</v>
      </c>
      <c r="G27" s="3159" t="s">
        <v>1743</v>
      </c>
    </row>
    <row r="28" s="407" customFormat="1" spans="1:7">
      <c r="A28" s="3145" t="s">
        <v>1703</v>
      </c>
      <c r="B28" s="3154" t="s">
        <v>1744</v>
      </c>
      <c r="C28" s="791">
        <f ca="1">ROUND(C6*F27*'数据-取费表'!B23/'数据-取费表'!B22+(C9+C21)*F27,0)</f>
        <v>2427</v>
      </c>
      <c r="D28" s="453"/>
      <c r="E28" s="454"/>
      <c r="F28" s="3155"/>
      <c r="G28" s="3238" t="str">
        <f ca="1">IF(F10=100%,"","其中：土地取得成本产生的利润按已建工期计算")</f>
        <v/>
      </c>
    </row>
    <row r="29" s="407" customFormat="1" spans="1:7">
      <c r="A29" s="3145" t="s">
        <v>1705</v>
      </c>
      <c r="B29" s="3154" t="s">
        <v>1745</v>
      </c>
      <c r="C29" s="3164">
        <f ca="1">ROUND(F22*F27,4)</f>
        <v>0.0039</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3261</v>
      </c>
      <c r="D31" s="688"/>
      <c r="E31" s="688"/>
      <c r="F31" s="3171">
        <f>IF('数据-取费表'!B24=0,'数据-取费表'!N16,1)</f>
        <v>0.85</v>
      </c>
      <c r="G31" s="690" t="s">
        <v>1749</v>
      </c>
    </row>
    <row r="32" s="407" customFormat="1" ht="15.75" spans="1:7">
      <c r="A32" s="687" t="s">
        <v>1523</v>
      </c>
      <c r="B32" s="617" t="s">
        <v>1750</v>
      </c>
      <c r="C32" s="618">
        <f ca="1">C5-C31</f>
        <v>19198</v>
      </c>
      <c r="D32" s="688"/>
      <c r="E32" s="688"/>
      <c r="F32" s="689"/>
      <c r="G32" s="3172" t="s">
        <v>1751</v>
      </c>
    </row>
    <row r="33" s="407" customFormat="1" ht="16.5" spans="1:7">
      <c r="A33" s="3173">
        <v>4</v>
      </c>
      <c r="B33" s="3174" t="s">
        <v>1752</v>
      </c>
      <c r="C33" s="3175">
        <f ca="1">ROUND(C32*(1+F33),0)</f>
        <v>20926</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1148</v>
      </c>
      <c r="C39" s="3184" t="s">
        <v>1695</v>
      </c>
      <c r="D39" s="3185" t="s">
        <v>1755</v>
      </c>
      <c r="E39" s="3186" t="s">
        <v>1756</v>
      </c>
      <c r="F39" s="3186" t="s">
        <v>1757</v>
      </c>
      <c r="G39" s="3187" t="s">
        <v>1394</v>
      </c>
    </row>
    <row r="40" ht="15" spans="1:7">
      <c r="A40" s="3240" t="s">
        <v>1701</v>
      </c>
      <c r="B40" s="3241" t="s">
        <v>1758</v>
      </c>
      <c r="C40" s="3189">
        <f ca="1">SUM(C41:C46)</f>
        <v>17541</v>
      </c>
      <c r="D40" s="3190"/>
      <c r="E40" s="3190"/>
      <c r="F40" s="3190"/>
      <c r="G40" s="3191"/>
    </row>
    <row r="41" ht="15.75" spans="1:7">
      <c r="A41" s="3242" t="s">
        <v>1703</v>
      </c>
      <c r="B41" s="3243" t="str">
        <f t="shared" ref="B41:C43" si="0">B10</f>
        <v>  建安费用</v>
      </c>
      <c r="C41" s="776">
        <f ca="1" t="shared" si="0"/>
        <v>15489</v>
      </c>
      <c r="D41" s="3194"/>
      <c r="E41" s="3194"/>
      <c r="F41" s="785"/>
      <c r="G41" s="3195"/>
    </row>
    <row r="42" ht="15.75" spans="1:7">
      <c r="A42" s="3242" t="s">
        <v>1705</v>
      </c>
      <c r="B42" s="3243" t="str">
        <f t="shared" si="0"/>
        <v>  前期费用</v>
      </c>
      <c r="C42" s="776">
        <f ca="1" t="shared" si="0"/>
        <v>929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968</v>
      </c>
      <c r="D44" s="3194"/>
      <c r="E44" s="3194"/>
      <c r="F44" s="785"/>
      <c r="G44" s="3195"/>
    </row>
    <row r="45" ht="15.75" spans="1:7">
      <c r="A45" s="626" t="s">
        <v>1759</v>
      </c>
      <c r="B45" s="3150" t="str">
        <f>B19</f>
        <v>  其他工程费</v>
      </c>
      <c r="C45" s="791">
        <f ca="1">C19</f>
        <v>155</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526</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565+0.0009V建1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565</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2349+0.0039V建1</v>
      </c>
      <c r="D52" s="3213"/>
      <c r="E52" s="3203"/>
      <c r="F52" s="3214">
        <f ca="1">F27</f>
        <v>0.13</v>
      </c>
      <c r="G52" s="3215" t="s">
        <v>1766</v>
      </c>
    </row>
    <row r="53" spans="1:7">
      <c r="A53" s="3242" t="s">
        <v>1703</v>
      </c>
      <c r="B53" s="3246" t="s">
        <v>1767</v>
      </c>
      <c r="C53" s="776">
        <f ca="1">ROUND((C40+C47)*F27,0)</f>
        <v>2349</v>
      </c>
      <c r="D53" s="3216"/>
      <c r="E53" s="3217"/>
      <c r="F53" s="3218"/>
      <c r="G53" s="3219"/>
    </row>
    <row r="54" spans="1:7">
      <c r="A54" s="3242" t="s">
        <v>1705</v>
      </c>
      <c r="B54" s="3246" t="s">
        <v>1768</v>
      </c>
      <c r="C54" s="3220">
        <f ca="1">ROUND(F48*F27,4)</f>
        <v>0.0039</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21737</v>
      </c>
      <c r="D56" s="682"/>
      <c r="E56" s="682"/>
      <c r="F56" s="3224"/>
      <c r="G56" s="3223" t="s">
        <v>1772</v>
      </c>
    </row>
    <row r="57" ht="15" spans="1:7">
      <c r="A57" s="3132" t="s">
        <v>1588</v>
      </c>
      <c r="B57" s="3249" t="s">
        <v>1550</v>
      </c>
      <c r="C57" s="651">
        <f ca="1">ROUND(C56*(1-F57),0)</f>
        <v>3261</v>
      </c>
      <c r="D57" s="682"/>
      <c r="E57" s="682"/>
      <c r="F57" s="3224">
        <f>F31</f>
        <v>0.85</v>
      </c>
      <c r="G57" s="3223" t="s">
        <v>1773</v>
      </c>
    </row>
    <row r="58" ht="18.75" spans="1:7">
      <c r="A58" s="3132" t="s">
        <v>1774</v>
      </c>
      <c r="B58" s="3226" t="s">
        <v>1775</v>
      </c>
      <c r="C58" s="651">
        <f ca="1">C56-C57</f>
        <v>18476</v>
      </c>
      <c r="D58" s="682"/>
      <c r="E58" s="682"/>
      <c r="F58" s="3224"/>
      <c r="G58" s="3223" t="s">
        <v>1776</v>
      </c>
    </row>
    <row r="59" ht="15.75" spans="1:7">
      <c r="A59" s="3250" t="s">
        <v>1777</v>
      </c>
      <c r="B59" s="3251" t="s">
        <v>1778</v>
      </c>
      <c r="C59" s="3228">
        <f ca="1">ROUND(C58*(1+F59),0)</f>
        <v>20139</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0.038</v>
      </c>
    </row>
    <row r="64" ht="21" customHeight="1" spans="1:7">
      <c r="B64" s="1280" t="s">
        <v>1692</v>
      </c>
      <c r="C64" s="3236">
        <f ca="1">ROUND(C58/C32,3)</f>
        <v>0.962</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56.2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估价对象为北京市房地产，为所有。根据《国有土地使用证》[]，估价对象（分摊）出让国有建设用地使用权面积为14251.17平方米，建筑面积为32267.62平方米。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估价对象为北京市房地产,属开发建设的，该项目尚在开发建设中。根据《国有土地使用证》[]，估价对象（分摊）出让国有建设用地使用权面积为14251.17平方米，规划建筑面积为32267.62平方米。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2025年12月31日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6" t="str">
        <f>IF(项目基本情况!B9="房地产市场价值","——",IF(项目基本情况!E9="——","",定义!C57))</f>
        <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1265</v>
      </c>
      <c r="B2" s="3120">
        <f ca="1">ROUND(D3/10000,4)</f>
        <v>19196.7097</v>
      </c>
      <c r="C2" s="416" t="s">
        <v>1267</v>
      </c>
      <c r="D2" s="3113" t="s">
        <v>124</v>
      </c>
      <c r="E2" s="794">
        <f ca="1">IF(D2="——",0,SUMIF(INDIRECT("'"&amp;G2&amp;"'"&amp;"!A:A"),"承租人权益价值",INDIRECT("'"&amp;G2&amp;"'"&amp;"!c:c")))</f>
        <v>0</v>
      </c>
      <c r="F2" s="720" t="s">
        <v>1267</v>
      </c>
      <c r="G2" s="3115"/>
    </row>
    <row r="3" s="405" customFormat="1" ht="16.5" spans="1:10">
      <c r="A3" s="420" t="s">
        <v>1268</v>
      </c>
      <c r="B3" s="606">
        <f ca="1">ROUND(D3/(IF(B1="",'数据-汇总表'!E3,INDIRECT("'数据-取费表'!k"&amp;$G$1))),0)</f>
        <v>5949</v>
      </c>
      <c r="C3" s="416" t="s">
        <v>1694</v>
      </c>
      <c r="D3" s="416">
        <f ca="1">IF(C1="含税",E2+C33,E2+C32)</f>
        <v>191967097</v>
      </c>
      <c r="E3" s="605"/>
      <c r="F3" s="416"/>
      <c r="G3" s="416"/>
    </row>
    <row r="4" s="405" customFormat="1" ht="15.75" spans="1:10">
      <c r="A4" s="3121" t="s">
        <v>833</v>
      </c>
      <c r="B4" s="3122" t="s">
        <v>1148</v>
      </c>
      <c r="C4" s="3123" t="s">
        <v>1695</v>
      </c>
      <c r="D4" s="3124" t="s">
        <v>1696</v>
      </c>
      <c r="E4" s="3125" t="s">
        <v>1697</v>
      </c>
      <c r="F4" s="3125" t="s">
        <v>1698</v>
      </c>
      <c r="G4" s="3126" t="s">
        <v>1394</v>
      </c>
    </row>
    <row r="5" s="406" customFormat="1" ht="15.75" spans="1:10">
      <c r="A5" s="3127" t="s">
        <v>1605</v>
      </c>
      <c r="B5" s="3128" t="s">
        <v>1699</v>
      </c>
      <c r="C5" s="3129">
        <f ca="1">ROUND((C6+C9+C21+C24+C25+C28)/(1-F22-C26-C29),0)</f>
        <v>224573431</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181214955</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154884576</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9293075</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15488458</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6453524</v>
      </c>
      <c r="D16" s="664">
        <f ca="1">IF(B1="",'数据-汇总表'!E6,IF(INDIRECT("'数据-取费表'!c"&amp;$G$1)="住宅",INDIRECT("'数据-取费表'!s"&amp;$G$1),INDIRECT("'数据-取费表'!k"&amp;$G$1)+INDIRECT("'数据-取费表'!s"&amp;$G$1)))</f>
        <v>32267.62</v>
      </c>
      <c r="E16" s="664">
        <f>'数据-取费表'!B28</f>
        <v>200</v>
      </c>
      <c r="F16" s="644"/>
      <c r="G16" s="444"/>
      <c r="J16" s="405"/>
    </row>
    <row r="17" s="407" customFormat="1" ht="15" spans="1:10">
      <c r="A17" s="662" t="s">
        <v>1500</v>
      </c>
      <c r="B17" s="3154" t="s">
        <v>1722</v>
      </c>
      <c r="C17" s="641">
        <f ca="1">IF(G17="已包含在土地取得成本中","0",ROUND(D17*E17,0))</f>
        <v>5808172</v>
      </c>
      <c r="D17" s="623">
        <f ca="1">D15+D16</f>
        <v>32267.62</v>
      </c>
      <c r="E17" s="623">
        <f>'数据-取费表'!B31</f>
        <v>180</v>
      </c>
      <c r="F17" s="3155"/>
      <c r="G17" s="661"/>
      <c r="J17" s="405"/>
    </row>
    <row r="18" s="407" customFormat="1" ht="15" spans="1:10">
      <c r="A18" s="3156" t="s">
        <v>1502</v>
      </c>
      <c r="B18" s="3154" t="s">
        <v>1723</v>
      </c>
      <c r="C18" s="641">
        <f ca="1">ROUND(E18*D18*F10,0)</f>
        <v>9680286</v>
      </c>
      <c r="D18" s="641">
        <f ca="1">D17</f>
        <v>32267.62</v>
      </c>
      <c r="E18" s="641">
        <f>'数据-取费表'!B35</f>
        <v>300</v>
      </c>
      <c r="F18" s="3148"/>
      <c r="G18" s="482" t="str">
        <f ca="1">IF(F10=100%,"","按工程进度计取")</f>
        <v/>
      </c>
      <c r="J18" s="405"/>
    </row>
    <row r="19" s="407" customFormat="1" ht="15" spans="1:10">
      <c r="A19" s="3145" t="s">
        <v>1724</v>
      </c>
      <c r="B19" s="3146" t="s">
        <v>1725</v>
      </c>
      <c r="C19" s="641">
        <f ca="1">ROUND(C10*F19,0)</f>
        <v>1548846</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5436449</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5842189+0.0009V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5842189</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24264683+0.0039V</v>
      </c>
      <c r="D27" s="681"/>
      <c r="E27" s="682"/>
      <c r="F27" s="3166">
        <f ca="1">IF(B1="",'数据-取费表'!Q16,INDIRECT("'数据-取费表'!q"&amp;$G$1))</f>
        <v>0.13</v>
      </c>
      <c r="G27" s="3159" t="s">
        <v>1743</v>
      </c>
      <c r="J27" s="405"/>
    </row>
    <row r="28" s="407" customFormat="1" ht="15" spans="1:10">
      <c r="A28" s="3145" t="s">
        <v>1703</v>
      </c>
      <c r="B28" s="3154" t="s">
        <v>1744</v>
      </c>
      <c r="C28" s="791">
        <f ca="1">ROUND(C6*F27*'数据-取费表'!B23/'数据-取费表'!B22+(C9+C21)*F27,0)</f>
        <v>24264683</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0.0039</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32606334</v>
      </c>
      <c r="D31" s="688"/>
      <c r="E31" s="688"/>
      <c r="F31" s="3171">
        <f>IF('数据-取费表'!B24=0,'数据-取费表'!N16,1)</f>
        <v>0.85</v>
      </c>
      <c r="G31" s="690" t="s">
        <v>1784</v>
      </c>
      <c r="J31" s="405"/>
    </row>
    <row r="32" s="407" customFormat="1" ht="15.75" spans="1:10">
      <c r="A32" s="687" t="s">
        <v>1523</v>
      </c>
      <c r="B32" s="617" t="s">
        <v>1750</v>
      </c>
      <c r="C32" s="618">
        <f ca="1">C5-C31</f>
        <v>191967097</v>
      </c>
      <c r="D32" s="688"/>
      <c r="E32" s="688"/>
      <c r="F32" s="689"/>
      <c r="G32" s="3172" t="s">
        <v>1751</v>
      </c>
      <c r="J32" s="405"/>
    </row>
    <row r="33" s="407" customFormat="1" ht="16.5" spans="1:10">
      <c r="A33" s="3173">
        <v>4</v>
      </c>
      <c r="B33" s="3174" t="s">
        <v>1752</v>
      </c>
      <c r="C33" s="3175">
        <f ca="1">ROUND(C32*(1+F33),0)</f>
        <v>209244136</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1148</v>
      </c>
      <c r="C39" s="3184" t="s">
        <v>1695</v>
      </c>
      <c r="D39" s="3185" t="s">
        <v>1755</v>
      </c>
      <c r="E39" s="3186" t="s">
        <v>1756</v>
      </c>
      <c r="F39" s="3186" t="s">
        <v>1757</v>
      </c>
      <c r="G39" s="3187" t="s">
        <v>1394</v>
      </c>
    </row>
    <row r="40" ht="15" spans="1:10">
      <c r="A40" s="773" t="s">
        <v>1701</v>
      </c>
      <c r="B40" s="3188" t="s">
        <v>1758</v>
      </c>
      <c r="C40" s="3189">
        <f ca="1">SUM(C41:C46)</f>
        <v>175406783</v>
      </c>
      <c r="D40" s="3190"/>
      <c r="E40" s="3190"/>
      <c r="F40" s="3190"/>
      <c r="G40" s="3191"/>
    </row>
    <row r="41" ht="15.75" spans="1:10">
      <c r="A41" s="3192" t="s">
        <v>1703</v>
      </c>
      <c r="B41" s="3193" t="str">
        <f t="shared" ref="B41:C43" si="0">B10</f>
        <v>  建安费用</v>
      </c>
      <c r="C41" s="776">
        <f ca="1" t="shared" si="0"/>
        <v>154884576</v>
      </c>
      <c r="D41" s="3194"/>
      <c r="E41" s="3194"/>
      <c r="F41" s="785"/>
      <c r="G41" s="3195"/>
    </row>
    <row r="42" ht="15.75" spans="1:10">
      <c r="A42" s="3192" t="s">
        <v>1705</v>
      </c>
      <c r="B42" s="3193" t="str">
        <f t="shared" si="0"/>
        <v>  前期费用</v>
      </c>
      <c r="C42" s="776">
        <f ca="1" t="shared" si="0"/>
        <v>9293075</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9680286</v>
      </c>
      <c r="D44" s="3194"/>
      <c r="E44" s="3194"/>
      <c r="F44" s="785"/>
      <c r="G44" s="3195"/>
    </row>
    <row r="45" ht="15.75" spans="1:10">
      <c r="A45" s="3197" t="s">
        <v>1759</v>
      </c>
      <c r="B45" s="3198" t="str">
        <f>B19</f>
        <v>  其他工程费</v>
      </c>
      <c r="C45" s="791">
        <f ca="1">C19</f>
        <v>1548846</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5262203</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5654939+0.0009V建1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5654939</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23486968+0.0039V建1</v>
      </c>
      <c r="D52" s="3213"/>
      <c r="E52" s="3203"/>
      <c r="F52" s="3214">
        <f ca="1">F27</f>
        <v>0.13</v>
      </c>
      <c r="G52" s="3215" t="s">
        <v>1766</v>
      </c>
    </row>
    <row r="53" spans="1:7">
      <c r="A53" s="3192" t="s">
        <v>1703</v>
      </c>
      <c r="B53" s="3211" t="s">
        <v>1767</v>
      </c>
      <c r="C53" s="776">
        <f ca="1">ROUND((C40+C47)*F27,0)</f>
        <v>23486968</v>
      </c>
      <c r="D53" s="3216"/>
      <c r="E53" s="3217"/>
      <c r="F53" s="3218"/>
      <c r="G53" s="3219"/>
    </row>
    <row r="54" spans="1:7">
      <c r="A54" s="3192" t="s">
        <v>1705</v>
      </c>
      <c r="B54" s="3211" t="s">
        <v>1768</v>
      </c>
      <c r="C54" s="3220">
        <f ca="1">ROUND(F48*F27,4)</f>
        <v>0.0039</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217375563</v>
      </c>
      <c r="D56" s="682"/>
      <c r="E56" s="682"/>
      <c r="F56" s="3224"/>
      <c r="G56" s="3223" t="s">
        <v>1772</v>
      </c>
    </row>
    <row r="57" ht="15" spans="1:7">
      <c r="A57" s="3221" t="s">
        <v>1588</v>
      </c>
      <c r="B57" s="3225" t="s">
        <v>1550</v>
      </c>
      <c r="C57" s="651">
        <f ca="1">ROUND(C56*(1-F57),0)</f>
        <v>32606334</v>
      </c>
      <c r="D57" s="682"/>
      <c r="E57" s="682"/>
      <c r="F57" s="3224">
        <f>F31</f>
        <v>0.85</v>
      </c>
      <c r="G57" s="3223" t="s">
        <v>1773</v>
      </c>
    </row>
    <row r="58" ht="18.75" spans="1:7">
      <c r="A58" s="3221" t="s">
        <v>1774</v>
      </c>
      <c r="B58" s="3221" t="s">
        <v>1775</v>
      </c>
      <c r="C58" s="651">
        <f ca="1">C56-C57</f>
        <v>184769229</v>
      </c>
      <c r="D58" s="682"/>
      <c r="E58" s="682"/>
      <c r="F58" s="3224"/>
      <c r="G58" s="3223" t="s">
        <v>1776</v>
      </c>
    </row>
    <row r="59" ht="15.75" spans="1:7">
      <c r="A59" s="3226" t="s">
        <v>1777</v>
      </c>
      <c r="B59" s="3227" t="s">
        <v>1778</v>
      </c>
      <c r="C59" s="3228">
        <f ca="1">ROUND(C58*(1+F59),0)</f>
        <v>201398460</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1265</v>
      </c>
      <c r="B2" s="3112">
        <f ca="1">ROUND(IF(D2="——",C52/10000,C52/10000-E2),4)</f>
        <v>22677.253</v>
      </c>
      <c r="C2" s="416" t="s">
        <v>1267</v>
      </c>
      <c r="D2" s="3113" t="s">
        <v>124</v>
      </c>
      <c r="E2" s="3114" t="e">
        <f ca="1">SUMIF(INDIRECT("'"&amp;G2&amp;"'"&amp;"!A:A"),"承租人权益价值",INDIRECT("'"&amp;G2&amp;"'"&amp;"!c:c"))</f>
        <v>#REF!</v>
      </c>
      <c r="F2" s="720" t="s">
        <v>1267</v>
      </c>
      <c r="G2" s="3115"/>
    </row>
    <row r="3" s="405" customFormat="1" ht="18" customHeight="1" spans="1:8">
      <c r="A3" s="420" t="s">
        <v>1268</v>
      </c>
      <c r="B3" s="421">
        <f ca="1">ROUND(B2*10000/(IF(B1="",'数据-汇总表'!E3,INDIRECT("'数据-取费表'!k"&amp;$G$1))),0)</f>
        <v>7028</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27084134</v>
      </c>
      <c r="D5" s="427" t="s">
        <v>1788</v>
      </c>
      <c r="E5" s="428" t="s">
        <v>1789</v>
      </c>
      <c r="F5" s="428" t="s">
        <v>1181</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6453524</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6453524</v>
      </c>
      <c r="D10" s="443">
        <f ca="1">IF(B1="",'数据-汇总表'!E6,IF(INDIRECT("'数据-取费表'!c"&amp;$G$1)="住宅",INDIRECT("'数据-取费表'!s"&amp;$G$1),INDIRECT("'数据-取费表'!k"&amp;$G$1)+INDIRECT("'数据-取费表'!s"&amp;$G$1)))</f>
        <v>32267.62</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1194</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5808172</v>
      </c>
      <c r="D19" s="428">
        <f ca="1">D9+D10</f>
        <v>32267.62</v>
      </c>
      <c r="E19" s="427">
        <f>'数据-取费表'!B31</f>
        <v>180</v>
      </c>
      <c r="F19" s="449"/>
      <c r="G19" s="661"/>
    </row>
    <row r="20" s="407" customFormat="1" ht="13.5" customHeight="1" spans="1:7">
      <c r="A20" s="425" t="s">
        <v>1809</v>
      </c>
      <c r="B20" s="426" t="s">
        <v>1810</v>
      </c>
      <c r="C20" s="450">
        <f ca="1">ROUND((C5+C19)*F20,0)</f>
        <v>986769</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2122169</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1722001</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369282</v>
      </c>
      <c r="D24" s="460"/>
      <c r="E24" s="460"/>
      <c r="F24" s="461"/>
      <c r="G24" s="462" t="s">
        <v>1820</v>
      </c>
    </row>
    <row r="25" s="407" customFormat="1" ht="24" spans="1:7">
      <c r="A25" s="458" t="s">
        <v>1713</v>
      </c>
      <c r="B25" s="431" t="s">
        <v>1821</v>
      </c>
      <c r="C25" s="460">
        <f ca="1">ROUND(IF('数据-取费表'!B22&lt;=1,C20*F22*'数据-取费表'!B22/2,C20*(POWER((1+F22),'数据-取费表'!B22/2)-1)),0)</f>
        <v>30886</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4404280</v>
      </c>
      <c r="D27" s="453">
        <f ca="1">C29</f>
        <v>0.0039</v>
      </c>
      <c r="E27" s="454" t="s">
        <v>1814</v>
      </c>
      <c r="F27" s="468">
        <f ca="1">IF(B1="",'数据-取费表'!Q16,INDIRECT("'数据-取费表'!q"&amp;$G$1))</f>
        <v>0.13</v>
      </c>
      <c r="G27" s="469" t="s">
        <v>1825</v>
      </c>
    </row>
    <row r="28" s="407" customFormat="1" ht="13.5" customHeight="1" spans="1:7">
      <c r="A28" s="458" t="s">
        <v>1703</v>
      </c>
      <c r="B28" s="470" t="s">
        <v>1744</v>
      </c>
      <c r="C28" s="471">
        <f ca="1">ROUND((C5+C19+C20)*F27,0)</f>
        <v>4404280</v>
      </c>
      <c r="D28" s="453"/>
      <c r="E28" s="454"/>
      <c r="F28" s="468"/>
      <c r="G28" s="469"/>
    </row>
    <row r="29" s="407" customFormat="1" ht="13.5" customHeight="1" spans="1:7">
      <c r="A29" s="458" t="s">
        <v>1705</v>
      </c>
      <c r="B29" s="470" t="s">
        <v>1745</v>
      </c>
      <c r="C29" s="460">
        <f ca="1">ROUND(C21*F27,4)</f>
        <v>0.0039</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41888372</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175406783</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154884576</v>
      </c>
      <c r="D34" s="433"/>
      <c r="E34" s="436"/>
      <c r="F34" s="479"/>
      <c r="G34" s="435"/>
    </row>
    <row r="35" ht="13.5" customHeight="1" spans="1:7">
      <c r="A35" s="458" t="s">
        <v>1705</v>
      </c>
      <c r="B35" s="431" t="s">
        <v>1834</v>
      </c>
      <c r="C35" s="436">
        <f ca="1">ROUND(C34*F35,0)</f>
        <v>9293075</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9680286</v>
      </c>
      <c r="D37" s="433">
        <f ca="1">D19</f>
        <v>32267.62</v>
      </c>
      <c r="E37" s="471">
        <f>'数据-取费表'!B35</f>
        <v>300</v>
      </c>
      <c r="F37" s="480"/>
      <c r="G37" s="482"/>
    </row>
    <row r="38" ht="13.5" customHeight="1" spans="1:7">
      <c r="A38" s="458" t="s">
        <v>1724</v>
      </c>
      <c r="B38" s="431" t="s">
        <v>1194</v>
      </c>
      <c r="C38" s="436">
        <f ca="1">ROUND(C34*F38,0)</f>
        <v>1548846</v>
      </c>
      <c r="D38" s="436"/>
      <c r="E38" s="436"/>
      <c r="F38" s="480">
        <f>'数据-取费表'!B36</f>
        <v>0.01</v>
      </c>
      <c r="G38" s="435" t="s">
        <v>1726</v>
      </c>
    </row>
    <row r="39" s="407" customFormat="1" ht="13.5" customHeight="1" spans="1:7">
      <c r="A39" s="425" t="s">
        <v>1807</v>
      </c>
      <c r="B39" s="426" t="s">
        <v>1810</v>
      </c>
      <c r="C39" s="450">
        <f ca="1">ROUND(C33*F20,0)</f>
        <v>5262203</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5654939</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5490232</v>
      </c>
      <c r="D42" s="460"/>
      <c r="E42" s="460"/>
      <c r="F42" s="461"/>
      <c r="G42" s="484" t="s">
        <v>1840</v>
      </c>
    </row>
    <row r="43" ht="13.5" customHeight="1" spans="1:7">
      <c r="A43" s="458" t="s">
        <v>1705</v>
      </c>
      <c r="B43" s="431" t="s">
        <v>1819</v>
      </c>
      <c r="C43" s="460">
        <f ca="1">ROUND(IF('数据-取费表'!B22&lt;=1,C39*F22*'数据-取费表'!B20/2,C39*(POWER((1+F22),'数据-取费表'!B20/2)-1)),0)</f>
        <v>164707</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23486968</v>
      </c>
      <c r="D45" s="453">
        <f ca="1">C47</f>
        <v>0.0039</v>
      </c>
      <c r="E45" s="454" t="s">
        <v>1838</v>
      </c>
      <c r="F45" s="468">
        <f ca="1">F27</f>
        <v>0.13</v>
      </c>
      <c r="G45" s="469" t="s">
        <v>1841</v>
      </c>
    </row>
    <row r="46" s="407" customFormat="1" ht="13.5" customHeight="1" spans="1:7">
      <c r="A46" s="458" t="s">
        <v>1703</v>
      </c>
      <c r="B46" s="470" t="s">
        <v>1767</v>
      </c>
      <c r="C46" s="471">
        <f ca="1">ROUND((C33+C39)*F27,0)</f>
        <v>23486968</v>
      </c>
      <c r="D46" s="487"/>
      <c r="E46" s="454"/>
      <c r="F46" s="468"/>
      <c r="G46" s="469"/>
    </row>
    <row r="47" s="407" customFormat="1" ht="13.5" customHeight="1" spans="1:7">
      <c r="A47" s="458" t="s">
        <v>1705</v>
      </c>
      <c r="B47" s="470" t="s">
        <v>1768</v>
      </c>
      <c r="C47" s="460">
        <f ca="1">ROUND(C40*F27,4)</f>
        <v>0.0039</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217510774</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184884158</v>
      </c>
      <c r="D51" s="450"/>
      <c r="E51" s="450"/>
      <c r="F51" s="488"/>
      <c r="G51" s="455" t="s">
        <v>1849</v>
      </c>
    </row>
    <row r="52" s="406" customFormat="1" ht="16.5" spans="1:7">
      <c r="A52" s="489" t="s">
        <v>1850</v>
      </c>
      <c r="B52" s="490"/>
      <c r="C52" s="491">
        <f ca="1">C31+C51</f>
        <v>226772530</v>
      </c>
      <c r="D52" s="490"/>
      <c r="E52" s="490"/>
      <c r="F52" s="490"/>
      <c r="G52" s="492"/>
    </row>
    <row r="55" ht="15" spans="1:7">
      <c r="B55" s="493" t="s">
        <v>1780</v>
      </c>
      <c r="C55" s="494"/>
    </row>
    <row r="56" spans="1:7">
      <c r="B56" s="495" t="s">
        <v>1691</v>
      </c>
      <c r="C56" s="497">
        <f ca="1">1-C57</f>
        <v>0.185</v>
      </c>
    </row>
    <row r="57" spans="1:7">
      <c r="B57" s="495" t="s">
        <v>1692</v>
      </c>
      <c r="C57" s="496">
        <f ca="1">ROUND(C51/C52,3)</f>
        <v>0.815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2899">
        <f ca="1">C7-C9</f>
        <v>0</v>
      </c>
      <c r="D6" s="1279" t="s">
        <v>1474</v>
      </c>
      <c r="E6" s="2900" t="s">
        <v>1852</v>
      </c>
      <c r="F6" s="2901">
        <f ca="1">INDIRECT("'数据-取费表'!u"&amp;$G$1)</f>
        <v>0</v>
      </c>
      <c r="G6" s="883"/>
      <c r="H6" s="2639" t="s">
        <v>1157</v>
      </c>
      <c r="I6" s="2898" t="s">
        <v>1473</v>
      </c>
      <c r="J6" s="1287">
        <f ca="1">J7-J9</f>
        <v>0</v>
      </c>
      <c r="K6" s="1279" t="s">
        <v>1474</v>
      </c>
      <c r="L6" s="2900" t="s">
        <v>1852</v>
      </c>
      <c r="M6" s="2902">
        <f ca="1">INDIRECT("'数据-取费表'!z"&amp;$G$1)</f>
        <v>0</v>
      </c>
    </row>
    <row r="7" ht="18" customHeight="1" spans="1:37">
      <c r="A7" s="2903" t="s">
        <v>1186</v>
      </c>
      <c r="B7" s="2904" t="s">
        <v>1476</v>
      </c>
      <c r="C7" s="2905">
        <f ca="1">ROUND(F6*F7*F8,0)</f>
        <v>0</v>
      </c>
      <c r="D7" s="2906" t="s">
        <v>1477</v>
      </c>
      <c r="E7" s="2650" t="s">
        <v>1478</v>
      </c>
      <c r="F7" s="2907">
        <f ca="1">IF(INDIRECT("'数据-取费表'!ah"&amp;$G$1)="",INDIRECT("'数据-取费表'!k"&amp;$G$1),INDIRECT("'数据-取费表'!ah"&amp;$G$1))</f>
        <v>0</v>
      </c>
      <c r="G7" s="883"/>
      <c r="H7" s="2903" t="s">
        <v>1186</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1190</v>
      </c>
      <c r="B9" s="2910" t="s">
        <v>1479</v>
      </c>
      <c r="C9" s="2892">
        <f ca="1">ROUND(C7*F9,0)</f>
        <v>0</v>
      </c>
      <c r="D9" s="1279" t="s">
        <v>1480</v>
      </c>
      <c r="E9" s="1301" t="s">
        <v>1481</v>
      </c>
      <c r="F9" s="2913">
        <f ca="1">INDIRECT("'数据-取费表'!w"&amp;$G$1)</f>
        <v>0</v>
      </c>
      <c r="G9" s="883"/>
      <c r="H9" s="1315" t="s">
        <v>1190</v>
      </c>
      <c r="I9" s="2910" t="s">
        <v>1479</v>
      </c>
      <c r="J9" s="2905">
        <f ca="1">ROUND(J7*M9,0)</f>
        <v>0</v>
      </c>
      <c r="K9" s="1279" t="s">
        <v>1480</v>
      </c>
      <c r="L9" s="2655" t="s">
        <v>1481</v>
      </c>
      <c r="M9" s="2914">
        <f ca="1">INDIRECT("'数据-取费表'!ab"&amp;$G$1)</f>
        <v>0</v>
      </c>
    </row>
    <row r="10" ht="18" customHeight="1" spans="1:37">
      <c r="A10" s="2639" t="s">
        <v>1162</v>
      </c>
      <c r="B10" s="2657" t="s">
        <v>1482</v>
      </c>
      <c r="C10" s="2905">
        <f ca="1">ROUND(IF(F10="押一",C6/12*F11,IF(F10="押二",C6/12*2*F11,IF(F10="押三",C6/12*3*F11,C11*F11))),0)</f>
        <v>0</v>
      </c>
      <c r="D10" s="2658" t="s">
        <v>1483</v>
      </c>
      <c r="E10" s="2655" t="s">
        <v>1484</v>
      </c>
      <c r="F10" s="2659"/>
      <c r="G10" s="883"/>
      <c r="H10" s="2639" t="s">
        <v>1162</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1213</v>
      </c>
      <c r="B12" s="2668" t="s">
        <v>1487</v>
      </c>
      <c r="C12" s="2922"/>
      <c r="D12" s="2670"/>
      <c r="E12" s="2671"/>
      <c r="F12" s="2672"/>
      <c r="G12" s="883"/>
      <c r="H12" s="2667" t="s">
        <v>1213</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1157</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1186</v>
      </c>
      <c r="B15" s="2900" t="s">
        <v>1495</v>
      </c>
      <c r="C15" s="1287">
        <f ca="1">C18</f>
        <v>0</v>
      </c>
      <c r="D15" s="1104" t="s">
        <v>1496</v>
      </c>
      <c r="E15" s="2932"/>
      <c r="F15" s="2933"/>
      <c r="G15" s="2691"/>
      <c r="H15" s="1315" t="s">
        <v>1186</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3">
        <f ca="1">ROUND(C6*F16,0)</f>
        <v>0</v>
      </c>
      <c r="D16" s="633" t="s">
        <v>1498</v>
      </c>
      <c r="E16" s="2936" t="s">
        <v>1270</v>
      </c>
      <c r="F16" s="2937">
        <v>0.09</v>
      </c>
      <c r="G16" s="883"/>
      <c r="H16" s="662" t="s">
        <v>1497</v>
      </c>
      <c r="I16" s="2935" t="s">
        <v>1122</v>
      </c>
      <c r="J16" s="803">
        <f ca="1">ROUND(J6*M16,0)</f>
        <v>0</v>
      </c>
      <c r="K16" s="2938" t="s">
        <v>1853</v>
      </c>
      <c r="L16" s="2936" t="s">
        <v>1270</v>
      </c>
      <c r="M16" s="2939">
        <v>0.09</v>
      </c>
    </row>
    <row r="17" s="2604" customFormat="1" ht="18" customHeight="1" spans="1:37">
      <c r="A17" s="662" t="s">
        <v>1500</v>
      </c>
      <c r="B17" s="2935" t="s">
        <v>1126</v>
      </c>
      <c r="C17" s="2940">
        <f ca="1">ROUND(C22*F16+((C24+C26)*F17),0)</f>
        <v>0</v>
      </c>
      <c r="D17" s="2938" t="s">
        <v>1501</v>
      </c>
      <c r="E17" s="2941"/>
      <c r="F17" s="2937">
        <v>0.06</v>
      </c>
      <c r="G17" s="2691"/>
      <c r="H17" s="662" t="s">
        <v>1500</v>
      </c>
      <c r="I17" s="2935" t="s">
        <v>1126</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1190</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944" t="s">
        <v>1510</v>
      </c>
      <c r="C20" s="2945">
        <f ca="1">IF(AND(项目基本情况!B11="自然人",M56="住宅"),"——",ROUND(F20*F21,0))</f>
        <v>0</v>
      </c>
      <c r="D20" s="2705" t="s">
        <v>1511</v>
      </c>
      <c r="E20" s="1301" t="s">
        <v>1512</v>
      </c>
      <c r="F20" s="2901">
        <f>'数据-取费表'!B53</f>
        <v>12</v>
      </c>
      <c r="G20" s="883"/>
      <c r="H20" s="2903" t="s">
        <v>1193</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2950">
        <f ca="1">ROUND(C51*F22,0)</f>
        <v>0</v>
      </c>
      <c r="D22" s="2951" t="s">
        <v>1515</v>
      </c>
      <c r="E22" s="1301" t="s">
        <v>1509</v>
      </c>
      <c r="F22" s="2913">
        <f ca="1">INDIRECT("'数据-取费表'!Ak"&amp;$G$1)</f>
        <v>0</v>
      </c>
      <c r="G22" s="2691"/>
      <c r="H22" s="2949" t="s">
        <v>1162</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2950">
        <f ca="1">ROUND(C53*F24,0)</f>
        <v>0</v>
      </c>
      <c r="D24" s="2951" t="s">
        <v>1518</v>
      </c>
      <c r="E24" s="1301" t="s">
        <v>1509</v>
      </c>
      <c r="F24" s="2913">
        <f ca="1">INDIRECT("'数据-取费表'!Al"&amp;$G$1)</f>
        <v>0</v>
      </c>
      <c r="G24" s="883"/>
      <c r="H24" s="2949" t="s">
        <v>1213</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1218</v>
      </c>
      <c r="B26" s="2671" t="s">
        <v>1521</v>
      </c>
      <c r="C26" s="2955">
        <f ca="1">ROUND(C5*F26,0)</f>
        <v>0</v>
      </c>
      <c r="D26" s="2715" t="s">
        <v>1522</v>
      </c>
      <c r="E26" s="2671" t="s">
        <v>1509</v>
      </c>
      <c r="F26" s="2956">
        <f ca="1">INDIRECT("'数据-取费表'!Am"&amp;$G$1)</f>
        <v>0</v>
      </c>
      <c r="G26" s="2691"/>
      <c r="H26" s="2692" t="s">
        <v>1218</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1266</v>
      </c>
      <c r="L35" s="3002"/>
      <c r="M35" s="3003"/>
    </row>
    <row r="36" ht="18" customHeight="1" spans="1:37">
      <c r="A36" s="1315" t="s">
        <v>1186</v>
      </c>
      <c r="B36" s="2318" t="s">
        <v>1548</v>
      </c>
      <c r="C36" s="1103">
        <f ca="1">ROUND(INDIRECT("'数据-取费表'!l"&amp;$G$1)*F32+'数据-取费表'!L14*INDIRECT("'数据-取费表'!S"&amp;$G$1),0)</f>
        <v>0</v>
      </c>
      <c r="D36" s="2321" t="s">
        <v>1549</v>
      </c>
      <c r="E36" s="2321"/>
      <c r="F36" s="2722"/>
      <c r="G36" s="883"/>
      <c r="H36" s="3004" t="s">
        <v>1162</v>
      </c>
      <c r="I36" s="3005" t="s">
        <v>1550</v>
      </c>
      <c r="J36" s="803">
        <f ca="1">ROUND(J35*(1-M36),0)</f>
        <v>0</v>
      </c>
      <c r="K36" s="1301" t="s">
        <v>1551</v>
      </c>
      <c r="L36" s="1279" t="s">
        <v>1552</v>
      </c>
      <c r="M36" s="2913">
        <f ca="1">INDIRECT("'数据-取费表'!ad"&amp;$G$1)</f>
        <v>0</v>
      </c>
    </row>
    <row r="37" ht="18" customHeight="1" spans="1:37">
      <c r="A37" s="1315" t="s">
        <v>1190</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1186</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1190</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1266</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1101</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1157</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1186</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1190</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1162</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1213</v>
      </c>
      <c r="B64" s="2668" t="s">
        <v>1487</v>
      </c>
      <c r="C64" s="3075"/>
      <c r="D64" s="2658"/>
      <c r="E64" s="2817"/>
      <c r="F64" s="2818"/>
      <c r="I64" s="2822" t="s">
        <v>1638</v>
      </c>
      <c r="J64" s="2823" t="e">
        <f ca="1">ROUND(IF(J56="钢混",J66/J59,1-(1-2%)*(J59-J66)/J59),3)</f>
        <v>#DIV/0!</v>
      </c>
      <c r="K64" s="2824" t="s">
        <v>1639</v>
      </c>
      <c r="L64" s="2825"/>
      <c r="O64" s="3031" t="s">
        <v>1101</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1157</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1186</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1287">
        <f ca="1">ROUND(C58*F68,0)</f>
        <v>0</v>
      </c>
      <c r="D68" s="633" t="s">
        <v>1498</v>
      </c>
      <c r="E68" s="2936" t="s">
        <v>1270</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1190</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1193</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1101</v>
      </c>
      <c r="P73" s="3032" t="s">
        <v>1597</v>
      </c>
      <c r="Q73" s="3033" t="s">
        <v>1598</v>
      </c>
      <c r="R73" s="3034" t="s">
        <v>1599</v>
      </c>
    </row>
    <row r="74" s="883" customFormat="1" ht="13.5" spans="1:18">
      <c r="A74" s="3086" t="s">
        <v>1162</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1213</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1218</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1157</v>
      </c>
      <c r="B6" s="2640" t="s">
        <v>1874</v>
      </c>
      <c r="C6" s="2641">
        <f ca="1">ROUND(F6*F8*F7*(1-F9),0)</f>
        <v>0</v>
      </c>
      <c r="D6" s="2642" t="s">
        <v>1875</v>
      </c>
      <c r="E6" s="1301" t="s">
        <v>1876</v>
      </c>
      <c r="F6" s="2643">
        <f ca="1">INDIRECT("'数据-取费表'!u"&amp;$G$1)</f>
        <v>0</v>
      </c>
      <c r="G6" s="883"/>
      <c r="H6" s="2639" t="s">
        <v>1157</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1162</v>
      </c>
      <c r="B10" s="2657" t="s">
        <v>1482</v>
      </c>
      <c r="C10" s="2314">
        <f ca="1">ROUND(IF(F10="押一",C6/12*F11,IF(F10="押二",C6/12*2*F11,IF(F10="押三",C6/12*3*F11,C11*F11))),0)</f>
        <v>0</v>
      </c>
      <c r="D10" s="2658" t="s">
        <v>1483</v>
      </c>
      <c r="E10" s="2655" t="s">
        <v>1484</v>
      </c>
      <c r="F10" s="2659"/>
      <c r="G10" s="883"/>
      <c r="H10" s="2639" t="s">
        <v>1162</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1213</v>
      </c>
      <c r="B12" s="2668" t="s">
        <v>1487</v>
      </c>
      <c r="C12" s="2669"/>
      <c r="D12" s="2670"/>
      <c r="E12" s="2671"/>
      <c r="F12" s="2672"/>
      <c r="G12" s="883"/>
      <c r="H12" s="2667" t="s">
        <v>1213</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1186</v>
      </c>
      <c r="B14" s="1301" t="s">
        <v>1548</v>
      </c>
      <c r="C14" s="2684">
        <f ca="1">ROUND(INDIRECT("'数据-取费表'!l"&amp;$G$1)*F43+'数据-取费表'!L14*INDIRECT("'数据-取费表'!S"&amp;$G$1),0)</f>
        <v>0</v>
      </c>
      <c r="D14" s="2685" t="s">
        <v>1549</v>
      </c>
      <c r="E14" s="2686"/>
      <c r="F14" s="2687"/>
      <c r="G14" s="883"/>
      <c r="H14" s="731" t="s">
        <v>1157</v>
      </c>
      <c r="I14" s="1301" t="s">
        <v>1884</v>
      </c>
      <c r="J14" s="1291">
        <f ca="1">C29</f>
        <v>0</v>
      </c>
      <c r="K14" s="2688"/>
      <c r="L14" s="767"/>
      <c r="M14" s="768"/>
    </row>
    <row r="15" s="2604" customFormat="1" ht="18" customHeight="1" spans="1:37">
      <c r="A15" s="731" t="s">
        <v>1190</v>
      </c>
      <c r="B15" s="1301" t="s">
        <v>1858</v>
      </c>
      <c r="C15" s="1291">
        <f ca="1">ROUND(C14*F15,0)</f>
        <v>0</v>
      </c>
      <c r="D15" s="2689" t="s">
        <v>1553</v>
      </c>
      <c r="E15" s="2689" t="s">
        <v>1509</v>
      </c>
      <c r="F15" s="2690">
        <f>'数据-取费表'!B33</f>
        <v>0.06</v>
      </c>
      <c r="G15" s="2691"/>
      <c r="H15" s="2692" t="s">
        <v>1162</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1193</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1157</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1186</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1157</v>
      </c>
      <c r="B19" s="1301" t="s">
        <v>1893</v>
      </c>
      <c r="C19" s="1291">
        <f ca="1">SUM(C14:C18)</f>
        <v>0</v>
      </c>
      <c r="D19" s="2701" t="s">
        <v>1894</v>
      </c>
      <c r="E19" s="2316"/>
      <c r="F19" s="2698"/>
      <c r="G19" s="883"/>
      <c r="H19" s="731" t="s">
        <v>1190</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1162</v>
      </c>
      <c r="B20" s="1301" t="s">
        <v>1521</v>
      </c>
      <c r="C20" s="1291">
        <f ca="1">ROUND(C19*F20,0)</f>
        <v>0</v>
      </c>
      <c r="D20" s="2703" t="s">
        <v>1897</v>
      </c>
      <c r="E20" s="1301" t="s">
        <v>1509</v>
      </c>
      <c r="F20" s="2696">
        <f>'数据-取费表'!B38</f>
        <v>0.03</v>
      </c>
      <c r="G20" s="2691"/>
      <c r="H20" s="731" t="s">
        <v>1193</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1213</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1218</v>
      </c>
      <c r="B22" s="1301" t="s">
        <v>1902</v>
      </c>
      <c r="C22" s="1291"/>
      <c r="D22" s="2701" t="str">
        <f>IF(F23&lt;=1,"单利计息。","复利计息。")&amp;"建造成本、管理费用、销售费用产生的利息。"</f>
        <v>复利计息。建造成本、管理费用、销售费用产生的利息。</v>
      </c>
      <c r="E22" s="2316"/>
      <c r="F22" s="2698"/>
      <c r="G22" s="883"/>
      <c r="H22" s="731" t="s">
        <v>1162</v>
      </c>
      <c r="I22" s="1301" t="s">
        <v>1514</v>
      </c>
      <c r="J22" s="1291">
        <f ca="1">ROUND(J14*M22,0)</f>
        <v>0</v>
      </c>
      <c r="K22" s="2321" t="s">
        <v>1515</v>
      </c>
      <c r="L22" s="1301" t="s">
        <v>1509</v>
      </c>
      <c r="M22" s="2711">
        <f ca="1">INDIRECT("'数据-取费表'!Ak"&amp;$G$1)</f>
        <v>0</v>
      </c>
    </row>
    <row r="23" s="2604" customFormat="1" ht="18" customHeight="1" spans="1:37">
      <c r="A23" s="731" t="s">
        <v>1186</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1213</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1190</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1218</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1222</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1186</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1190</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1224</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1157</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1186</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1190</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1193</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1162</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1213</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1218</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1213</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1157</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1186</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1190</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1193</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1162</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1213</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1218</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1036</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109" t="s">
        <v>2119</v>
      </c>
      <c r="C1" s="1855" t="s">
        <v>1261</v>
      </c>
      <c r="D1" s="1848"/>
      <c r="E1" s="2046"/>
      <c r="F1" s="1850"/>
      <c r="G1" s="1851" t="s">
        <v>1264</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1265</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1267</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1268</v>
      </c>
      <c r="B3" s="1864">
        <f ca="1">IF(E2="——",C49,ROUND(B2*10000/D3,0))</f>
        <v>0</v>
      </c>
      <c r="C3" s="1865" t="s">
        <v>1269</v>
      </c>
      <c r="D3" s="2120">
        <f>IF(D1="",'数据-汇总表'!E3,SUMIF('数据-汇总表'!$C19:$C33,D1,'数据-汇总表'!$E19:$E33))</f>
        <v>32267.62</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1271</v>
      </c>
      <c r="B4" s="1763"/>
      <c r="C4" s="1385" t="s">
        <v>1272</v>
      </c>
      <c r="D4" s="1386"/>
      <c r="E4" s="1387" t="s">
        <v>1273</v>
      </c>
      <c r="F4" s="1388"/>
      <c r="G4" s="1385" t="s">
        <v>1274</v>
      </c>
      <c r="H4" s="1386"/>
      <c r="I4" s="1385" t="s">
        <v>1275</v>
      </c>
      <c r="J4" s="1386"/>
      <c r="K4" s="212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399" t="s">
        <v>1274</v>
      </c>
      <c r="AC4" s="1399" t="s">
        <v>1275</v>
      </c>
    </row>
    <row r="5" ht="15" spans="1:29">
      <c r="A5" s="1765"/>
      <c r="B5" s="1766"/>
      <c r="C5" s="1402" t="s">
        <v>1358</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1282</v>
      </c>
      <c r="D6" s="1770"/>
      <c r="E6" s="1771" t="s">
        <v>1282</v>
      </c>
      <c r="F6" s="1772"/>
      <c r="G6" s="1769" t="s">
        <v>1282</v>
      </c>
      <c r="H6" s="1770"/>
      <c r="I6" s="1769" t="s">
        <v>1282</v>
      </c>
      <c r="J6" s="1770"/>
      <c r="K6" s="2125" t="s">
        <v>1286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1287</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19" si="3">D8/F8</f>
        <v>1</v>
      </c>
      <c r="AB8" s="1443">
        <f t="shared" ref="AB8:AB19" si="4">D8/H8</f>
        <v>1</v>
      </c>
      <c r="AC8" s="1443">
        <f t="shared" ref="AC8:AC19" si="5">D8/J8</f>
        <v>1</v>
      </c>
    </row>
    <row r="9" s="1352" customFormat="1" spans="1:29">
      <c r="A9" s="1896" t="s">
        <v>1293</v>
      </c>
      <c r="B9" s="1447" t="s">
        <v>1294</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81" spans="1:29">
      <c r="A15" s="1669" t="s">
        <v>1302</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1304</v>
      </c>
      <c r="Q15" s="1051" t="str">
        <f t="shared" si="6"/>
        <v>居住社区成熟度</v>
      </c>
      <c r="R15" s="2070" t="s">
        <v>1289</v>
      </c>
      <c r="S15" s="2071">
        <f t="shared" si="0"/>
        <v>100</v>
      </c>
      <c r="T15" s="2070" t="s">
        <v>1289</v>
      </c>
      <c r="U15" s="2071">
        <f t="shared" si="1"/>
        <v>100</v>
      </c>
      <c r="V15" s="2070" t="s">
        <v>1289</v>
      </c>
      <c r="W15" s="2071">
        <f t="shared" si="2"/>
        <v>100</v>
      </c>
      <c r="X15" s="1396"/>
      <c r="Y15" s="1490" t="s">
        <v>1304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1289</v>
      </c>
      <c r="S25" s="2071">
        <f t="shared" ref="S25:S46" si="12">F25</f>
        <v>100</v>
      </c>
      <c r="T25" s="2070" t="s">
        <v>1289</v>
      </c>
      <c r="U25" s="2071">
        <f t="shared" ref="U25:U46" si="13">H25</f>
        <v>100</v>
      </c>
      <c r="V25" s="2070" t="s">
        <v>1289</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1312</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1289</v>
      </c>
      <c r="S26" s="2071">
        <f t="shared" si="12"/>
        <v>100</v>
      </c>
      <c r="T26" s="2070" t="s">
        <v>1289</v>
      </c>
      <c r="U26" s="2071">
        <f t="shared" si="13"/>
        <v>100</v>
      </c>
      <c r="V26" s="2070" t="s">
        <v>1289</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1289</v>
      </c>
      <c r="S27" s="2058">
        <f t="shared" si="12"/>
        <v>100</v>
      </c>
      <c r="T27" s="2057" t="s">
        <v>1289</v>
      </c>
      <c r="U27" s="2058">
        <f t="shared" si="13"/>
        <v>100</v>
      </c>
      <c r="V27" s="2057" t="s">
        <v>1289</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1289</v>
      </c>
      <c r="S28" s="2071">
        <f t="shared" si="12"/>
        <v>100</v>
      </c>
      <c r="T28" s="2070" t="s">
        <v>1289</v>
      </c>
      <c r="U28" s="2071">
        <f t="shared" si="13"/>
        <v>100</v>
      </c>
      <c r="V28" s="2070" t="s">
        <v>1289</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8"/>
        <v>111</v>
      </c>
      <c r="AA31" s="1491">
        <f t="shared" si="15"/>
        <v>1</v>
      </c>
      <c r="AB31" s="1491">
        <f t="shared" si="16"/>
        <v>1</v>
      </c>
      <c r="AC31" s="1491">
        <f t="shared" si="17"/>
        <v>1</v>
      </c>
    </row>
    <row r="32" ht="15" spans="1:29">
      <c r="A32" s="1669" t="s">
        <v>1313</v>
      </c>
      <c r="B32" s="1447" t="s">
        <v>1314</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1315</v>
      </c>
      <c r="Q32" s="1051" t="str">
        <f t="shared" si="11"/>
        <v>建筑类型</v>
      </c>
      <c r="R32" s="2070" t="s">
        <v>1289</v>
      </c>
      <c r="S32" s="2071">
        <f t="shared" si="12"/>
        <v>100</v>
      </c>
      <c r="T32" s="2070" t="s">
        <v>1289</v>
      </c>
      <c r="U32" s="2071">
        <f t="shared" si="13"/>
        <v>100</v>
      </c>
      <c r="V32" s="2070" t="s">
        <v>1289</v>
      </c>
      <c r="W32" s="2071">
        <f t="shared" si="14"/>
        <v>100</v>
      </c>
      <c r="X32" s="1396"/>
      <c r="Y32" s="1526" t="s">
        <v>1315</v>
      </c>
      <c r="Z32" s="1491" t="str">
        <f t="shared" si="18"/>
        <v>建筑类型</v>
      </c>
      <c r="AA32" s="1491">
        <f t="shared" si="15"/>
        <v>1</v>
      </c>
      <c r="AB32" s="1491">
        <f t="shared" si="16"/>
        <v>1</v>
      </c>
      <c r="AC32" s="1491">
        <f t="shared" si="17"/>
        <v>1</v>
      </c>
    </row>
    <row r="33" s="1354" customFormat="1" ht="15" spans="1:29">
      <c r="A33" s="1745"/>
      <c r="B33" s="1453" t="s">
        <v>1316</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1317</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1289</v>
      </c>
      <c r="S35" s="2071">
        <f t="shared" si="12"/>
        <v>100</v>
      </c>
      <c r="T35" s="2070" t="s">
        <v>1289</v>
      </c>
      <c r="U35" s="2071">
        <f t="shared" si="13"/>
        <v>100</v>
      </c>
      <c r="V35" s="2070" t="s">
        <v>1289</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1318</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1289</v>
      </c>
      <c r="S37" s="2058" t="e">
        <f t="shared" si="12"/>
        <v>#N/A</v>
      </c>
      <c r="T37" s="2057" t="s">
        <v>1289</v>
      </c>
      <c r="U37" s="2058" t="e">
        <f t="shared" si="13"/>
        <v>#N/A</v>
      </c>
      <c r="V37" s="2057" t="s">
        <v>1289</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1320</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1315</v>
      </c>
      <c r="Q38" s="1051" t="str">
        <f t="shared" si="11"/>
        <v>物业管理</v>
      </c>
      <c r="R38" s="2070" t="s">
        <v>1289</v>
      </c>
      <c r="S38" s="2071">
        <f t="shared" si="12"/>
        <v>100</v>
      </c>
      <c r="T38" s="2070" t="s">
        <v>1289</v>
      </c>
      <c r="U38" s="2071">
        <f t="shared" si="13"/>
        <v>100</v>
      </c>
      <c r="V38" s="2070" t="s">
        <v>1289</v>
      </c>
      <c r="W38" s="2071">
        <f t="shared" si="14"/>
        <v>100</v>
      </c>
      <c r="X38" s="1396"/>
      <c r="Y38" s="1526" t="s">
        <v>1315</v>
      </c>
      <c r="Z38" s="1491" t="str">
        <f t="shared" si="18"/>
        <v>物业管理</v>
      </c>
      <c r="AA38" s="1491">
        <f t="shared" si="15"/>
        <v>1</v>
      </c>
      <c r="AB38" s="1491">
        <f t="shared" si="16"/>
        <v>1</v>
      </c>
      <c r="AC38" s="1491">
        <f t="shared" si="17"/>
        <v>1</v>
      </c>
    </row>
    <row r="39" ht="15" spans="1:29">
      <c r="A39" s="1754"/>
      <c r="B39" s="1453" t="s">
        <v>1321</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1289</v>
      </c>
      <c r="S39" s="2071">
        <f t="shared" si="12"/>
        <v>100</v>
      </c>
      <c r="T39" s="2070" t="s">
        <v>1289</v>
      </c>
      <c r="U39" s="2071">
        <f t="shared" si="13"/>
        <v>100</v>
      </c>
      <c r="V39" s="2070" t="s">
        <v>1289</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1289</v>
      </c>
      <c r="S40" s="2071">
        <f t="shared" si="12"/>
        <v>100</v>
      </c>
      <c r="T40" s="2070" t="s">
        <v>1289</v>
      </c>
      <c r="U40" s="2071">
        <f t="shared" si="13"/>
        <v>100</v>
      </c>
      <c r="V40" s="2070" t="s">
        <v>1289</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1289</v>
      </c>
      <c r="S41" s="2088">
        <f t="shared" si="12"/>
        <v>100</v>
      </c>
      <c r="T41" s="2087" t="s">
        <v>1289</v>
      </c>
      <c r="U41" s="2088">
        <f t="shared" si="13"/>
        <v>100</v>
      </c>
      <c r="V41" s="2087" t="s">
        <v>1289</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1324</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1325</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8"/>
        <v>111</v>
      </c>
      <c r="AA46" s="1491">
        <f t="shared" si="15"/>
        <v>1</v>
      </c>
      <c r="AB46" s="1491">
        <f t="shared" si="16"/>
        <v>1</v>
      </c>
      <c r="AC46" s="1491">
        <f t="shared" si="17"/>
        <v>1</v>
      </c>
    </row>
    <row r="47" ht="15" spans="1:29">
      <c r="A47" s="1552" t="s">
        <v>1326</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1333</v>
      </c>
      <c r="B57" s="1564"/>
      <c r="C57" s="1634"/>
      <c r="D57" s="1634"/>
      <c r="E57" s="1634"/>
      <c r="F57" s="1635"/>
      <c r="G57" s="1635"/>
      <c r="H57" s="1634"/>
      <c r="I57" s="1634"/>
      <c r="J57" s="1634"/>
      <c r="K57" s="2029"/>
      <c r="L57" s="1826"/>
      <c r="M57" s="1638"/>
      <c r="N57" s="1638"/>
      <c r="O57" s="1638"/>
      <c r="P57" s="2151"/>
      <c r="Q57" s="2152"/>
    </row>
    <row r="58" s="1357" customFormat="1" ht="15" spans="1:29">
      <c r="A58" s="1974" t="s">
        <v>1287</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1334</v>
      </c>
      <c r="B60" s="1653"/>
      <c r="C60" s="1654"/>
      <c r="D60" s="1655"/>
      <c r="E60" s="1655"/>
      <c r="F60" s="1655"/>
      <c r="G60" s="1655"/>
      <c r="H60" s="1655"/>
      <c r="I60" s="1655"/>
      <c r="J60" s="1655"/>
      <c r="K60" s="1655"/>
      <c r="L60" s="1655"/>
      <c r="M60" s="1656"/>
      <c r="N60" s="1655"/>
      <c r="O60" s="1656"/>
      <c r="P60" s="2156"/>
      <c r="Q60" s="2152"/>
    </row>
    <row r="61" s="1352" customFormat="1" ht="15" spans="1:29">
      <c r="A61" s="1658" t="s">
        <v>1290</v>
      </c>
      <c r="B61" s="1659"/>
      <c r="C61" s="1660" t="s">
        <v>1335</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1336</v>
      </c>
      <c r="B63" s="1670" t="s">
        <v>1294</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1297</v>
      </c>
      <c r="C65" s="1734"/>
      <c r="D65" s="1734"/>
      <c r="E65" s="1734"/>
      <c r="F65" s="1734"/>
      <c r="G65" s="1734"/>
      <c r="H65" s="1734"/>
      <c r="I65" s="1734"/>
      <c r="J65" s="1734"/>
      <c r="K65" s="1734"/>
      <c r="L65" s="1734"/>
      <c r="M65" s="1734"/>
      <c r="N65" s="2161"/>
      <c r="O65" s="2161"/>
      <c r="P65" s="2160"/>
      <c r="Q65" s="2152"/>
    </row>
    <row r="66" ht="15.75" spans="1:17">
      <c r="A66" s="1676"/>
      <c r="B66" s="1686" t="s">
        <v>1344</v>
      </c>
      <c r="C66" s="1678"/>
      <c r="D66" s="1678"/>
      <c r="E66" s="1678"/>
      <c r="F66" s="1678"/>
      <c r="G66" s="1678"/>
      <c r="H66" s="1678"/>
      <c r="I66" s="1678"/>
      <c r="J66" s="1678"/>
      <c r="K66" s="1678"/>
      <c r="L66" s="1678"/>
      <c r="M66" s="1679"/>
      <c r="N66" s="2161"/>
      <c r="O66" s="2161"/>
      <c r="P66" s="2160"/>
      <c r="Q66" s="2152"/>
    </row>
    <row r="67" ht="15.75" spans="1:17">
      <c r="A67" s="1676"/>
      <c r="B67" s="1689" t="s">
        <v>1301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1302</v>
      </c>
      <c r="B76" s="1670" t="s">
        <v>2123</v>
      </c>
      <c r="C76" s="1718" t="s">
        <v>1345</v>
      </c>
      <c r="D76" s="1718" t="s">
        <v>1346</v>
      </c>
      <c r="E76" s="1718" t="s">
        <v>1347</v>
      </c>
      <c r="F76" s="1718" t="s">
        <v>1348</v>
      </c>
      <c r="G76" s="1718" t="s">
        <v>1349</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1306</v>
      </c>
      <c r="C78" s="1723" t="s">
        <v>1345</v>
      </c>
      <c r="D78" s="1723" t="s">
        <v>1346</v>
      </c>
      <c r="E78" s="1723" t="s">
        <v>1347</v>
      </c>
      <c r="F78" s="1723" t="s">
        <v>1348</v>
      </c>
      <c r="G78" s="1723" t="s">
        <v>1349</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1307</v>
      </c>
      <c r="C80" s="1723" t="s">
        <v>1345</v>
      </c>
      <c r="D80" s="1723" t="s">
        <v>1346</v>
      </c>
      <c r="E80" s="1723" t="s">
        <v>1347</v>
      </c>
      <c r="F80" s="1723" t="s">
        <v>1348</v>
      </c>
      <c r="G80" s="1723" t="s">
        <v>1349</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1308</v>
      </c>
      <c r="C82" s="1682" t="s">
        <v>1350</v>
      </c>
      <c r="D82" s="1682" t="s">
        <v>1351</v>
      </c>
      <c r="E82" s="1682" t="s">
        <v>1352</v>
      </c>
      <c r="F82" s="1682" t="s">
        <v>1353</v>
      </c>
      <c r="G82" s="1682" t="s">
        <v>1354</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1345</v>
      </c>
      <c r="D84" s="1723" t="s">
        <v>1346</v>
      </c>
      <c r="E84" s="1723" t="s">
        <v>1347</v>
      </c>
      <c r="F84" s="1723" t="s">
        <v>1348</v>
      </c>
      <c r="G84" s="1723" t="s">
        <v>1349</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1312</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1313</v>
      </c>
      <c r="B100" s="1670" t="s">
        <v>1314</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1317</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1318</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1320</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1321</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1324</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1325</v>
      </c>
      <c r="C124" s="1723" t="s">
        <v>1345</v>
      </c>
      <c r="D124" s="1723" t="s">
        <v>1346</v>
      </c>
      <c r="E124" s="1723" t="s">
        <v>1347</v>
      </c>
      <c r="F124" s="1723" t="s">
        <v>1348</v>
      </c>
      <c r="G124" s="1723" t="s">
        <v>1349</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045" t="s">
        <v>2149</v>
      </c>
      <c r="C1" s="1855" t="s">
        <v>1261</v>
      </c>
      <c r="D1" s="1848"/>
      <c r="E1" s="2046"/>
      <c r="F1" s="1850"/>
      <c r="G1" s="1851" t="s">
        <v>1264</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1265</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1268</v>
      </c>
      <c r="B3" s="1864">
        <f ca="1">IF(E2="——",C49,ROUND(B2*10000/D3,0))</f>
        <v>0</v>
      </c>
      <c r="C3" s="1865" t="s">
        <v>1269</v>
      </c>
      <c r="D3" s="1864">
        <f>IF(D1="",'数据-汇总表'!E3,SUMIF('数据-汇总表'!$C19:$C33,D1,'数据-汇总表'!$E19:$E33))</f>
        <v>32267.62</v>
      </c>
      <c r="E3" s="1866" t="s">
        <v>1270</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1271</v>
      </c>
      <c r="B4" s="1763"/>
      <c r="C4" s="1385" t="s">
        <v>1272</v>
      </c>
      <c r="D4" s="1386"/>
      <c r="E4" s="1387" t="s">
        <v>1273</v>
      </c>
      <c r="F4" s="1388"/>
      <c r="G4" s="1385" t="s">
        <v>1274</v>
      </c>
      <c r="H4" s="1386"/>
      <c r="I4" s="1385" t="s">
        <v>1275</v>
      </c>
      <c r="J4" s="1386"/>
      <c r="K4" s="176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491" t="s">
        <v>1274</v>
      </c>
      <c r="AC4" s="1399" t="s">
        <v>1275</v>
      </c>
    </row>
    <row r="5" ht="15" spans="1:29">
      <c r="A5" s="1765"/>
      <c r="B5" s="1766"/>
      <c r="C5" s="1402" t="s">
        <v>1358</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1282</v>
      </c>
      <c r="D6" s="1770"/>
      <c r="E6" s="1771" t="s">
        <v>1282</v>
      </c>
      <c r="F6" s="1772"/>
      <c r="G6" s="1769" t="s">
        <v>1282</v>
      </c>
      <c r="H6" s="1770"/>
      <c r="I6" s="1769" t="s">
        <v>1282</v>
      </c>
      <c r="J6" s="1770"/>
      <c r="K6" s="1764" t="s">
        <v>1286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1287</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46" si="3">D8/F8</f>
        <v>1</v>
      </c>
      <c r="AB8" s="1443">
        <f t="shared" ref="AB8:AB46" si="4">D8/H8</f>
        <v>1</v>
      </c>
      <c r="AC8" s="1443">
        <f t="shared" ref="AC8:AC46" si="5">D8/J8</f>
        <v>1</v>
      </c>
    </row>
    <row r="9" s="1352" customFormat="1" spans="1:29">
      <c r="A9" s="1896" t="s">
        <v>1293</v>
      </c>
      <c r="B9" s="1447" t="s">
        <v>1294</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68.25" spans="1:29">
      <c r="A15" s="1669" t="s">
        <v>1302</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1304</v>
      </c>
      <c r="Q15" s="1051" t="str">
        <f t="shared" si="6"/>
        <v>商业繁华度</v>
      </c>
      <c r="R15" s="2070" t="s">
        <v>1289</v>
      </c>
      <c r="S15" s="2071">
        <f t="shared" si="0"/>
        <v>100</v>
      </c>
      <c r="T15" s="2070" t="s">
        <v>1289</v>
      </c>
      <c r="U15" s="2071">
        <f t="shared" si="1"/>
        <v>100</v>
      </c>
      <c r="V15" s="2070" t="s">
        <v>1289</v>
      </c>
      <c r="W15" s="2071">
        <f t="shared" si="2"/>
        <v>100</v>
      </c>
      <c r="X15" s="1396"/>
      <c r="Y15" s="1490" t="s">
        <v>1304</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1306</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1289</v>
      </c>
      <c r="S25" s="2071">
        <f>F25</f>
        <v>100</v>
      </c>
      <c r="T25" s="2070" t="s">
        <v>1289</v>
      </c>
      <c r="U25" s="2071">
        <f>H25</f>
        <v>100</v>
      </c>
      <c r="V25" s="2070" t="s">
        <v>1289</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1289</v>
      </c>
      <c r="S26" s="2071">
        <f>F26</f>
        <v>100</v>
      </c>
      <c r="T26" s="2070" t="s">
        <v>1289</v>
      </c>
      <c r="U26" s="2071">
        <f>H26</f>
        <v>100</v>
      </c>
      <c r="V26" s="2070" t="s">
        <v>1289</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1289</v>
      </c>
      <c r="S27" s="2058">
        <f>F27</f>
        <v>100</v>
      </c>
      <c r="T27" s="2057" t="s">
        <v>1289</v>
      </c>
      <c r="U27" s="2058">
        <f>H27</f>
        <v>100</v>
      </c>
      <c r="V27" s="2057" t="s">
        <v>1289</v>
      </c>
      <c r="W27" s="2058">
        <f>J27</f>
        <v>100</v>
      </c>
      <c r="X27" s="1440"/>
      <c r="Y27" s="1499"/>
      <c r="Z27" s="1443" t="str">
        <f>Q27</f>
        <v>人流量</v>
      </c>
      <c r="AA27" s="1491">
        <f t="shared" si="3"/>
        <v>1</v>
      </c>
      <c r="AB27" s="1491">
        <f t="shared" si="4"/>
        <v>1</v>
      </c>
      <c r="AC27" s="1491">
        <f t="shared" si="5"/>
        <v>1</v>
      </c>
    </row>
    <row r="28" ht="15" spans="1:29">
      <c r="A28" s="1676"/>
      <c r="B28" s="1453" t="s">
        <v>1311</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1289</v>
      </c>
      <c r="S28" s="2071">
        <f t="shared" ref="S28:S46" si="12">F28</f>
        <v>100</v>
      </c>
      <c r="T28" s="2070" t="s">
        <v>1289</v>
      </c>
      <c r="U28" s="2071">
        <f t="shared" ref="U28:U46" si="13">H28</f>
        <v>100</v>
      </c>
      <c r="V28" s="2070" t="s">
        <v>1289</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1491">
        <f t="shared" si="5"/>
        <v>1</v>
      </c>
    </row>
    <row r="32" ht="15" spans="1:29">
      <c r="A32" s="1669" t="s">
        <v>1313</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1315</v>
      </c>
      <c r="Q32" s="1051" t="str">
        <f t="shared" si="11"/>
        <v>商业类型</v>
      </c>
      <c r="R32" s="2070" t="s">
        <v>1289</v>
      </c>
      <c r="S32" s="2071">
        <f t="shared" si="12"/>
        <v>100</v>
      </c>
      <c r="T32" s="2070" t="s">
        <v>1289</v>
      </c>
      <c r="U32" s="2071">
        <f t="shared" si="13"/>
        <v>100</v>
      </c>
      <c r="V32" s="2070" t="s">
        <v>1289</v>
      </c>
      <c r="W32" s="2071">
        <f t="shared" si="14"/>
        <v>100</v>
      </c>
      <c r="X32" s="1396"/>
      <c r="Y32" s="1526" t="s">
        <v>1315</v>
      </c>
      <c r="Z32" s="1491" t="str">
        <f t="shared" si="15"/>
        <v>商业类型</v>
      </c>
      <c r="AA32" s="1491">
        <f t="shared" si="3"/>
        <v>1</v>
      </c>
      <c r="AB32" s="1491">
        <f t="shared" si="4"/>
        <v>1</v>
      </c>
      <c r="AC32" s="1491">
        <f t="shared" si="5"/>
        <v>1</v>
      </c>
    </row>
    <row r="33" s="1354" customFormat="1" ht="15" spans="1:29">
      <c r="A33" s="1745"/>
      <c r="B33" s="1453" t="s">
        <v>1316</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1317</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5"/>
        <v>建筑结构</v>
      </c>
      <c r="AA34" s="1491">
        <f t="shared" si="3"/>
        <v>1</v>
      </c>
      <c r="AB34" s="1491">
        <f t="shared" si="4"/>
        <v>1</v>
      </c>
      <c r="AC34" s="1491">
        <f t="shared" si="5"/>
        <v>1</v>
      </c>
    </row>
    <row r="35" ht="15" spans="1:29">
      <c r="A35" s="1754"/>
      <c r="B35" s="1453" t="s">
        <v>1318</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1289</v>
      </c>
      <c r="S35" s="2071">
        <f t="shared" si="12"/>
        <v>100</v>
      </c>
      <c r="T35" s="2070" t="s">
        <v>1289</v>
      </c>
      <c r="U35" s="2071">
        <f t="shared" si="13"/>
        <v>100</v>
      </c>
      <c r="V35" s="2070" t="s">
        <v>1289</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1289</v>
      </c>
      <c r="S36" s="2071" t="e">
        <f t="shared" si="12"/>
        <v>#N/A</v>
      </c>
      <c r="T36" s="2070" t="s">
        <v>1289</v>
      </c>
      <c r="U36" s="2071" t="e">
        <f t="shared" si="13"/>
        <v>#N/A</v>
      </c>
      <c r="V36" s="2070" t="s">
        <v>1289</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1321</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1289</v>
      </c>
      <c r="S37" s="2058">
        <f t="shared" si="12"/>
        <v>100</v>
      </c>
      <c r="T37" s="2057" t="s">
        <v>1289</v>
      </c>
      <c r="U37" s="2058">
        <f t="shared" si="13"/>
        <v>100</v>
      </c>
      <c r="V37" s="2057" t="s">
        <v>1289</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1315</v>
      </c>
      <c r="Q38" s="1051" t="str">
        <f t="shared" si="11"/>
        <v>业态</v>
      </c>
      <c r="R38" s="2070" t="s">
        <v>1289</v>
      </c>
      <c r="S38" s="2071">
        <f t="shared" si="12"/>
        <v>100</v>
      </c>
      <c r="T38" s="2070" t="s">
        <v>1289</v>
      </c>
      <c r="U38" s="2071">
        <f t="shared" si="13"/>
        <v>100</v>
      </c>
      <c r="V38" s="2070" t="s">
        <v>1289</v>
      </c>
      <c r="W38" s="2071">
        <f t="shared" si="14"/>
        <v>100</v>
      </c>
      <c r="X38" s="1396"/>
      <c r="Y38" s="1526" t="s">
        <v>1315</v>
      </c>
      <c r="Z38" s="1491" t="str">
        <f t="shared" si="15"/>
        <v>业态</v>
      </c>
      <c r="AA38" s="1491">
        <f t="shared" si="3"/>
        <v>1</v>
      </c>
      <c r="AB38" s="1491">
        <f t="shared" si="4"/>
        <v>1</v>
      </c>
      <c r="AC38" s="1491">
        <f t="shared" si="5"/>
        <v>1</v>
      </c>
    </row>
    <row r="39" ht="15" spans="1:29">
      <c r="A39" s="1754"/>
      <c r="B39" s="1453" t="s">
        <v>1322</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1289</v>
      </c>
      <c r="S39" s="2071">
        <f t="shared" si="12"/>
        <v>100</v>
      </c>
      <c r="T39" s="2070" t="s">
        <v>1289</v>
      </c>
      <c r="U39" s="2071">
        <f t="shared" si="13"/>
        <v>100</v>
      </c>
      <c r="V39" s="2070" t="s">
        <v>1289</v>
      </c>
      <c r="W39" s="2071">
        <f t="shared" si="14"/>
        <v>100</v>
      </c>
      <c r="X39" s="1396"/>
      <c r="Y39" s="1526"/>
      <c r="Z39" s="1491" t="str">
        <f t="shared" si="15"/>
        <v>层高</v>
      </c>
      <c r="AA39" s="1491">
        <f t="shared" si="3"/>
        <v>1</v>
      </c>
      <c r="AB39" s="1491">
        <f t="shared" si="4"/>
        <v>1</v>
      </c>
      <c r="AC39" s="1491">
        <f t="shared" si="5"/>
        <v>1</v>
      </c>
    </row>
    <row r="40" ht="15" spans="1:29">
      <c r="A40" s="1754"/>
      <c r="B40" s="1453" t="s">
        <v>1356</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1289</v>
      </c>
      <c r="S40" s="2071">
        <f t="shared" si="12"/>
        <v>100</v>
      </c>
      <c r="T40" s="2070" t="s">
        <v>1289</v>
      </c>
      <c r="U40" s="2071">
        <f t="shared" si="13"/>
        <v>100</v>
      </c>
      <c r="V40" s="2070" t="s">
        <v>1289</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1289</v>
      </c>
      <c r="S41" s="2088">
        <f t="shared" si="12"/>
        <v>100</v>
      </c>
      <c r="T41" s="2087" t="s">
        <v>1289</v>
      </c>
      <c r="U41" s="2088">
        <f t="shared" si="13"/>
        <v>100</v>
      </c>
      <c r="V41" s="2087" t="s">
        <v>1289</v>
      </c>
      <c r="W41" s="2088">
        <f t="shared" si="14"/>
        <v>100</v>
      </c>
      <c r="X41" s="1537"/>
      <c r="Y41" s="1526"/>
      <c r="Z41" s="1538" t="str">
        <f t="shared" si="15"/>
        <v>进深比</v>
      </c>
      <c r="AA41" s="1491">
        <f t="shared" si="3"/>
        <v>1</v>
      </c>
      <c r="AB41" s="1491">
        <f t="shared" si="4"/>
        <v>1</v>
      </c>
      <c r="AC41" s="1491">
        <f t="shared" si="5"/>
        <v>1</v>
      </c>
    </row>
    <row r="42" ht="15" spans="1:29">
      <c r="A42" s="1754"/>
      <c r="B42" s="1453" t="s">
        <v>1324</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5"/>
        <v>内部装修</v>
      </c>
      <c r="AA42" s="1491">
        <f t="shared" si="3"/>
        <v>1</v>
      </c>
      <c r="AB42" s="1491">
        <f t="shared" si="4"/>
        <v>1</v>
      </c>
      <c r="AC42" s="1491">
        <f t="shared" si="5"/>
        <v>1</v>
      </c>
    </row>
    <row r="43" ht="15" spans="1:29">
      <c r="A43" s="1754"/>
      <c r="B43" s="1453" t="s">
        <v>1325</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5"/>
        <v>111</v>
      </c>
      <c r="AA46" s="1491">
        <f t="shared" si="3"/>
        <v>1</v>
      </c>
      <c r="AB46" s="1491">
        <f t="shared" si="4"/>
        <v>1</v>
      </c>
      <c r="AC46" s="1491">
        <f t="shared" si="5"/>
        <v>1</v>
      </c>
    </row>
    <row r="47" ht="15" spans="1:29">
      <c r="A47" s="1552" t="s">
        <v>1326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1333</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1287</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1334</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1290</v>
      </c>
      <c r="B61" s="1659"/>
      <c r="C61" s="1660" t="s">
        <v>1335</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1336</v>
      </c>
      <c r="B63" s="1670" t="s">
        <v>1294</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1297</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1344</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1302</v>
      </c>
      <c r="B76" s="1670" t="s">
        <v>2123</v>
      </c>
      <c r="C76" s="1718" t="s">
        <v>1345</v>
      </c>
      <c r="D76" s="1718" t="s">
        <v>1346</v>
      </c>
      <c r="E76" s="1718" t="s">
        <v>1347</v>
      </c>
      <c r="F76" s="1718" t="s">
        <v>1348</v>
      </c>
      <c r="G76" s="1718" t="s">
        <v>1349</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1306</v>
      </c>
      <c r="C78" s="1723" t="s">
        <v>1345</v>
      </c>
      <c r="D78" s="1723" t="s">
        <v>1346</v>
      </c>
      <c r="E78" s="1723" t="s">
        <v>1347</v>
      </c>
      <c r="F78" s="1723" t="s">
        <v>1348</v>
      </c>
      <c r="G78" s="1723" t="s">
        <v>1349</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1307</v>
      </c>
      <c r="C80" s="1723" t="s">
        <v>1345</v>
      </c>
      <c r="D80" s="1723" t="s">
        <v>1346</v>
      </c>
      <c r="E80" s="1723" t="s">
        <v>1347</v>
      </c>
      <c r="F80" s="1723" t="s">
        <v>1348</v>
      </c>
      <c r="G80" s="1723" t="s">
        <v>1349</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1308</v>
      </c>
      <c r="C82" s="1499" t="s">
        <v>1350</v>
      </c>
      <c r="D82" s="1499" t="s">
        <v>1351</v>
      </c>
      <c r="E82" s="1499" t="s">
        <v>1352</v>
      </c>
      <c r="F82" s="1499" t="s">
        <v>1353</v>
      </c>
      <c r="G82" s="1499" t="s">
        <v>1354</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1345</v>
      </c>
      <c r="D84" s="1723" t="s">
        <v>1346</v>
      </c>
      <c r="E84" s="1723" t="s">
        <v>1347</v>
      </c>
      <c r="F84" s="1723" t="s">
        <v>1348</v>
      </c>
      <c r="G84" s="1723" t="s">
        <v>1349</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1313</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1317</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1318</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1321</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1322</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1356</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1324</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1325</v>
      </c>
      <c r="C124" s="1723" t="s">
        <v>1345</v>
      </c>
      <c r="D124" s="1723" t="s">
        <v>1346</v>
      </c>
      <c r="E124" s="1723" t="s">
        <v>1347</v>
      </c>
      <c r="F124" s="1723" t="s">
        <v>1348</v>
      </c>
      <c r="G124" s="1723" t="s">
        <v>1349</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1261</v>
      </c>
      <c r="D1" s="1848"/>
      <c r="E1" s="1849"/>
      <c r="F1" s="1850"/>
      <c r="G1" s="1989" t="s">
        <v>1264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1268</v>
      </c>
      <c r="B3" s="1864" t="e">
        <f ca="1">IF(AND(E2="——",B37="元/平方米"),C39,ROUND(B2*10000/D3,0))</f>
        <v>#DIV/0!</v>
      </c>
      <c r="C3" s="1865" t="s">
        <v>1269</v>
      </c>
      <c r="D3" s="1864">
        <f>SUMIF('数据-汇总表'!$C19:$C33,D1,'数据-汇总表'!$E19:$E33)</f>
        <v>0</v>
      </c>
      <c r="E3" s="1865" t="s">
        <v>2159</v>
      </c>
      <c r="F3" s="1377">
        <f>SUMIF('数据-取费表'!A5:A15,D1,'数据-取费表'!AH5:AH15)</f>
        <v>0</v>
      </c>
      <c r="G3" s="1866" t="s">
        <v>1270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6" si="3">D8/F8</f>
        <v>1</v>
      </c>
      <c r="AB8" s="1443">
        <f t="shared" ref="AB8:AB36" si="4">D8/H8</f>
        <v>1</v>
      </c>
      <c r="AC8" s="1443">
        <f t="shared" ref="AC8:AC36" si="5">D8/J8</f>
        <v>1</v>
      </c>
    </row>
    <row r="9" s="1352" customFormat="1" spans="1:29">
      <c r="A9" s="1996" t="s">
        <v>1293</v>
      </c>
      <c r="B9" s="1997" t="s">
        <v>1294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99"/>
      <c r="B10" s="2000" t="s">
        <v>1297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762" t="s">
        <v>1302</v>
      </c>
      <c r="B14" s="2006" t="s">
        <v>1306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2015" t="s">
        <v>1313</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1315</v>
      </c>
      <c r="Q26" s="1607" t="str">
        <f t="shared" si="11"/>
        <v>配套类型</v>
      </c>
      <c r="R26" s="1924" t="s">
        <v>1289</v>
      </c>
      <c r="S26" s="1925">
        <f t="shared" ref="S26:S36" si="12">F26</f>
        <v>0</v>
      </c>
      <c r="T26" s="1924" t="s">
        <v>1289</v>
      </c>
      <c r="U26" s="1925">
        <f t="shared" ref="U26:U36" si="13">H26</f>
        <v>0</v>
      </c>
      <c r="V26" s="1924" t="s">
        <v>1289</v>
      </c>
      <c r="W26" s="1925">
        <f t="shared" ref="W26:W36" si="14">J26</f>
        <v>0</v>
      </c>
      <c r="X26" s="1396"/>
      <c r="Y26" s="1526" t="s">
        <v>1315</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1289</v>
      </c>
      <c r="S27" s="1958">
        <f t="shared" si="12"/>
        <v>100</v>
      </c>
      <c r="T27" s="1957" t="s">
        <v>1289</v>
      </c>
      <c r="U27" s="1958">
        <f t="shared" si="13"/>
        <v>100</v>
      </c>
      <c r="V27" s="1957" t="s">
        <v>1289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1289</v>
      </c>
      <c r="S28" s="1925">
        <f t="shared" si="12"/>
        <v>100</v>
      </c>
      <c r="T28" s="1924" t="s">
        <v>1289</v>
      </c>
      <c r="U28" s="1925">
        <f t="shared" si="13"/>
        <v>100</v>
      </c>
      <c r="V28" s="1924" t="s">
        <v>1289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1289</v>
      </c>
      <c r="S29" s="1925" t="e">
        <f t="shared" si="12"/>
        <v>#N/A</v>
      </c>
      <c r="T29" s="1924" t="s">
        <v>1289</v>
      </c>
      <c r="U29" s="1925" t="e">
        <f t="shared" si="13"/>
        <v>#N/A</v>
      </c>
      <c r="V29" s="1924" t="s">
        <v>1289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1289</v>
      </c>
      <c r="S30" s="1925">
        <f t="shared" si="12"/>
        <v>100</v>
      </c>
      <c r="T30" s="1924" t="s">
        <v>1289</v>
      </c>
      <c r="U30" s="1925">
        <f t="shared" si="13"/>
        <v>100</v>
      </c>
      <c r="V30" s="1924" t="s">
        <v>1289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1289</v>
      </c>
      <c r="S31" s="1442" t="e">
        <f t="shared" si="12"/>
        <v>#N/A</v>
      </c>
      <c r="T31" s="1894" t="s">
        <v>1289</v>
      </c>
      <c r="U31" s="1442" t="e">
        <f t="shared" si="13"/>
        <v>#N/A</v>
      </c>
      <c r="V31" s="1894" t="s">
        <v>1289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1315</v>
      </c>
      <c r="Q32" s="1607" t="str">
        <f t="shared" si="11"/>
        <v>车位类型</v>
      </c>
      <c r="R32" s="1924" t="s">
        <v>1289</v>
      </c>
      <c r="S32" s="1925">
        <f t="shared" si="12"/>
        <v>100</v>
      </c>
      <c r="T32" s="1924" t="s">
        <v>1289</v>
      </c>
      <c r="U32" s="1925">
        <f t="shared" si="13"/>
        <v>100</v>
      </c>
      <c r="V32" s="1924" t="s">
        <v>1289</v>
      </c>
      <c r="W32" s="1925">
        <f t="shared" si="14"/>
        <v>100</v>
      </c>
      <c r="X32" s="1396"/>
      <c r="Y32" s="1526" t="s">
        <v>1315</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1289</v>
      </c>
      <c r="S33" s="1925">
        <f t="shared" si="12"/>
        <v>100</v>
      </c>
      <c r="T33" s="1924" t="s">
        <v>1289</v>
      </c>
      <c r="U33" s="1925">
        <f t="shared" si="13"/>
        <v>100</v>
      </c>
      <c r="V33" s="1924" t="s">
        <v>1289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1289</v>
      </c>
      <c r="S35" s="1958">
        <f t="shared" si="12"/>
        <v>100</v>
      </c>
      <c r="T35" s="1957" t="s">
        <v>1289</v>
      </c>
      <c r="U35" s="1958">
        <f t="shared" si="13"/>
        <v>100</v>
      </c>
      <c r="V35" s="1957" t="s">
        <v>1289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1289</v>
      </c>
      <c r="S36" s="1925">
        <f t="shared" si="12"/>
        <v>100</v>
      </c>
      <c r="T36" s="1924" t="s">
        <v>1289</v>
      </c>
      <c r="U36" s="1925">
        <f t="shared" si="13"/>
        <v>100</v>
      </c>
      <c r="V36" s="1924" t="s">
        <v>1289</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1327</v>
      </c>
      <c r="B38" s="1969" t="str">
        <f>B37</f>
        <v>元/平方米</v>
      </c>
      <c r="C38" s="1571" t="e">
        <f>R39</f>
        <v>#DIV/0!</v>
      </c>
      <c r="D38" s="1799" t="s">
        <v>1328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1330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1287</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1290</v>
      </c>
      <c r="B51" s="1659"/>
      <c r="C51" s="1660" t="s">
        <v>1335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1336</v>
      </c>
      <c r="B53" s="1670" t="s">
        <v>1294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1302</v>
      </c>
      <c r="B63" s="1670" t="s">
        <v>1306</v>
      </c>
      <c r="C63" s="1718" t="s">
        <v>1345</v>
      </c>
      <c r="D63" s="1718" t="s">
        <v>1346</v>
      </c>
      <c r="E63" s="1718" t="s">
        <v>1347</v>
      </c>
      <c r="F63" s="1718" t="s">
        <v>1348</v>
      </c>
      <c r="G63" s="1718" t="s">
        <v>1349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1307</v>
      </c>
      <c r="C65" s="1723" t="s">
        <v>1345</v>
      </c>
      <c r="D65" s="1723" t="s">
        <v>1346</v>
      </c>
      <c r="E65" s="1723" t="s">
        <v>1347</v>
      </c>
      <c r="F65" s="1723" t="s">
        <v>1348</v>
      </c>
      <c r="G65" s="1723" t="s">
        <v>1349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1308</v>
      </c>
      <c r="C67" s="1499" t="s">
        <v>1350</v>
      </c>
      <c r="D67" s="1499" t="s">
        <v>1351</v>
      </c>
      <c r="E67" s="1499" t="s">
        <v>1352</v>
      </c>
      <c r="F67" s="1499" t="s">
        <v>1353</v>
      </c>
      <c r="G67" s="1499" t="s">
        <v>1354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1345</v>
      </c>
      <c r="D69" s="1723" t="s">
        <v>1346</v>
      </c>
      <c r="E69" s="1723" t="s">
        <v>1347</v>
      </c>
      <c r="F69" s="1723" t="s">
        <v>1348</v>
      </c>
      <c r="G69" s="1723" t="s">
        <v>1349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1313</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1261</v>
      </c>
      <c r="D1" s="1848"/>
      <c r="E1" s="1849"/>
      <c r="F1" s="1850"/>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IF(E2="——",C37,ROUND(B2*10000/D3,0))</f>
        <v>#DIV/0!</v>
      </c>
      <c r="C3" s="1865" t="s">
        <v>1269</v>
      </c>
      <c r="D3" s="1864">
        <f>SUMIF('数据-汇总表'!$C19:$C33,D1,'数据-汇总表'!$E19:$E33)</f>
        <v>0</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4" si="3">D8/F8</f>
        <v>1</v>
      </c>
      <c r="AB8" s="1443">
        <f t="shared" ref="AB8:AB34" si="4">D8/H8</f>
        <v>1</v>
      </c>
      <c r="AC8" s="1443">
        <f t="shared" ref="AC8:AC34" si="5">D8/J8</f>
        <v>1</v>
      </c>
    </row>
    <row r="9" s="1352" customFormat="1" spans="1:29">
      <c r="A9" s="1896" t="s">
        <v>1293</v>
      </c>
      <c r="B9" s="1897" t="s">
        <v>1294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02"/>
      <c r="B10" s="1903" t="s">
        <v>1297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669" t="s">
        <v>1302</v>
      </c>
      <c r="B14" s="1916" t="s">
        <v>1306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1949" t="s">
        <v>1313</v>
      </c>
      <c r="B26" s="1897" t="s">
        <v>1318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1315</v>
      </c>
      <c r="Q26" s="1607" t="str">
        <f t="shared" si="11"/>
        <v>公共部分装修</v>
      </c>
      <c r="R26" s="1924" t="s">
        <v>1289</v>
      </c>
      <c r="S26" s="1925">
        <f t="shared" ref="S26:S34" si="12">F26</f>
        <v>100</v>
      </c>
      <c r="T26" s="1924" t="s">
        <v>1289</v>
      </c>
      <c r="U26" s="1925">
        <f t="shared" ref="U26:U34" si="13">H26</f>
        <v>100</v>
      </c>
      <c r="V26" s="1924" t="s">
        <v>1289</v>
      </c>
      <c r="W26" s="1925">
        <f t="shared" ref="W26:W34" si="14">J26</f>
        <v>100</v>
      </c>
      <c r="X26" s="1396"/>
      <c r="Y26" s="1526" t="s">
        <v>1315</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1289</v>
      </c>
      <c r="S27" s="1958" t="e">
        <f t="shared" si="12"/>
        <v>#N/A</v>
      </c>
      <c r="T27" s="1957" t="s">
        <v>1289</v>
      </c>
      <c r="U27" s="1958" t="e">
        <f t="shared" si="13"/>
        <v>#N/A</v>
      </c>
      <c r="V27" s="1957" t="s">
        <v>1289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1289</v>
      </c>
      <c r="S28" s="1925">
        <f t="shared" si="12"/>
        <v>100</v>
      </c>
      <c r="T28" s="1924" t="s">
        <v>1289</v>
      </c>
      <c r="U28" s="1925">
        <f t="shared" si="13"/>
        <v>100</v>
      </c>
      <c r="V28" s="1924" t="s">
        <v>1289</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1289</v>
      </c>
      <c r="S29" s="1925">
        <f t="shared" si="12"/>
        <v>100</v>
      </c>
      <c r="T29" s="1924" t="s">
        <v>1289</v>
      </c>
      <c r="U29" s="1925">
        <f t="shared" si="13"/>
        <v>100</v>
      </c>
      <c r="V29" s="1924" t="s">
        <v>1289</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1289</v>
      </c>
      <c r="S30" s="1925" t="e">
        <f t="shared" si="12"/>
        <v>#N/A</v>
      </c>
      <c r="T30" s="1924" t="s">
        <v>1289</v>
      </c>
      <c r="U30" s="1925" t="e">
        <f t="shared" si="13"/>
        <v>#N/A</v>
      </c>
      <c r="V30" s="1924" t="s">
        <v>1289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1289</v>
      </c>
      <c r="S31" s="1442">
        <f t="shared" si="12"/>
        <v>100</v>
      </c>
      <c r="T31" s="1894" t="s">
        <v>1289</v>
      </c>
      <c r="U31" s="1442">
        <f t="shared" si="13"/>
        <v>100</v>
      </c>
      <c r="V31" s="1894" t="s">
        <v>1289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1315</v>
      </c>
      <c r="Q32" s="1607">
        <f t="shared" si="11"/>
        <v>111</v>
      </c>
      <c r="R32" s="1924" t="s">
        <v>1289</v>
      </c>
      <c r="S32" s="1925">
        <f t="shared" si="12"/>
        <v>100</v>
      </c>
      <c r="T32" s="1924" t="s">
        <v>1289</v>
      </c>
      <c r="U32" s="1925">
        <f t="shared" si="13"/>
        <v>100</v>
      </c>
      <c r="V32" s="1924" t="s">
        <v>1289</v>
      </c>
      <c r="W32" s="1925">
        <f t="shared" si="14"/>
        <v>100</v>
      </c>
      <c r="X32" s="1396"/>
      <c r="Y32" s="1526" t="s">
        <v>1315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1289</v>
      </c>
      <c r="S33" s="1925">
        <f t="shared" si="12"/>
        <v>100</v>
      </c>
      <c r="T33" s="1924" t="s">
        <v>1289</v>
      </c>
      <c r="U33" s="1925">
        <f t="shared" si="13"/>
        <v>100</v>
      </c>
      <c r="V33" s="1924" t="s">
        <v>1289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ht="15" spans="1:30">
      <c r="A35" s="1552" t="s">
        <v>1326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1327</v>
      </c>
      <c r="B36" s="1969"/>
      <c r="C36" s="1571" t="e">
        <f>R37</f>
        <v>#DIV/0!</v>
      </c>
      <c r="D36" s="1799" t="s">
        <v>1328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1330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1287</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1290</v>
      </c>
      <c r="B49" s="1659"/>
      <c r="C49" s="1660" t="s">
        <v>1335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1336</v>
      </c>
      <c r="B51" s="1670" t="s">
        <v>1294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1302</v>
      </c>
      <c r="B61" s="1670" t="s">
        <v>1306</v>
      </c>
      <c r="C61" s="1718" t="s">
        <v>1345</v>
      </c>
      <c r="D61" s="1718" t="s">
        <v>1346</v>
      </c>
      <c r="E61" s="1718" t="s">
        <v>1347</v>
      </c>
      <c r="F61" s="1718" t="s">
        <v>1348</v>
      </c>
      <c r="G61" s="1718" t="s">
        <v>1349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1345</v>
      </c>
      <c r="D63" s="1723" t="s">
        <v>1346</v>
      </c>
      <c r="E63" s="1723" t="s">
        <v>1347</v>
      </c>
      <c r="F63" s="1723" t="s">
        <v>1348</v>
      </c>
      <c r="G63" s="1723" t="s">
        <v>1349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1308</v>
      </c>
      <c r="C65" s="1499" t="s">
        <v>1350</v>
      </c>
      <c r="D65" s="1499" t="s">
        <v>1351</v>
      </c>
      <c r="E65" s="1499" t="s">
        <v>1352</v>
      </c>
      <c r="F65" s="1499" t="s">
        <v>1353</v>
      </c>
      <c r="G65" s="1499" t="s">
        <v>1354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1345</v>
      </c>
      <c r="D67" s="1723" t="s">
        <v>1346</v>
      </c>
      <c r="E67" s="1723" t="s">
        <v>1347</v>
      </c>
      <c r="F67" s="1723" t="s">
        <v>1348</v>
      </c>
      <c r="G67" s="1723" t="s">
        <v>1349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1313</v>
      </c>
      <c r="B77" s="1670" t="s">
        <v>1318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93618</v>
      </c>
      <c r="E5" s="4735"/>
    </row>
    <row r="6" spans="1:5">
      <c r="A6" s="4735"/>
      <c r="B6" s="4739"/>
      <c r="C6" s="4740" t="s">
        <v>98</v>
      </c>
      <c r="D6" s="4741" t="str">
        <f ca="1">NUMBERSTRING(INT(D5*10000),2)&amp;"元整"</f>
        <v>玖亿叁仟陆佰壹拾捌万元整</v>
      </c>
      <c r="E6" s="4735"/>
    </row>
    <row r="7" ht="15.75" spans="1:5">
      <c r="A7" s="4735"/>
      <c r="B7" s="4742"/>
      <c r="C7" s="4743" t="s">
        <v>99</v>
      </c>
      <c r="D7" s="4744">
        <f ca="1">结果表!H102</f>
        <v>29013</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93618</v>
      </c>
      <c r="E13" s="4735"/>
    </row>
    <row r="14" spans="1:5">
      <c r="A14" s="4735"/>
      <c r="B14" s="4739"/>
      <c r="C14" s="4740" t="s">
        <v>98</v>
      </c>
      <c r="D14" s="4741" t="str">
        <f ca="1">NUMBERSTRING(INT(D13*10000),2)&amp;"元整"</f>
        <v>玖亿叁仟陆佰壹拾捌万元整</v>
      </c>
      <c r="E14" s="4735"/>
    </row>
    <row r="15" ht="15" spans="1:5">
      <c r="A15" s="4735"/>
      <c r="B15" s="4742"/>
      <c r="C15" s="4743" t="s">
        <v>99</v>
      </c>
      <c r="D15" s="4754">
        <f ca="1">结果表!H108</f>
        <v>29013</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1264</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1268</v>
      </c>
      <c r="B3" s="1377" t="e">
        <f>ROUND(IF(D3="",B2*10000/'数据-汇总表'!E3,B2*10000/D3),0)</f>
        <v>#DIV/0!</v>
      </c>
      <c r="C3" s="420" t="s">
        <v>1269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1271</v>
      </c>
      <c r="B6" s="1763"/>
      <c r="C6" s="1385" t="s">
        <v>1272</v>
      </c>
      <c r="D6" s="1386"/>
      <c r="E6" s="1387" t="s">
        <v>1273</v>
      </c>
      <c r="F6" s="1388"/>
      <c r="G6" s="1385" t="s">
        <v>1274</v>
      </c>
      <c r="H6" s="1386"/>
      <c r="I6" s="1385" t="s">
        <v>1275</v>
      </c>
      <c r="J6" s="1386"/>
      <c r="K6" s="1764"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30">
      <c r="A7" s="1765"/>
      <c r="B7" s="1766"/>
      <c r="C7" s="1402" t="s">
        <v>1358</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1282</v>
      </c>
      <c r="D8" s="1770"/>
      <c r="E8" s="1771" t="s">
        <v>1282</v>
      </c>
      <c r="F8" s="1772"/>
      <c r="G8" s="1769" t="s">
        <v>1282</v>
      </c>
      <c r="H8" s="1770"/>
      <c r="I8" s="1769" t="s">
        <v>1282</v>
      </c>
      <c r="J8" s="1770"/>
      <c r="K8" s="1764" t="s">
        <v>1286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1287</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30">
      <c r="A10" s="1425" t="s">
        <v>1290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1292</v>
      </c>
      <c r="Q10" s="1445"/>
      <c r="R10" s="1438" t="s">
        <v>1289</v>
      </c>
      <c r="S10" s="1439">
        <f t="shared" si="0"/>
        <v>100</v>
      </c>
      <c r="T10" s="1438" t="s">
        <v>1289</v>
      </c>
      <c r="U10" s="1439">
        <f t="shared" si="1"/>
        <v>100</v>
      </c>
      <c r="V10" s="1438" t="s">
        <v>1289</v>
      </c>
      <c r="W10" s="1439">
        <f t="shared" si="2"/>
        <v>100</v>
      </c>
      <c r="X10" s="1440"/>
      <c r="Y10" s="1441" t="s">
        <v>1292</v>
      </c>
      <c r="Z10" s="1442"/>
      <c r="AA10" s="1443">
        <f t="shared" ref="AA10:AA47" si="3">D10/F10</f>
        <v>1</v>
      </c>
      <c r="AB10" s="1443">
        <f t="shared" ref="AB10:AB47" si="4">D10/H10</f>
        <v>1</v>
      </c>
      <c r="AC10" s="1443">
        <f t="shared" ref="AC10:AC47" si="5">D10/J10</f>
        <v>1</v>
      </c>
    </row>
    <row r="11" s="1352" customFormat="1" spans="1:30">
      <c r="A11" s="1446" t="s">
        <v>1293</v>
      </c>
      <c r="B11" s="1447" t="s">
        <v>1294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30">
      <c r="A12" s="1452"/>
      <c r="B12" s="1453" t="s">
        <v>1297</v>
      </c>
      <c r="C12" s="1454"/>
      <c r="D12" s="1455">
        <v>100</v>
      </c>
      <c r="E12" s="1774"/>
      <c r="F12" s="1456">
        <f>ROUND(100/'数据-取费表'!G16,1)</f>
        <v>111.1</v>
      </c>
      <c r="G12" s="1775"/>
      <c r="H12" s="1456">
        <f>ROUND(100/'数据-取费表'!G16,1)</f>
        <v>111.1</v>
      </c>
      <c r="I12" s="1775"/>
      <c r="J12" s="1456">
        <f>ROUND(100/'数据-取费表'!G16,1)</f>
        <v>111.1</v>
      </c>
      <c r="K12" s="1776"/>
      <c r="L12" s="1458"/>
      <c r="M12" s="1459"/>
      <c r="N12" s="1459"/>
      <c r="O12" s="1460"/>
      <c r="P12" s="1051"/>
      <c r="Q12" s="1205" t="str">
        <f t="shared" si="6"/>
        <v>土地使用年限（年）</v>
      </c>
      <c r="R12" s="1438" t="s">
        <v>1289</v>
      </c>
      <c r="S12" s="1439">
        <f t="shared" si="0"/>
        <v>111.1</v>
      </c>
      <c r="T12" s="1438" t="s">
        <v>1289</v>
      </c>
      <c r="U12" s="1439">
        <f t="shared" si="1"/>
        <v>111.1</v>
      </c>
      <c r="V12" s="1438" t="s">
        <v>1289</v>
      </c>
      <c r="W12" s="1439">
        <f t="shared" si="2"/>
        <v>111.1</v>
      </c>
      <c r="X12" s="1440"/>
      <c r="Y12" s="1169"/>
      <c r="Z12" s="1443" t="str">
        <f t="shared" si="7"/>
        <v>土地使用年限（年）</v>
      </c>
      <c r="AA12" s="1443">
        <f t="shared" si="3"/>
        <v>0.9000900090009</v>
      </c>
      <c r="AB12" s="1443">
        <f t="shared" si="4"/>
        <v>0.9000900090009</v>
      </c>
      <c r="AC12" s="1443">
        <f t="shared" si="5"/>
        <v>0.9000900090009</v>
      </c>
    </row>
    <row r="13" ht="15" spans="1:30">
      <c r="A13" s="1461"/>
      <c r="B13" s="1453" t="s">
        <v>1301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1289</v>
      </c>
      <c r="S13" s="1439">
        <f t="shared" si="0"/>
        <v>100</v>
      </c>
      <c r="T13" s="1438" t="s">
        <v>1289</v>
      </c>
      <c r="U13" s="1439">
        <f t="shared" si="1"/>
        <v>100</v>
      </c>
      <c r="V13" s="1438" t="s">
        <v>1289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1289</v>
      </c>
      <c r="S14" s="1439">
        <f t="shared" si="0"/>
        <v>100</v>
      </c>
      <c r="T14" s="1438" t="s">
        <v>1289</v>
      </c>
      <c r="U14" s="1439">
        <f t="shared" si="1"/>
        <v>100</v>
      </c>
      <c r="V14" s="1438" t="s">
        <v>1289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81" spans="1:29">
      <c r="A17" s="1481" t="s">
        <v>1302</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1304</v>
      </c>
      <c r="Q17" s="1051" t="str">
        <f t="shared" si="6"/>
        <v>居住社区成熟度</v>
      </c>
      <c r="R17" s="1488" t="s">
        <v>1289</v>
      </c>
      <c r="S17" s="1489">
        <f t="shared" si="0"/>
        <v>100</v>
      </c>
      <c r="T17" s="1488" t="s">
        <v>1289</v>
      </c>
      <c r="U17" s="1489">
        <f t="shared" si="1"/>
        <v>100</v>
      </c>
      <c r="V17" s="1488" t="s">
        <v>1289</v>
      </c>
      <c r="W17" s="1489">
        <f t="shared" si="2"/>
        <v>100</v>
      </c>
      <c r="X17" s="1396"/>
      <c r="Y17" s="1490" t="s">
        <v>1304</v>
      </c>
      <c r="Z17" s="1491" t="str">
        <f t="shared" si="7"/>
        <v>居住社区成熟度</v>
      </c>
      <c r="AA17" s="1491">
        <f t="shared" si="3"/>
        <v>1</v>
      </c>
      <c r="AB17" s="1491">
        <f t="shared" si="4"/>
        <v>1</v>
      </c>
      <c r="AC17" s="1491">
        <f t="shared" si="5"/>
        <v>1</v>
      </c>
    </row>
    <row r="18" ht="15" spans="1:29">
      <c r="A18" s="1461"/>
      <c r="B18" s="1781"/>
      <c r="C18" s="1493" t="s">
        <v>1363</v>
      </c>
      <c r="D18" s="1494"/>
      <c r="E18" s="1507" t="s">
        <v>1305</v>
      </c>
      <c r="F18" s="1496"/>
      <c r="G18" s="1507" t="s">
        <v>1363</v>
      </c>
      <c r="H18" s="1497"/>
      <c r="I18" s="1508" t="s">
        <v>1363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1289</v>
      </c>
      <c r="S19" s="1489">
        <f>F19</f>
        <v>100</v>
      </c>
      <c r="T19" s="1488" t="s">
        <v>1289</v>
      </c>
      <c r="U19" s="1489">
        <f>H19</f>
        <v>100</v>
      </c>
      <c r="V19" s="1488" t="s">
        <v>1289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1289</v>
      </c>
      <c r="S21" s="1489">
        <f>F21</f>
        <v>100</v>
      </c>
      <c r="T21" s="1488" t="s">
        <v>1289</v>
      </c>
      <c r="U21" s="1489">
        <f>H21</f>
        <v>100</v>
      </c>
      <c r="V21" s="1488" t="s">
        <v>1289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1289</v>
      </c>
      <c r="S23" s="1489">
        <f>F23</f>
        <v>100</v>
      </c>
      <c r="T23" s="1488" t="s">
        <v>1289</v>
      </c>
      <c r="U23" s="1489">
        <f>H23</f>
        <v>100</v>
      </c>
      <c r="V23" s="1488" t="s">
        <v>1289</v>
      </c>
      <c r="W23" s="1489">
        <f>J23</f>
        <v>100</v>
      </c>
      <c r="X23" s="1396"/>
      <c r="Y23" s="1499"/>
      <c r="Z23" s="1491" t="str">
        <f>Q23</f>
        <v>交通便捷度</v>
      </c>
      <c r="AA23" s="1491">
        <f t="shared" si="3"/>
        <v>1</v>
      </c>
      <c r="AB23" s="1491">
        <f t="shared" si="4"/>
        <v>1</v>
      </c>
      <c r="AC23" s="1491">
        <f t="shared" si="5"/>
        <v>1</v>
      </c>
    </row>
    <row r="24" ht="15" spans="1:29">
      <c r="A24" s="1461"/>
      <c r="B24" s="1790"/>
      <c r="C24" s="1493" t="s">
        <v>1363</v>
      </c>
      <c r="D24" s="1502"/>
      <c r="E24" s="1507" t="s">
        <v>1305</v>
      </c>
      <c r="F24" s="1496"/>
      <c r="G24" s="1507" t="s">
        <v>1363</v>
      </c>
      <c r="H24" s="1496"/>
      <c r="I24" s="1508" t="s">
        <v>1363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1289</v>
      </c>
      <c r="S25" s="1489">
        <f>F25</f>
        <v>100</v>
      </c>
      <c r="T25" s="1488" t="s">
        <v>1289</v>
      </c>
      <c r="U25" s="1489">
        <f>H25</f>
        <v>100</v>
      </c>
      <c r="V25" s="1488" t="s">
        <v>1289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1289</v>
      </c>
      <c r="S27" s="1489">
        <f>F27</f>
        <v>100</v>
      </c>
      <c r="T27" s="1488" t="s">
        <v>1289</v>
      </c>
      <c r="U27" s="1489">
        <f>H27</f>
        <v>100</v>
      </c>
      <c r="V27" s="1488" t="s">
        <v>1289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1289</v>
      </c>
      <c r="S29" s="1439">
        <f>F29</f>
        <v>100</v>
      </c>
      <c r="T29" s="1438" t="s">
        <v>1289</v>
      </c>
      <c r="U29" s="1439">
        <f>H29</f>
        <v>100</v>
      </c>
      <c r="V29" s="1438" t="s">
        <v>1289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1363</v>
      </c>
      <c r="D30" s="1494"/>
      <c r="E30" s="1495" t="s">
        <v>1305</v>
      </c>
      <c r="F30" s="1496"/>
      <c r="G30" s="1495" t="s">
        <v>1363</v>
      </c>
      <c r="H30" s="1496"/>
      <c r="I30" s="1493" t="s">
        <v>1363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1289</v>
      </c>
      <c r="S31" s="1439">
        <f>F31</f>
        <v>100</v>
      </c>
      <c r="T31" s="1438" t="s">
        <v>1289</v>
      </c>
      <c r="U31" s="1439">
        <f>H31</f>
        <v>100</v>
      </c>
      <c r="V31" s="1438" t="s">
        <v>1289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1289</v>
      </c>
      <c r="S33" s="1489">
        <f t="shared" ref="S33:S47" si="10">F33</f>
        <v>100</v>
      </c>
      <c r="T33" s="1488" t="s">
        <v>1289</v>
      </c>
      <c r="U33" s="1489">
        <f t="shared" ref="U33:U47" si="11">H33</f>
        <v>100</v>
      </c>
      <c r="V33" s="1488" t="s">
        <v>1289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1310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1289</v>
      </c>
      <c r="S34" s="1489">
        <f t="shared" si="10"/>
        <v>100</v>
      </c>
      <c r="T34" s="1488" t="s">
        <v>1289</v>
      </c>
      <c r="U34" s="1489">
        <f t="shared" si="11"/>
        <v>100</v>
      </c>
      <c r="V34" s="1488" t="s">
        <v>1289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1289</v>
      </c>
      <c r="S36" s="1489">
        <f t="shared" si="10"/>
        <v>100</v>
      </c>
      <c r="T36" s="1488" t="s">
        <v>1289</v>
      </c>
      <c r="U36" s="1489">
        <f t="shared" si="11"/>
        <v>100</v>
      </c>
      <c r="V36" s="1488" t="s">
        <v>1289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1289</v>
      </c>
      <c r="S37" s="1489">
        <f t="shared" si="10"/>
        <v>100</v>
      </c>
      <c r="T37" s="1488" t="s">
        <v>1289</v>
      </c>
      <c r="U37" s="1489">
        <f t="shared" si="11"/>
        <v>100</v>
      </c>
      <c r="V37" s="1488" t="s">
        <v>1289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1315</v>
      </c>
      <c r="Q38" s="1051">
        <f t="shared" si="8"/>
        <v>111</v>
      </c>
      <c r="R38" s="1488" t="s">
        <v>1289</v>
      </c>
      <c r="S38" s="1489">
        <f t="shared" si="10"/>
        <v>100</v>
      </c>
      <c r="T38" s="1488" t="s">
        <v>1289</v>
      </c>
      <c r="U38" s="1489">
        <f t="shared" si="11"/>
        <v>100</v>
      </c>
      <c r="V38" s="1488" t="s">
        <v>1289</v>
      </c>
      <c r="W38" s="1489">
        <f t="shared" si="12"/>
        <v>100</v>
      </c>
      <c r="X38" s="1396"/>
      <c r="Y38" s="1526" t="s">
        <v>1315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1289</v>
      </c>
      <c r="S39" s="1536">
        <f t="shared" si="10"/>
        <v>100</v>
      </c>
      <c r="T39" s="1535" t="s">
        <v>1289</v>
      </c>
      <c r="U39" s="1536">
        <f t="shared" si="11"/>
        <v>100</v>
      </c>
      <c r="V39" s="1535" t="s">
        <v>1289</v>
      </c>
      <c r="W39" s="1536">
        <f t="shared" si="12"/>
        <v>100</v>
      </c>
      <c r="X39" s="1537"/>
      <c r="Y39" s="1526"/>
      <c r="Z39" s="1538">
        <f t="shared" si="13"/>
        <v>111</v>
      </c>
      <c r="AA39" s="1491">
        <f t="shared" si="3"/>
        <v>1</v>
      </c>
      <c r="AB39" s="1491">
        <f t="shared" si="4"/>
        <v>1</v>
      </c>
      <c r="AC39" s="1491">
        <f t="shared" si="5"/>
        <v>1</v>
      </c>
    </row>
    <row r="40" ht="15" spans="1:29">
      <c r="A40" s="1544" t="s">
        <v>1313</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1289</v>
      </c>
      <c r="S40" s="1489" t="e">
        <f t="shared" si="10"/>
        <v>#N/A</v>
      </c>
      <c r="T40" s="1488" t="s">
        <v>1289</v>
      </c>
      <c r="U40" s="1489" t="e">
        <f t="shared" si="11"/>
        <v>#N/A</v>
      </c>
      <c r="V40" s="1488" t="s">
        <v>1289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1289</v>
      </c>
      <c r="S41" s="1489">
        <f t="shared" si="10"/>
        <v>100</v>
      </c>
      <c r="T41" s="1488" t="s">
        <v>1289</v>
      </c>
      <c r="U41" s="1489">
        <f t="shared" si="11"/>
        <v>100</v>
      </c>
      <c r="V41" s="1488" t="s">
        <v>1289</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1289</v>
      </c>
      <c r="S42" s="1489">
        <f t="shared" si="10"/>
        <v>100</v>
      </c>
      <c r="T42" s="1488" t="s">
        <v>1289</v>
      </c>
      <c r="U42" s="1489">
        <f t="shared" si="11"/>
        <v>100</v>
      </c>
      <c r="V42" s="1488" t="s">
        <v>1289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1289</v>
      </c>
      <c r="S43" s="1439">
        <f t="shared" si="10"/>
        <v>100</v>
      </c>
      <c r="T43" s="1438" t="s">
        <v>1289</v>
      </c>
      <c r="U43" s="1439">
        <f t="shared" si="11"/>
        <v>100</v>
      </c>
      <c r="V43" s="1438" t="s">
        <v>1289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1315</v>
      </c>
      <c r="Q44" s="1051" t="str">
        <f t="shared" si="14"/>
        <v>工程地质条件</v>
      </c>
      <c r="R44" s="1488" t="s">
        <v>1289</v>
      </c>
      <c r="S44" s="1489">
        <f t="shared" si="10"/>
        <v>100</v>
      </c>
      <c r="T44" s="1488" t="s">
        <v>1289</v>
      </c>
      <c r="U44" s="1489">
        <f t="shared" si="11"/>
        <v>100</v>
      </c>
      <c r="V44" s="1488" t="s">
        <v>1289</v>
      </c>
      <c r="W44" s="1489">
        <f t="shared" si="12"/>
        <v>100</v>
      </c>
      <c r="X44" s="1396"/>
      <c r="Y44" s="1526" t="s">
        <v>1315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1289</v>
      </c>
      <c r="S45" s="1489">
        <f t="shared" si="10"/>
        <v>100</v>
      </c>
      <c r="T45" s="1488" t="s">
        <v>1289</v>
      </c>
      <c r="U45" s="1489">
        <f t="shared" si="11"/>
        <v>100</v>
      </c>
      <c r="V45" s="1488" t="s">
        <v>1289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1289</v>
      </c>
      <c r="S46" s="1489">
        <f t="shared" si="10"/>
        <v>100</v>
      </c>
      <c r="T46" s="1488" t="s">
        <v>1289</v>
      </c>
      <c r="U46" s="1489">
        <f t="shared" si="11"/>
        <v>100</v>
      </c>
      <c r="V46" s="1488" t="s">
        <v>1289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1289</v>
      </c>
      <c r="S47" s="1536">
        <f t="shared" si="10"/>
        <v>100</v>
      </c>
      <c r="T47" s="1535" t="s">
        <v>1289</v>
      </c>
      <c r="U47" s="1536">
        <f t="shared" si="11"/>
        <v>100</v>
      </c>
      <c r="V47" s="1535" t="s">
        <v>1289</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1327</v>
      </c>
      <c r="B49" s="1567"/>
      <c r="C49" s="1568" t="e">
        <f>R50</f>
        <v>#DIV/0!</v>
      </c>
      <c r="D49" s="1799" t="s">
        <v>1328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23066.36</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5491.16</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365.25</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3344.85</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32267.62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1290</v>
      </c>
      <c r="B74" s="1659"/>
      <c r="C74" s="1660" t="s">
        <v>1335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1336</v>
      </c>
      <c r="B76" s="1670" t="s">
        <v>1294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1302</v>
      </c>
      <c r="B89" s="1670" t="s">
        <v>2123</v>
      </c>
      <c r="C89" s="1718" t="s">
        <v>1345</v>
      </c>
      <c r="D89" s="1718" t="s">
        <v>1346</v>
      </c>
      <c r="E89" s="1718" t="s">
        <v>1347</v>
      </c>
      <c r="F89" s="1718" t="s">
        <v>1348</v>
      </c>
      <c r="G89" s="1718" t="s">
        <v>1349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1345</v>
      </c>
      <c r="D91" s="1723" t="s">
        <v>1346</v>
      </c>
      <c r="E91" s="1723" t="s">
        <v>1347</v>
      </c>
      <c r="F91" s="1723" t="s">
        <v>1348</v>
      </c>
      <c r="G91" s="1723" t="s">
        <v>1349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1303</v>
      </c>
      <c r="C93" s="1723" t="s">
        <v>1345</v>
      </c>
      <c r="D93" s="1723" t="s">
        <v>1346</v>
      </c>
      <c r="E93" s="1723" t="s">
        <v>1347</v>
      </c>
      <c r="F93" s="1723" t="s">
        <v>1348</v>
      </c>
      <c r="G93" s="1723" t="s">
        <v>1349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1306</v>
      </c>
      <c r="C95" s="1723" t="s">
        <v>1345</v>
      </c>
      <c r="D95" s="1723" t="s">
        <v>1346</v>
      </c>
      <c r="E95" s="1723" t="s">
        <v>1347</v>
      </c>
      <c r="F95" s="1723" t="s">
        <v>1348</v>
      </c>
      <c r="G95" s="1723" t="s">
        <v>1349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1345</v>
      </c>
      <c r="D97" s="1723" t="s">
        <v>1346</v>
      </c>
      <c r="E97" s="1723" t="s">
        <v>1347</v>
      </c>
      <c r="F97" s="1723" t="s">
        <v>1348</v>
      </c>
      <c r="G97" s="1723" t="s">
        <v>1349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1345</v>
      </c>
      <c r="D99" s="1718" t="s">
        <v>1346</v>
      </c>
      <c r="E99" s="1718" t="s">
        <v>1347</v>
      </c>
      <c r="F99" s="1718" t="s">
        <v>1348</v>
      </c>
      <c r="G99" s="1718" t="s">
        <v>1349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1307</v>
      </c>
      <c r="C101" s="1718" t="s">
        <v>1345</v>
      </c>
      <c r="D101" s="1718" t="s">
        <v>1346</v>
      </c>
      <c r="E101" s="1718" t="s">
        <v>1347</v>
      </c>
      <c r="F101" s="1718" t="s">
        <v>1348</v>
      </c>
      <c r="G101" s="1718" t="s">
        <v>1349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1308</v>
      </c>
      <c r="C103" s="1499" t="s">
        <v>1350</v>
      </c>
      <c r="D103" s="1499" t="s">
        <v>1351</v>
      </c>
      <c r="E103" s="1499" t="s">
        <v>1352</v>
      </c>
      <c r="F103" s="1499" t="s">
        <v>1353</v>
      </c>
      <c r="G103" s="1499" t="s">
        <v>1354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1310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1313</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1357</v>
      </c>
      <c r="D1" s="1364"/>
      <c r="E1" s="1364"/>
      <c r="F1" s="1365" t="s">
        <v>1264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377" t="e">
        <f>ROUND(IF(D3="",B2*10000/'数据-汇总表'!E3,B2*10000/D3),0)</f>
        <v>#DIV/0!</v>
      </c>
      <c r="C3" s="420" t="s">
        <v>1269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1271</v>
      </c>
      <c r="B6" s="1384"/>
      <c r="C6" s="1385" t="s">
        <v>1272</v>
      </c>
      <c r="D6" s="1386"/>
      <c r="E6" s="1387" t="s">
        <v>1273</v>
      </c>
      <c r="F6" s="1388"/>
      <c r="G6" s="1385" t="s">
        <v>1274</v>
      </c>
      <c r="H6" s="1386"/>
      <c r="I6" s="1385" t="s">
        <v>1275</v>
      </c>
      <c r="J6" s="1386"/>
      <c r="K6" s="1389"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29">
      <c r="A7" s="1400"/>
      <c r="B7" s="1401"/>
      <c r="C7" s="1402" t="s">
        <v>1358</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1287</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29">
      <c r="A10" s="1425" t="s">
        <v>1290</v>
      </c>
      <c r="B10" s="1426"/>
      <c r="C10" s="1444" t="s">
        <v>1335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1292</v>
      </c>
      <c r="Q10" s="1445"/>
      <c r="R10" s="1438" t="s">
        <v>1289</v>
      </c>
      <c r="S10" s="1439">
        <f t="shared" si="0"/>
        <v>0</v>
      </c>
      <c r="T10" s="1438" t="s">
        <v>1289</v>
      </c>
      <c r="U10" s="1439">
        <f t="shared" si="1"/>
        <v>0</v>
      </c>
      <c r="V10" s="1438" t="s">
        <v>1289</v>
      </c>
      <c r="W10" s="1439">
        <f t="shared" si="2"/>
        <v>0</v>
      </c>
      <c r="X10" s="1440"/>
      <c r="Y10" s="1441" t="s">
        <v>1292</v>
      </c>
      <c r="Z10" s="1442"/>
      <c r="AA10" s="1443" t="e">
        <f t="shared" ref="AA10:AA42" si="3">D10/F10</f>
        <v>#DIV/0!</v>
      </c>
      <c r="AB10" s="1443" t="e">
        <f t="shared" ref="AB10:AB42" si="4">D10/H10</f>
        <v>#DIV/0!</v>
      </c>
      <c r="AC10" s="1443" t="e">
        <f t="shared" ref="AC10:AC42" si="5">D10/J10</f>
        <v>#DIV/0!</v>
      </c>
    </row>
    <row r="11" s="1352" customFormat="1" spans="1:29">
      <c r="A11" s="1446" t="s">
        <v>1293</v>
      </c>
      <c r="B11" s="1447" t="s">
        <v>1294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29">
      <c r="A12" s="1452"/>
      <c r="B12" s="1453" t="s">
        <v>1297</v>
      </c>
      <c r="C12" s="1454"/>
      <c r="D12" s="1455">
        <v>100</v>
      </c>
      <c r="E12" s="1454"/>
      <c r="F12" s="1456">
        <f>ROUND(100/'数据-取费表'!G16,1)</f>
        <v>111.1</v>
      </c>
      <c r="G12" s="1454"/>
      <c r="H12" s="1456">
        <f>ROUND(100/'数据-取费表'!G16,1)</f>
        <v>111.1</v>
      </c>
      <c r="I12" s="1454"/>
      <c r="J12" s="1456">
        <f>ROUND(100/'数据-取费表'!G16,1)</f>
        <v>111.1</v>
      </c>
      <c r="K12" s="1457"/>
      <c r="L12" s="1458"/>
      <c r="M12" s="1459"/>
      <c r="N12" s="1459"/>
      <c r="O12" s="1460"/>
      <c r="P12" s="1051"/>
      <c r="Q12" s="1205" t="str">
        <f t="shared" si="6"/>
        <v>土地使用年限（年）</v>
      </c>
      <c r="R12" s="1438" t="s">
        <v>1289</v>
      </c>
      <c r="S12" s="1439">
        <f t="shared" si="0"/>
        <v>111.1</v>
      </c>
      <c r="T12" s="1438" t="s">
        <v>1289</v>
      </c>
      <c r="U12" s="1439">
        <f t="shared" si="1"/>
        <v>111.1</v>
      </c>
      <c r="V12" s="1438" t="s">
        <v>1289</v>
      </c>
      <c r="W12" s="1439">
        <f t="shared" si="2"/>
        <v>111.1</v>
      </c>
      <c r="X12" s="1440"/>
      <c r="Y12" s="1169"/>
      <c r="Z12" s="1443" t="str">
        <f t="shared" si="7"/>
        <v>土地使用年限（年）</v>
      </c>
      <c r="AA12" s="1443">
        <f t="shared" si="3"/>
        <v>0.9000900090009</v>
      </c>
      <c r="AB12" s="1443">
        <f t="shared" si="4"/>
        <v>0.9000900090009</v>
      </c>
      <c r="AC12" s="1443">
        <f t="shared" si="5"/>
        <v>0.9000900090009</v>
      </c>
    </row>
    <row r="13" ht="15" spans="1:29">
      <c r="A13" s="1461"/>
      <c r="B13" s="1453" t="s">
        <v>1301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1289</v>
      </c>
      <c r="S13" s="1439" t="e">
        <f t="shared" si="0"/>
        <v>#N/A</v>
      </c>
      <c r="T13" s="1438" t="s">
        <v>1289</v>
      </c>
      <c r="U13" s="1439" t="e">
        <f t="shared" si="1"/>
        <v>#N/A</v>
      </c>
      <c r="V13" s="1438" t="s">
        <v>1289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56.25" spans="1:29">
      <c r="A17" s="1481" t="s">
        <v>1302</v>
      </c>
      <c r="B17" s="1482" t="s">
        <v>1362</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1304</v>
      </c>
      <c r="Q17" s="1051" t="str">
        <f t="shared" si="6"/>
        <v>产业集聚程度</v>
      </c>
      <c r="R17" s="1488" t="s">
        <v>1289</v>
      </c>
      <c r="S17" s="1489">
        <f t="shared" si="0"/>
        <v>100</v>
      </c>
      <c r="T17" s="1488" t="s">
        <v>1289</v>
      </c>
      <c r="U17" s="1489">
        <f t="shared" si="1"/>
        <v>100</v>
      </c>
      <c r="V17" s="1488" t="s">
        <v>1289</v>
      </c>
      <c r="W17" s="1489">
        <f t="shared" si="2"/>
        <v>100</v>
      </c>
      <c r="X17" s="1396"/>
      <c r="Y17" s="1490" t="s">
        <v>1304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1289</v>
      </c>
      <c r="S19" s="1489">
        <f>F19</f>
        <v>100</v>
      </c>
      <c r="T19" s="1488" t="s">
        <v>1289</v>
      </c>
      <c r="U19" s="1489">
        <f>H19</f>
        <v>100</v>
      </c>
      <c r="V19" s="1488" t="s">
        <v>1289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1289</v>
      </c>
      <c r="S21" s="1489">
        <f>F21</f>
        <v>100</v>
      </c>
      <c r="T21" s="1488" t="s">
        <v>1289</v>
      </c>
      <c r="U21" s="1489">
        <f>H21</f>
        <v>100</v>
      </c>
      <c r="V21" s="1488" t="s">
        <v>1289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1289</v>
      </c>
      <c r="S23" s="1489">
        <f>F23</f>
        <v>100</v>
      </c>
      <c r="T23" s="1488" t="s">
        <v>1289</v>
      </c>
      <c r="U23" s="1489">
        <f>H23</f>
        <v>100</v>
      </c>
      <c r="V23" s="1488" t="s">
        <v>1289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1289</v>
      </c>
      <c r="S25" s="1439">
        <f>F25</f>
        <v>100</v>
      </c>
      <c r="T25" s="1438" t="s">
        <v>1289</v>
      </c>
      <c r="U25" s="1439">
        <f>H25</f>
        <v>100</v>
      </c>
      <c r="V25" s="1438" t="s">
        <v>1289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1289</v>
      </c>
      <c r="S27" s="1439">
        <f>F27</f>
        <v>100</v>
      </c>
      <c r="T27" s="1438" t="s">
        <v>1289</v>
      </c>
      <c r="U27" s="1439">
        <f>H27</f>
        <v>100</v>
      </c>
      <c r="V27" s="1438" t="s">
        <v>1289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1289</v>
      </c>
      <c r="S29" s="1489">
        <f t="shared" ref="S29:S42" si="10">F29</f>
        <v>100</v>
      </c>
      <c r="T29" s="1488" t="s">
        <v>1289</v>
      </c>
      <c r="U29" s="1489">
        <f t="shared" ref="U29:U42" si="11">H29</f>
        <v>100</v>
      </c>
      <c r="V29" s="1488" t="s">
        <v>1289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1310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1289</v>
      </c>
      <c r="S30" s="1489">
        <f t="shared" si="10"/>
        <v>100</v>
      </c>
      <c r="T30" s="1488" t="s">
        <v>1289</v>
      </c>
      <c r="U30" s="1489">
        <f t="shared" si="11"/>
        <v>100</v>
      </c>
      <c r="V30" s="1488" t="s">
        <v>1289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1289</v>
      </c>
      <c r="S32" s="1489">
        <f t="shared" si="10"/>
        <v>100</v>
      </c>
      <c r="T32" s="1488" t="s">
        <v>1289</v>
      </c>
      <c r="U32" s="1489">
        <f t="shared" si="11"/>
        <v>100</v>
      </c>
      <c r="V32" s="1488" t="s">
        <v>1289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1289</v>
      </c>
      <c r="S33" s="1489">
        <f t="shared" si="10"/>
        <v>100</v>
      </c>
      <c r="T33" s="1488" t="s">
        <v>1289</v>
      </c>
      <c r="U33" s="1489">
        <f t="shared" si="11"/>
        <v>100</v>
      </c>
      <c r="V33" s="1488" t="s">
        <v>1289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1315</v>
      </c>
      <c r="Q34" s="1051">
        <f t="shared" si="8"/>
        <v>111</v>
      </c>
      <c r="R34" s="1488" t="s">
        <v>1289</v>
      </c>
      <c r="S34" s="1489">
        <f t="shared" si="10"/>
        <v>100</v>
      </c>
      <c r="T34" s="1488" t="s">
        <v>1289</v>
      </c>
      <c r="U34" s="1489">
        <f t="shared" si="11"/>
        <v>100</v>
      </c>
      <c r="V34" s="1488" t="s">
        <v>1289</v>
      </c>
      <c r="W34" s="1489">
        <f t="shared" si="12"/>
        <v>100</v>
      </c>
      <c r="X34" s="1396"/>
      <c r="Y34" s="1526" t="s">
        <v>1315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1289</v>
      </c>
      <c r="S35" s="1536">
        <f t="shared" si="10"/>
        <v>100</v>
      </c>
      <c r="T35" s="1535" t="s">
        <v>1289</v>
      </c>
      <c r="U35" s="1536">
        <f t="shared" si="11"/>
        <v>100</v>
      </c>
      <c r="V35" s="1535" t="s">
        <v>1289</v>
      </c>
      <c r="W35" s="1536">
        <f t="shared" si="12"/>
        <v>100</v>
      </c>
      <c r="X35" s="1537"/>
      <c r="Y35" s="1526"/>
      <c r="Z35" s="1538">
        <f t="shared" si="13"/>
        <v>111</v>
      </c>
      <c r="AA35" s="1491">
        <f t="shared" si="3"/>
        <v>1</v>
      </c>
      <c r="AB35" s="1491">
        <f t="shared" si="4"/>
        <v>1</v>
      </c>
      <c r="AC35" s="1491">
        <f t="shared" si="5"/>
        <v>1</v>
      </c>
    </row>
    <row r="36" ht="15" spans="1:31">
      <c r="A36" s="1481" t="s">
        <v>1313</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1289</v>
      </c>
      <c r="S36" s="1489" t="e">
        <f t="shared" si="10"/>
        <v>#N/A</v>
      </c>
      <c r="T36" s="1488" t="s">
        <v>1289</v>
      </c>
      <c r="U36" s="1489" t="e">
        <f t="shared" si="11"/>
        <v>#N/A</v>
      </c>
      <c r="V36" s="1488" t="s">
        <v>1289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1289</v>
      </c>
      <c r="S37" s="1489">
        <f t="shared" si="10"/>
        <v>100</v>
      </c>
      <c r="T37" s="1488" t="s">
        <v>1289</v>
      </c>
      <c r="U37" s="1489">
        <f t="shared" si="11"/>
        <v>100</v>
      </c>
      <c r="V37" s="1488" t="s">
        <v>1289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1289</v>
      </c>
      <c r="S38" s="1439">
        <f t="shared" si="10"/>
        <v>100</v>
      </c>
      <c r="T38" s="1438" t="s">
        <v>1289</v>
      </c>
      <c r="U38" s="1439">
        <f t="shared" si="11"/>
        <v>100</v>
      </c>
      <c r="V38" s="1438" t="s">
        <v>1289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1315</v>
      </c>
      <c r="Q39" s="1051" t="str">
        <f t="shared" si="14"/>
        <v>工程地质条件</v>
      </c>
      <c r="R39" s="1488" t="s">
        <v>1289</v>
      </c>
      <c r="S39" s="1489">
        <f t="shared" si="10"/>
        <v>100</v>
      </c>
      <c r="T39" s="1488" t="s">
        <v>1289</v>
      </c>
      <c r="U39" s="1489">
        <f t="shared" si="11"/>
        <v>100</v>
      </c>
      <c r="V39" s="1488" t="s">
        <v>1289</v>
      </c>
      <c r="W39" s="1489">
        <f t="shared" si="12"/>
        <v>100</v>
      </c>
      <c r="X39" s="1396"/>
      <c r="Y39" s="1526" t="s">
        <v>1315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1289</v>
      </c>
      <c r="S40" s="1489">
        <f t="shared" si="10"/>
        <v>100</v>
      </c>
      <c r="T40" s="1488" t="s">
        <v>1289</v>
      </c>
      <c r="U40" s="1489">
        <f t="shared" si="11"/>
        <v>100</v>
      </c>
      <c r="V40" s="1488" t="s">
        <v>1289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1289</v>
      </c>
      <c r="S41" s="1489">
        <f t="shared" si="10"/>
        <v>100</v>
      </c>
      <c r="T41" s="1488" t="s">
        <v>1289</v>
      </c>
      <c r="U41" s="1489">
        <f t="shared" si="11"/>
        <v>100</v>
      </c>
      <c r="V41" s="1488" t="s">
        <v>1289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1289</v>
      </c>
      <c r="S42" s="1536">
        <f t="shared" si="10"/>
        <v>100</v>
      </c>
      <c r="T42" s="1535" t="s">
        <v>1289</v>
      </c>
      <c r="U42" s="1536">
        <f t="shared" si="11"/>
        <v>100</v>
      </c>
      <c r="V42" s="1535" t="s">
        <v>1289</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1327</v>
      </c>
      <c r="B44" s="1567"/>
      <c r="C44" s="1568" t="e">
        <f>R45</f>
        <v>#DIV/0!</v>
      </c>
      <c r="D44" s="1569" t="s">
        <v>1328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1330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23066.36</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5491.16</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365.25</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3344.85</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14251.17</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1290</v>
      </c>
      <c r="B70" s="1659"/>
      <c r="C70" s="1660" t="s">
        <v>1335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1336</v>
      </c>
      <c r="B72" s="1670" t="s">
        <v>1294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1302</v>
      </c>
      <c r="B85" s="1670" t="s">
        <v>1362</v>
      </c>
      <c r="C85" s="1718" t="s">
        <v>1345</v>
      </c>
      <c r="D85" s="1718" t="s">
        <v>1346</v>
      </c>
      <c r="E85" s="1718" t="s">
        <v>1347</v>
      </c>
      <c r="F85" s="1718" t="s">
        <v>1348</v>
      </c>
      <c r="G85" s="1718" t="s">
        <v>1349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1306</v>
      </c>
      <c r="C87" s="1723" t="s">
        <v>1345</v>
      </c>
      <c r="D87" s="1723" t="s">
        <v>1346</v>
      </c>
      <c r="E87" s="1723" t="s">
        <v>1347</v>
      </c>
      <c r="F87" s="1723" t="s">
        <v>1348</v>
      </c>
      <c r="G87" s="1723" t="s">
        <v>1349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1345</v>
      </c>
      <c r="D89" s="1718" t="s">
        <v>1346</v>
      </c>
      <c r="E89" s="1718" t="s">
        <v>1347</v>
      </c>
      <c r="F89" s="1718" t="s">
        <v>1348</v>
      </c>
      <c r="G89" s="1718" t="s">
        <v>1349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1345</v>
      </c>
      <c r="D91" s="1718" t="s">
        <v>1346</v>
      </c>
      <c r="E91" s="1718" t="s">
        <v>1347</v>
      </c>
      <c r="F91" s="1718" t="s">
        <v>1348</v>
      </c>
      <c r="G91" s="1718" t="s">
        <v>1349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1307</v>
      </c>
      <c r="C93" s="1718" t="s">
        <v>1345</v>
      </c>
      <c r="D93" s="1718" t="s">
        <v>1346</v>
      </c>
      <c r="E93" s="1718" t="s">
        <v>1347</v>
      </c>
      <c r="F93" s="1718" t="s">
        <v>1348</v>
      </c>
      <c r="G93" s="1718" t="s">
        <v>1349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1308</v>
      </c>
      <c r="C95" s="1499" t="s">
        <v>1350</v>
      </c>
      <c r="D95" s="1499" t="s">
        <v>1351</v>
      </c>
      <c r="E95" s="1499" t="s">
        <v>1352</v>
      </c>
      <c r="F95" s="1499" t="s">
        <v>1353</v>
      </c>
      <c r="G95" s="1499" t="s">
        <v>1354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1310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1313</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1265</v>
      </c>
      <c r="B2" s="606">
        <f ca="1">IF(D2="含税",C37,C36)</f>
        <v>-728</v>
      </c>
      <c r="C2" s="719" t="s">
        <v>2229</v>
      </c>
      <c r="D2" s="1260"/>
      <c r="E2" s="716"/>
      <c r="G2" s="716"/>
      <c r="H2" s="716"/>
      <c r="I2" s="716"/>
      <c r="J2" s="716"/>
      <c r="K2" s="716"/>
    </row>
    <row r="3" ht="18" customHeight="1" spans="1:33">
      <c r="A3" s="420" t="s">
        <v>1268</v>
      </c>
      <c r="B3" s="606">
        <f ca="1">ROUND(B2*10000/IF(C1="",'数据-汇总表'!E3,INDIRECT("'数据-取费表'!K"&amp;$K$1)),0)</f>
        <v>-226</v>
      </c>
      <c r="C3" s="719" t="s">
        <v>2230</v>
      </c>
      <c r="E3" s="711"/>
      <c r="I3" s="716"/>
      <c r="J3" s="716"/>
      <c r="K3" s="716"/>
    </row>
    <row r="4" ht="18" customHeight="1" spans="1:33">
      <c r="A4" s="1261" t="s">
        <v>2231</v>
      </c>
      <c r="B4" s="1262">
        <f ca="1">ROUND(B2*10000/IF(C1="",'数据-汇总表'!D3,INDIRECT("'数据-取费表'!R"&amp;$K$1)),0)</f>
        <v>-511</v>
      </c>
      <c r="C4" s="1263" t="s">
        <v>2230</v>
      </c>
      <c r="E4" s="711"/>
      <c r="I4" s="716"/>
      <c r="J4" s="716"/>
      <c r="K4" s="716"/>
    </row>
    <row r="5" ht="18" customHeight="1" spans="1:33">
      <c r="A5" s="416"/>
      <c r="B5" s="1264">
        <f ca="1">ROUND(B2/(IF(C1="",'数据-汇总表'!D3,INDIRECT("'数据-取费表'!R"&amp;$K$1))/666.67),0)</f>
        <v>-34</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1394</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645</v>
      </c>
      <c r="D15" s="763"/>
      <c r="E15" s="764"/>
      <c r="F15" s="1278"/>
      <c r="G15" s="1279" t="s">
        <v>2247</v>
      </c>
      <c r="H15" s="1280"/>
      <c r="I15" s="1280"/>
      <c r="J15" s="1280"/>
      <c r="K15" s="1281"/>
    </row>
    <row r="16" s="706" customFormat="1" ht="13.5" customHeight="1" spans="1:33">
      <c r="A16" s="1282" t="s">
        <v>1157</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1162</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1213</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645</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645</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645</v>
      </c>
      <c r="D22" s="1299">
        <f ca="1">IF(C1="",'数据-汇总表'!E6,IF(INDIRECT("'数据-取费表'!c"&amp;$K$1)="住宅",INDIRECT("'数据-取费表'!s"&amp;$K$1),INDIRECT("'数据-取费表'!k"&amp;$K$1)+INDIRECT("'数据-取费表'!s"&amp;$K$1)))</f>
        <v>32267.62</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32267.62</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32267.62</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19</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1157</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1162</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86+0V</v>
      </c>
      <c r="D33" s="1313"/>
      <c r="E33" s="764"/>
      <c r="F33" s="1326">
        <f ca="1">IF(C1="",'数据-取费表'!Q16,INDIRECT("'数据-取费表'!q"&amp;$K$1))</f>
        <v>0.13</v>
      </c>
      <c r="G33" s="1275"/>
      <c r="H33" s="1275"/>
      <c r="I33" s="1275"/>
      <c r="J33" s="1275"/>
      <c r="K33" s="1276"/>
    </row>
    <row r="34" s="1257" customFormat="1" ht="13.5" customHeight="1" spans="1:11">
      <c r="A34" s="1315" t="s">
        <v>1157</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1162</v>
      </c>
      <c r="B35" s="1290" t="s">
        <v>2272</v>
      </c>
      <c r="C35" s="1328">
        <f ca="1">ROUND((C15+C27+C28)*F33,0)</f>
        <v>86</v>
      </c>
      <c r="D35" s="1317"/>
      <c r="E35" s="1311"/>
      <c r="F35" s="1327"/>
      <c r="G35" s="1280"/>
      <c r="H35" s="1280"/>
      <c r="I35" s="1280"/>
      <c r="J35" s="1280"/>
      <c r="K35" s="1281"/>
    </row>
    <row r="36" s="705" customFormat="1" ht="15" spans="1:11">
      <c r="A36" s="726">
        <v>9</v>
      </c>
      <c r="B36" s="753" t="s">
        <v>2278</v>
      </c>
      <c r="C36" s="754">
        <f ca="1">ROUND((C13-C15-C27-C28-C31-C35-C32)/(1+F14+C30+C34),0)</f>
        <v>-728</v>
      </c>
      <c r="D36" s="760"/>
      <c r="E36" s="760"/>
      <c r="F36" s="1313"/>
      <c r="G36" s="1329" t="s">
        <v>2279</v>
      </c>
      <c r="H36" s="760"/>
      <c r="I36" s="760"/>
      <c r="J36" s="760"/>
      <c r="K36" s="1271"/>
    </row>
    <row r="37" s="1258" customFormat="1" ht="15.75" spans="1:11">
      <c r="A37" s="1330">
        <v>10</v>
      </c>
      <c r="B37" s="1331" t="s">
        <v>2280</v>
      </c>
      <c r="C37" s="1332">
        <f ca="1">ROUND(C36*(1+F37),0)</f>
        <v>-794</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1394</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1157</v>
      </c>
      <c r="B49" s="1306" t="s">
        <v>2287</v>
      </c>
      <c r="C49" s="1307">
        <f ca="1">C50+C51+C52+C53+C57+C58</f>
        <v>645</v>
      </c>
      <c r="D49" s="1343"/>
      <c r="E49" s="1343"/>
      <c r="F49" s="1343"/>
      <c r="G49" s="1343"/>
    </row>
    <row r="50" s="1259" customFormat="1" spans="1:7">
      <c r="A50" s="1345" t="s">
        <v>1186</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645</v>
      </c>
      <c r="D53" s="1343"/>
      <c r="E53" s="1343"/>
      <c r="F53" s="1343"/>
      <c r="G53" s="1343"/>
    </row>
    <row r="54" s="1259" customFormat="1" spans="1:7">
      <c r="A54" s="1346" t="s">
        <v>1497</v>
      </c>
      <c r="B54" s="1347" t="s">
        <v>1718</v>
      </c>
      <c r="C54" s="1348">
        <f ca="1" t="shared" si="0"/>
        <v>645</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19</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1186</v>
      </c>
      <c r="B61" s="1306" t="s">
        <v>2299</v>
      </c>
      <c r="C61" s="1307">
        <f ca="1">C28</f>
        <v>0</v>
      </c>
      <c r="D61" s="1343"/>
      <c r="E61" s="1343"/>
      <c r="F61" s="1343"/>
      <c r="G61" s="1343"/>
    </row>
    <row r="62" s="1259" customFormat="1" spans="1:7">
      <c r="A62" s="1345" t="s">
        <v>1190</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86+0V</v>
      </c>
      <c r="D64" s="1343"/>
      <c r="E64" s="1343"/>
      <c r="F64" s="1343"/>
      <c r="G64" s="1343"/>
    </row>
    <row r="65" s="1259" customFormat="1" spans="1:7">
      <c r="A65" s="1343">
        <v>5</v>
      </c>
      <c r="B65" s="1306" t="s">
        <v>2302</v>
      </c>
      <c r="C65" s="1307">
        <f ca="1">C36</f>
        <v>-728</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1269</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1265</v>
      </c>
      <c r="B2" s="606" t="e">
        <f>C30</f>
        <v>#DIV/0!</v>
      </c>
      <c r="C2" s="847" t="s">
        <v>1267</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1268</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1039</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1152</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1166</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1171</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1174</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1200</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1345</v>
      </c>
      <c r="K49" s="1169" t="s">
        <v>1346</v>
      </c>
      <c r="L49" s="1169" t="s">
        <v>1347</v>
      </c>
      <c r="M49" s="1169" t="s">
        <v>1348</v>
      </c>
      <c r="N49" s="1169" t="s">
        <v>1349</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1345</v>
      </c>
      <c r="K60" s="1169" t="s">
        <v>1346</v>
      </c>
      <c r="L60" s="1169" t="s">
        <v>1347</v>
      </c>
      <c r="M60" s="1169" t="s">
        <v>1348</v>
      </c>
      <c r="N60" s="1169" t="s">
        <v>1349</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1345</v>
      </c>
      <c r="K71" s="1169" t="s">
        <v>1346</v>
      </c>
      <c r="L71" s="1169" t="s">
        <v>1347</v>
      </c>
      <c r="M71" s="1169" t="s">
        <v>1348</v>
      </c>
      <c r="N71" s="1169" t="s">
        <v>1349</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1345</v>
      </c>
      <c r="K82" s="1169" t="s">
        <v>1346</v>
      </c>
      <c r="L82" s="1169" t="s">
        <v>1347</v>
      </c>
      <c r="M82" s="1169" t="s">
        <v>1348</v>
      </c>
      <c r="N82" s="1169" t="s">
        <v>1349</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1345</v>
      </c>
      <c r="K92" s="1205" t="s">
        <v>1346</v>
      </c>
      <c r="L92" s="1205" t="s">
        <v>1347</v>
      </c>
      <c r="M92" s="1205" t="s">
        <v>1348</v>
      </c>
      <c r="N92" s="1205" t="s">
        <v>1349</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1265</v>
      </c>
      <c r="B2" s="606">
        <f ca="1">C34</f>
        <v>-18476</v>
      </c>
      <c r="C2" s="719" t="s">
        <v>2229</v>
      </c>
      <c r="D2" s="719"/>
      <c r="E2" s="716"/>
      <c r="F2" s="716"/>
      <c r="G2" s="716"/>
      <c r="H2" s="716"/>
      <c r="I2" s="716"/>
      <c r="J2" s="716"/>
      <c r="K2" s="716"/>
    </row>
    <row r="3" ht="18" customHeight="1" spans="1:33">
      <c r="A3" s="420" t="s">
        <v>1268</v>
      </c>
      <c r="B3" s="606">
        <f ca="1">ROUND(B2*10000/IF(C1="",'数据-汇总表'!E3,INDIRECT("'数据-取费表'!K"&amp;$K$1)),0)</f>
        <v>-5726</v>
      </c>
      <c r="C3" s="719" t="s">
        <v>2230</v>
      </c>
      <c r="D3" s="719"/>
      <c r="E3" s="716"/>
      <c r="F3" s="716"/>
      <c r="G3" s="716"/>
      <c r="H3" s="716"/>
      <c r="I3" s="716"/>
      <c r="J3" s="716"/>
      <c r="K3" s="716"/>
    </row>
    <row r="4" ht="18" customHeight="1" spans="1:33">
      <c r="A4" s="607" t="s">
        <v>2176</v>
      </c>
      <c r="B4" s="604">
        <f ca="1">ROUND(B2*10000/IF(C1="",'数据-汇总表'!D3,INDIRECT("'数据-取费表'!R"&amp;$K$1)),0)</f>
        <v>-12965</v>
      </c>
      <c r="C4" s="720" t="s">
        <v>1694</v>
      </c>
      <c r="D4" s="719"/>
      <c r="E4" s="716"/>
      <c r="F4" s="716"/>
      <c r="G4" s="716"/>
      <c r="H4" s="716"/>
      <c r="I4" s="716"/>
      <c r="J4" s="716"/>
      <c r="K4" s="716"/>
    </row>
    <row r="5" ht="18" customHeight="1" spans="1:33">
      <c r="A5" s="416"/>
      <c r="B5" s="608">
        <f ca="1">ROUND(B2/(IF(C1="",'数据-汇总表'!D3,INDIRECT("'数据-取费表'!R"&amp;$K$1))/666.67),0)</f>
        <v>-864</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1394</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18476</v>
      </c>
      <c r="D15" s="763"/>
      <c r="E15" s="764"/>
      <c r="F15" s="765"/>
      <c r="G15" s="766" t="s">
        <v>1776</v>
      </c>
      <c r="H15" s="767"/>
      <c r="I15" s="767"/>
      <c r="J15" s="767"/>
      <c r="K15" s="768"/>
    </row>
    <row r="16" s="706" customFormat="1" ht="13.5" customHeight="1" spans="1:33">
      <c r="A16" s="769" t="s">
        <v>2408</v>
      </c>
      <c r="B16" s="770" t="s">
        <v>1758</v>
      </c>
      <c r="C16" s="771">
        <f ca="1">SUM(C17:C22)</f>
        <v>17541</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15489</v>
      </c>
      <c r="D17" s="777"/>
      <c r="E17" s="778"/>
      <c r="F17" s="779"/>
      <c r="G17" s="780"/>
      <c r="H17" s="758"/>
      <c r="I17" s="758"/>
      <c r="J17" s="758"/>
      <c r="K17" s="759"/>
    </row>
    <row r="18" s="706" customFormat="1" ht="13.5" customHeight="1" spans="1:33">
      <c r="A18" s="774" t="s">
        <v>2512</v>
      </c>
      <c r="B18" s="781" t="s">
        <v>1711</v>
      </c>
      <c r="C18" s="776">
        <f ca="1">ROUND(C17*F18,0)</f>
        <v>929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968</v>
      </c>
      <c r="D20" s="786">
        <f ca="1">IF(C1="",'数据-汇总表'!E3,INDIRECT("'数据-取费表'!K"&amp;$K$1)+INDIRECT("'数据-取费表'!S"&amp;$K$1))</f>
        <v>32267.62</v>
      </c>
      <c r="E20" s="787">
        <f>'数据-取费表'!B35</f>
        <v>300</v>
      </c>
      <c r="F20" s="786"/>
      <c r="G20" s="785"/>
      <c r="H20" s="758"/>
      <c r="I20" s="758"/>
      <c r="J20" s="767"/>
      <c r="K20" s="768"/>
    </row>
    <row r="21" s="706" customFormat="1" ht="13.5" customHeight="1" spans="1:33">
      <c r="A21" s="774" t="s">
        <v>2516</v>
      </c>
      <c r="B21" s="788" t="s">
        <v>1725</v>
      </c>
      <c r="C21" s="776">
        <f ca="1">ROUND(C17*F21,0)</f>
        <v>155</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526</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565+0.0009V建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565</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2349+0.0039V建</v>
      </c>
      <c r="D28" s="804"/>
      <c r="E28" s="804"/>
      <c r="F28" s="805">
        <f ca="1">IF(C1="",'数据-取费表'!Q16,INDIRECT("'数据-取费表'!q"&amp;$K$1))</f>
        <v>0.13</v>
      </c>
      <c r="G28" s="806" t="s">
        <v>2526</v>
      </c>
      <c r="H28" s="758"/>
      <c r="I28" s="758"/>
      <c r="J28" s="758"/>
      <c r="K28" s="759"/>
    </row>
    <row r="29" s="706" customFormat="1" ht="13.5" customHeight="1" spans="1:33">
      <c r="A29" s="774" t="s">
        <v>2511</v>
      </c>
      <c r="B29" s="788" t="s">
        <v>2527</v>
      </c>
      <c r="C29" s="807">
        <f ca="1">ROUND((C16+C23)*F28,0)</f>
        <v>2349</v>
      </c>
      <c r="D29" s="804"/>
      <c r="E29" s="804"/>
      <c r="F29" s="808"/>
      <c r="G29" s="806"/>
      <c r="H29" s="809"/>
      <c r="I29" s="809"/>
      <c r="J29" s="809"/>
      <c r="K29" s="810"/>
    </row>
    <row r="30" s="708" customFormat="1" ht="13.5" customHeight="1" spans="1:33">
      <c r="A30" s="774" t="s">
        <v>2512</v>
      </c>
      <c r="B30" s="788" t="s">
        <v>2528</v>
      </c>
      <c r="C30" s="776">
        <f ca="1">ROUND(F24*F28,4)</f>
        <v>0.0039</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21737</v>
      </c>
      <c r="D32" s="813"/>
      <c r="E32" s="814"/>
      <c r="F32" s="786"/>
      <c r="G32" s="816" t="s">
        <v>1772</v>
      </c>
      <c r="H32" s="817"/>
      <c r="I32" s="817"/>
      <c r="J32" s="817"/>
      <c r="K32" s="818"/>
    </row>
    <row r="33" s="709" customFormat="1" ht="13.5" customHeight="1" spans="1:11">
      <c r="A33" s="769" t="s">
        <v>1588</v>
      </c>
      <c r="B33" s="819" t="s">
        <v>1550</v>
      </c>
      <c r="C33" s="820">
        <f ca="1">ROUND(C32*(1-F33),0)</f>
        <v>3261</v>
      </c>
      <c r="D33" s="821"/>
      <c r="E33" s="801"/>
      <c r="F33" s="793">
        <f>IF('数据-取费表'!B24=0,'数据-取费表'!N16,1)</f>
        <v>0.85</v>
      </c>
      <c r="G33" s="766" t="s">
        <v>1773</v>
      </c>
      <c r="H33" s="809"/>
      <c r="I33" s="809"/>
      <c r="J33" s="809"/>
      <c r="K33" s="810"/>
    </row>
    <row r="34" s="705" customFormat="1" ht="15.75" spans="1:11">
      <c r="A34" s="822">
        <v>4</v>
      </c>
      <c r="B34" s="823" t="s">
        <v>2530</v>
      </c>
      <c r="C34" s="824">
        <f ca="1">C13-C15</f>
        <v>-18476</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1265</v>
      </c>
      <c r="B2" s="604">
        <f ca="1">C34</f>
        <v>1577</v>
      </c>
      <c r="C2" s="416" t="s">
        <v>1267</v>
      </c>
      <c r="D2" s="416"/>
      <c r="E2" s="605"/>
      <c r="F2" s="416"/>
      <c r="G2" s="416"/>
    </row>
    <row r="3" s="405" customFormat="1" ht="15.75" spans="1:7">
      <c r="A3" s="420" t="s">
        <v>1268</v>
      </c>
      <c r="B3" s="606">
        <f ca="1">ROUND(B2*10000/(IF(C1="",'数据-汇总表'!E3,INDIRECT("'数据-取费表'!k"&amp;$G$1))),0)</f>
        <v>489</v>
      </c>
      <c r="C3" s="416" t="s">
        <v>1694</v>
      </c>
      <c r="D3" s="416"/>
      <c r="E3" s="605"/>
      <c r="F3" s="416"/>
      <c r="G3" s="416"/>
    </row>
    <row r="4" s="405" customFormat="1" ht="15.75" spans="1:7">
      <c r="A4" s="607" t="s">
        <v>2176</v>
      </c>
      <c r="B4" s="604">
        <f ca="1">ROUND(B2*10000/'数据-汇总表'!D3,0)</f>
        <v>1107</v>
      </c>
      <c r="C4" s="417" t="s">
        <v>1694</v>
      </c>
      <c r="D4" s="416"/>
      <c r="E4" s="605"/>
      <c r="F4" s="416"/>
      <c r="G4" s="416"/>
    </row>
    <row r="5" s="405" customFormat="1" ht="16.5" spans="1:7">
      <c r="A5" s="416"/>
      <c r="B5" s="608">
        <f ca="1">ROUND(B2/('数据-汇总表'!D3/666.67),0)</f>
        <v>74</v>
      </c>
      <c r="C5" s="609" t="s">
        <v>2177</v>
      </c>
      <c r="D5" s="416"/>
      <c r="E5" s="605"/>
      <c r="F5" s="416"/>
      <c r="G5" s="416"/>
    </row>
    <row r="6" s="405" customFormat="1" ht="15" spans="1:7">
      <c r="A6" s="610" t="s">
        <v>833</v>
      </c>
      <c r="B6" s="611" t="s">
        <v>1148</v>
      </c>
      <c r="C6" s="612" t="s">
        <v>1695</v>
      </c>
      <c r="D6" s="613" t="s">
        <v>1696</v>
      </c>
      <c r="E6" s="614" t="s">
        <v>1697</v>
      </c>
      <c r="F6" s="614" t="s">
        <v>1698</v>
      </c>
      <c r="G6" s="615" t="s">
        <v>1394</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1549</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645</v>
      </c>
      <c r="D23" s="665">
        <f ca="1">IF(C1="",'数据-汇总表'!E6,IF(INDIRECT("'数据-取费表'!c"&amp;$G$1)="住宅",INDIRECT("'数据-取费表'!s"&amp;$G$1),INDIRECT("'数据-取费表'!k"&amp;$G$1)+INDIRECT("'数据-取费表'!s"&amp;$G$1)))</f>
        <v>32267.62</v>
      </c>
      <c r="E23" s="665">
        <f>'数据-取费表'!B28</f>
        <v>200</v>
      </c>
      <c r="F23" s="644"/>
      <c r="G23" s="669"/>
    </row>
    <row r="24" s="407" customFormat="1" ht="13.5" spans="1:9">
      <c r="A24" s="631" t="s">
        <v>1707</v>
      </c>
      <c r="B24" s="670" t="s">
        <v>1808</v>
      </c>
      <c r="C24" s="623">
        <f ca="1">IF(G24="已包含在土地取得成本中","0",ROUND(D24*E24/10000,0))</f>
        <v>581</v>
      </c>
      <c r="D24" s="671">
        <f ca="1">D22+D23</f>
        <v>32267.62</v>
      </c>
      <c r="E24" s="671">
        <f>'数据-取费表'!B31</f>
        <v>180</v>
      </c>
      <c r="F24" s="672"/>
      <c r="G24" s="661"/>
    </row>
    <row r="25" s="407" customFormat="1" ht="13.5" spans="1:9">
      <c r="A25" s="631" t="s">
        <v>2368</v>
      </c>
      <c r="B25" s="670" t="s">
        <v>2550</v>
      </c>
      <c r="C25" s="623">
        <f ca="1">ROUND(E25*D25/10000,0)</f>
        <v>968</v>
      </c>
      <c r="D25" s="671">
        <f ca="1">D24</f>
        <v>32267.62</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201</v>
      </c>
      <c r="D30" s="681"/>
      <c r="E30" s="682"/>
      <c r="F30" s="686">
        <f ca="1">IF(C1="",'数据-取费表'!Q16,INDIRECT("'数据-取费表'!q"&amp;$G$1))</f>
        <v>0.13</v>
      </c>
      <c r="G30" s="684"/>
    </row>
    <row r="31" s="407" customFormat="1" ht="15.75" spans="1:9">
      <c r="A31" s="687" t="s">
        <v>1539</v>
      </c>
      <c r="B31" s="617" t="s">
        <v>2556</v>
      </c>
      <c r="C31" s="618">
        <f ca="1">C7+C20+C29+C30</f>
        <v>1750</v>
      </c>
      <c r="D31" s="688"/>
      <c r="E31" s="688"/>
      <c r="F31" s="689"/>
      <c r="G31" s="690" t="s">
        <v>2557</v>
      </c>
    </row>
    <row r="32" s="407" customFormat="1" ht="15.75" spans="1:9">
      <c r="A32" s="687" t="s">
        <v>2558</v>
      </c>
      <c r="B32" s="617" t="s">
        <v>2559</v>
      </c>
      <c r="C32" s="691">
        <f ca="1">ROUND(C31*F32,0)</f>
        <v>175</v>
      </c>
      <c r="D32" s="453"/>
      <c r="E32" s="454"/>
      <c r="F32" s="692">
        <v>0.1</v>
      </c>
      <c r="G32" s="693"/>
    </row>
    <row r="33" s="407" customFormat="1" ht="15.75" spans="1:7">
      <c r="A33" s="694">
        <v>8</v>
      </c>
      <c r="B33" s="617" t="s">
        <v>2560</v>
      </c>
      <c r="C33" s="618">
        <f ca="1">C31+C32</f>
        <v>1925</v>
      </c>
      <c r="D33" s="688"/>
      <c r="E33" s="688"/>
      <c r="F33" s="695"/>
      <c r="G33" s="690" t="s">
        <v>2561</v>
      </c>
    </row>
    <row r="34" s="408" customFormat="1" ht="16.5" spans="1:7">
      <c r="A34" s="696">
        <v>9</v>
      </c>
      <c r="B34" s="697" t="s">
        <v>2562</v>
      </c>
      <c r="C34" s="618">
        <f ca="1">ROUND(C33*F34,0)</f>
        <v>1577</v>
      </c>
      <c r="D34" s="698"/>
      <c r="E34" s="698"/>
      <c r="F34" s="699">
        <f>'数据-取费表'!AS16</f>
        <v>0.819</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1425</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1406</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1397</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45447</v>
      </c>
      <c r="C2" s="419" t="s">
        <v>1921</v>
      </c>
      <c r="D2" s="416"/>
      <c r="E2" s="416"/>
      <c r="F2" s="416"/>
      <c r="G2" s="416"/>
    </row>
    <row r="3" s="405" customFormat="1" ht="18" customHeight="1" spans="1:7">
      <c r="A3" s="420" t="s">
        <v>2772</v>
      </c>
      <c r="B3" s="421">
        <f ca="1">ROUND(B2*10000/'数据-汇总表'!E3,0)</f>
        <v>14084</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645</v>
      </c>
      <c r="D10" s="443">
        <f>'数据-汇总表'!E6</f>
        <v>32267.62</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581</v>
      </c>
      <c r="D19" s="428">
        <f>'数据-汇总表'!E3</f>
        <v>32267.62</v>
      </c>
      <c r="E19" s="427">
        <f>'数据-取费表'!B31</f>
        <v>180</v>
      </c>
      <c r="F19" s="449"/>
      <c r="G19" s="439" t="s">
        <v>2794</v>
      </c>
    </row>
    <row r="20" s="407" customFormat="1" ht="13.5" customHeight="1" spans="1:7">
      <c r="A20" s="448" t="s">
        <v>2368</v>
      </c>
      <c r="B20" s="426" t="s">
        <v>2795</v>
      </c>
      <c r="C20" s="450">
        <f>ROUND((C5+C19)*F20,0)</f>
        <v>636</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1367</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37</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2838</v>
      </c>
      <c r="D27" s="453">
        <f>C29</f>
        <v>0.0039</v>
      </c>
      <c r="E27" s="454" t="s">
        <v>2798</v>
      </c>
      <c r="F27" s="468">
        <f>'数据-取费表'!Q16</f>
        <v>0.13</v>
      </c>
      <c r="G27" s="469" t="s">
        <v>2809</v>
      </c>
    </row>
    <row r="28" s="407" customFormat="1" ht="13.5" customHeight="1" spans="1:7">
      <c r="A28" s="458" t="s">
        <v>1703</v>
      </c>
      <c r="B28" s="470" t="s">
        <v>2810</v>
      </c>
      <c r="C28" s="471">
        <f>ROUND((C5+C19+C20)*F27*'数据-取费表'!B21/'数据-取费表'!B20,0)</f>
        <v>2838</v>
      </c>
      <c r="D28" s="453"/>
      <c r="E28" s="454"/>
      <c r="F28" s="468"/>
      <c r="G28" s="469"/>
    </row>
    <row r="29" s="407" customFormat="1" ht="13.5" customHeight="1" spans="1:7">
      <c r="A29" s="458" t="s">
        <v>1705</v>
      </c>
      <c r="B29" s="470" t="s">
        <v>2811</v>
      </c>
      <c r="C29" s="460">
        <f>ROUND(C21*F27*'数据-取费表'!B21/'数据-取费表'!B20,4)</f>
        <v>0.0039</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26971</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17541</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15489</v>
      </c>
      <c r="D34" s="433"/>
      <c r="E34" s="436"/>
      <c r="F34" s="479">
        <f>IF('数据-取费表'!B24=0,1,'数据-取费表'!N16)</f>
        <v>1</v>
      </c>
      <c r="G34" s="435" t="s">
        <v>2820</v>
      </c>
    </row>
    <row r="35" ht="13.5" customHeight="1" spans="1:7">
      <c r="A35" s="458" t="s">
        <v>1705</v>
      </c>
      <c r="B35" s="431" t="s">
        <v>2821</v>
      </c>
      <c r="C35" s="436">
        <f>ROUND(C34*F35,0)</f>
        <v>929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968</v>
      </c>
      <c r="D37" s="433">
        <f>'数据-汇总表'!E3</f>
        <v>32267.62</v>
      </c>
      <c r="E37" s="471">
        <f>'数据-取费表'!B35</f>
        <v>300</v>
      </c>
      <c r="F37" s="480"/>
      <c r="G37" s="482" t="s">
        <v>2826</v>
      </c>
    </row>
    <row r="38" ht="13.5" customHeight="1" spans="1:7">
      <c r="A38" s="458" t="s">
        <v>1724</v>
      </c>
      <c r="B38" s="431" t="s">
        <v>2785</v>
      </c>
      <c r="C38" s="436">
        <f>ROUND(C34*F38,0)</f>
        <v>155</v>
      </c>
      <c r="D38" s="436"/>
      <c r="E38" s="436"/>
      <c r="F38" s="480">
        <f>'数据-取费表'!B36</f>
        <v>0.01</v>
      </c>
      <c r="G38" s="435" t="s">
        <v>2822</v>
      </c>
    </row>
    <row r="39" s="407" customFormat="1" ht="13.5" customHeight="1" spans="1:7">
      <c r="A39" s="448" t="s">
        <v>1707</v>
      </c>
      <c r="B39" s="426" t="s">
        <v>2795</v>
      </c>
      <c r="C39" s="450">
        <f>ROUND(C33*F20,0)</f>
        <v>526</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565</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549</v>
      </c>
      <c r="D42" s="460"/>
      <c r="E42" s="460"/>
      <c r="F42" s="461"/>
      <c r="G42" s="484" t="s">
        <v>2829</v>
      </c>
    </row>
    <row r="43" ht="13.5" customHeight="1" spans="1:7">
      <c r="A43" s="458" t="s">
        <v>1705</v>
      </c>
      <c r="B43" s="431" t="s">
        <v>2803</v>
      </c>
      <c r="C43" s="460">
        <f ca="1">ROUND(IF('数据-取费表'!B22&lt;=1,C39*F22*'数据-取费表'!B21/2,C39*(POWER((1+F22),'数据-取费表'!B21/2)-1)),0)</f>
        <v>16</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2349</v>
      </c>
      <c r="D45" s="453">
        <f>C47</f>
        <v>0.0039</v>
      </c>
      <c r="E45" s="454" t="s">
        <v>2827</v>
      </c>
      <c r="F45" s="468"/>
      <c r="G45" s="469" t="s">
        <v>2830</v>
      </c>
    </row>
    <row r="46" s="407" customFormat="1" ht="13.5" customHeight="1" spans="1:7">
      <c r="A46" s="458" t="s">
        <v>1703</v>
      </c>
      <c r="B46" s="470" t="s">
        <v>2831</v>
      </c>
      <c r="C46" s="471">
        <f>ROUND((C33+C39)*F27,0)</f>
        <v>2349</v>
      </c>
      <c r="D46" s="487"/>
      <c r="E46" s="454"/>
      <c r="F46" s="468"/>
      <c r="G46" s="469"/>
    </row>
    <row r="47" s="407" customFormat="1" ht="13.5" customHeight="1" spans="1:7">
      <c r="A47" s="458" t="s">
        <v>1705</v>
      </c>
      <c r="B47" s="470" t="s">
        <v>2832</v>
      </c>
      <c r="C47" s="460">
        <f>ROUND(C40*F27,4)</f>
        <v>0.0039</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21737</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18476</v>
      </c>
      <c r="D51" s="450"/>
      <c r="E51" s="450"/>
      <c r="F51" s="488"/>
      <c r="G51" s="455" t="s">
        <v>2840</v>
      </c>
    </row>
    <row r="52" s="406" customFormat="1" ht="16.5" spans="1:7">
      <c r="A52" s="489" t="s">
        <v>2841</v>
      </c>
      <c r="B52" s="490"/>
      <c r="C52" s="491">
        <f ca="1">C31+C51</f>
        <v>45447</v>
      </c>
      <c r="D52" s="490"/>
      <c r="E52" s="490"/>
      <c r="F52" s="490"/>
      <c r="G52" s="492"/>
    </row>
    <row r="55" ht="15" spans="1:7">
      <c r="B55" s="493" t="s">
        <v>2842</v>
      </c>
      <c r="C55" s="494"/>
    </row>
    <row r="56" spans="1:7">
      <c r="B56" s="495" t="s">
        <v>2843</v>
      </c>
      <c r="C56" s="496">
        <f ca="1">ROUND(C51/C52,3)</f>
        <v>0.407</v>
      </c>
    </row>
    <row r="57" spans="1:7">
      <c r="B57" s="495" t="s">
        <v>2844</v>
      </c>
      <c r="C57" s="497">
        <f ca="1">1-C56</f>
        <v>0.593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32267.62</v>
      </c>
      <c r="C4" s="4724">
        <f>项目基本情况!C18</f>
        <v>14251.17</v>
      </c>
      <c r="D4" s="4724">
        <f ca="1">结果表!D118</f>
        <v>60103</v>
      </c>
      <c r="E4" s="4724">
        <f ca="1">结果表!E118</f>
        <v>18626</v>
      </c>
      <c r="F4" s="4724">
        <f ca="1">结果表!F118</f>
        <v>33515</v>
      </c>
      <c r="G4" s="4724">
        <f ca="1">结果表!G118</f>
        <v>10387</v>
      </c>
      <c r="H4" s="4724">
        <f ca="1">结果表!H118</f>
        <v>93618</v>
      </c>
      <c r="I4" s="4724">
        <f ca="1">结果表!I118</f>
        <v>29013</v>
      </c>
    </row>
    <row r="5" ht="30" customHeight="1" spans="1:9">
      <c r="A5" s="4724" t="s">
        <v>112</v>
      </c>
      <c r="B5" s="4724"/>
      <c r="C5" s="4724"/>
      <c r="D5" s="4724" t="str">
        <f ca="1">结果表!D119</f>
        <v>陆亿零壹佰零叁万元整</v>
      </c>
      <c r="E5" s="4724"/>
      <c r="F5" s="4724" t="str">
        <f ca="1">结果表!F119</f>
        <v>叁亿叁仟伍佰壹拾伍万元整</v>
      </c>
      <c r="G5" s="4724"/>
      <c r="H5" s="4724" t="str">
        <f ca="1">结果表!H119</f>
        <v>玖亿叁仟陆佰壹拾捌万元整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93618</v>
      </c>
      <c r="E8" s="4726"/>
      <c r="F8" s="4726"/>
      <c r="G8" s="4726"/>
      <c r="H8" s="4726"/>
      <c r="I8" s="4726"/>
    </row>
    <row r="9" ht="15" spans="1:9">
      <c r="A9" s="4724" t="s">
        <v>112</v>
      </c>
      <c r="B9" s="4724"/>
      <c r="C9" s="4724"/>
      <c r="D9" s="4724" t="str">
        <f ca="1">结果表!H123</f>
        <v>玖亿叁仟陆佰壹拾捌万元整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3227</v>
      </c>
      <c r="B1" s="360"/>
      <c r="C1" s="360"/>
      <c r="D1" s="360"/>
      <c r="E1" s="360"/>
      <c r="F1" s="361"/>
    </row>
    <row r="2" ht="14.25" spans="1:6">
      <c r="A2" s="362" t="s">
        <v>3228</v>
      </c>
      <c r="B2" s="363"/>
      <c r="C2" s="363"/>
      <c r="D2" s="363"/>
      <c r="E2" s="363"/>
      <c r="F2" s="363"/>
    </row>
    <row r="3" ht="14.25"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3303"/>
      <c r="C23" s="3303"/>
      <c r="D23" s="3303"/>
    </row>
    <row r="24" spans="1:4">
      <c r="A24" s="4718"/>
      <c r="B24" s="3303"/>
      <c r="C24" s="3303"/>
      <c r="D24" s="3303"/>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1"/>
  </cols>
  <sheetData>
    <row r="1" s="4673" customFormat="1" ht="18.75"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46080</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2026-02-27T01:49:27Z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