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酒店模型" sheetId="77" state="hidden" r:id="rId25"/>
    <sheet name="收益法(仓储)" sheetId="80" r:id="rId26"/>
    <sheet name="收益法(车库)"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'收益法(仓储)'!$A$1:$F$43,'收益法(仓储)'!$H$3:$M$29,'收益法(仓储)'!$A$46:$F$71,'收益法(仓储)'!$I$46:$N$65</definedName>
    <definedName name="_xlnm.Print_Area" localSheetId="26">'收益法(车库)'!$A$1:$F$43,'收益法(车库)'!$H$3:$M$29,'收益法(车库)'!$A$46:$F$71,'收益法(车库)'!$I$46:$N$65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1" i="78" l="1"/>
  <c r="C14" i="74" l="1"/>
  <c r="B14" i="74"/>
  <c r="U23" i="1"/>
  <c r="K30" i="1" l="1"/>
  <c r="K27" i="1"/>
  <c r="K24" i="1"/>
  <c r="M24" i="1" s="1"/>
  <c r="K23" i="1"/>
  <c r="M23" i="1" s="1"/>
  <c r="L27" i="1"/>
  <c r="M27" i="1" l="1"/>
  <c r="M22" i="1"/>
  <c r="K22" i="1"/>
  <c r="L22" i="1" l="1"/>
  <c r="K26" i="1"/>
  <c r="M26" i="1" s="1"/>
  <c r="K28" i="1"/>
  <c r="K25" i="1"/>
  <c r="M25" i="1" s="1"/>
  <c r="N23" i="1"/>
  <c r="N24" i="1"/>
  <c r="M28" i="1" l="1"/>
  <c r="N25" i="1" l="1"/>
  <c r="M29" i="1"/>
  <c r="M30" i="1" s="1"/>
  <c r="L30" i="1" s="1"/>
  <c r="L28" i="1"/>
  <c r="N22" i="1"/>
  <c r="N26" i="1"/>
  <c r="N27" i="1"/>
  <c r="N28" i="1" l="1"/>
  <c r="Z23" i="1" l="1"/>
  <c r="AB23" i="1"/>
  <c r="AA23" i="1" s="1"/>
  <c r="AB22" i="1"/>
  <c r="Z22" i="1"/>
  <c r="AB21" i="1"/>
  <c r="Z21" i="1"/>
  <c r="Z20" i="1"/>
  <c r="AB24" i="1"/>
  <c r="AA25" i="1" s="1"/>
  <c r="Z24" i="1"/>
  <c r="AB20" i="1"/>
  <c r="X24" i="1"/>
  <c r="V24" i="1"/>
  <c r="T24" i="1"/>
  <c r="V23" i="1"/>
  <c r="T23" i="1"/>
  <c r="AH8" i="1"/>
  <c r="D3" i="4" l="1"/>
  <c r="D12" i="78" l="1"/>
  <c r="T21" i="1" l="1"/>
  <c r="V20" i="1"/>
  <c r="V19" i="1"/>
  <c r="T20" i="1"/>
  <c r="T19" i="1"/>
  <c r="O21" i="3"/>
  <c r="V21" i="1" l="1"/>
  <c r="L14" i="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Q72" i="80"/>
  <c r="Q59" i="80"/>
  <c r="K59" i="80"/>
  <c r="P61" i="80" s="1"/>
  <c r="F59" i="80"/>
  <c r="Q58" i="80"/>
  <c r="Q51" i="80"/>
  <c r="J50" i="80"/>
  <c r="M47" i="80"/>
  <c r="D46" i="80"/>
  <c r="F34" i="80"/>
  <c r="F62" i="80" s="1"/>
  <c r="F33" i="80"/>
  <c r="F61" i="80" s="1"/>
  <c r="F32" i="80"/>
  <c r="F60" i="80" s="1"/>
  <c r="F31" i="80"/>
  <c r="F28" i="80"/>
  <c r="F23" i="80"/>
  <c r="D24" i="80" s="1"/>
  <c r="F21" i="80"/>
  <c r="M20" i="80"/>
  <c r="F20" i="80"/>
  <c r="M19" i="80"/>
  <c r="M18" i="80"/>
  <c r="F18" i="80"/>
  <c r="M17" i="80"/>
  <c r="F17" i="80"/>
  <c r="F15" i="80"/>
  <c r="G1" i="80"/>
  <c r="G84" i="43"/>
  <c r="G85" i="43"/>
  <c r="G86" i="43"/>
  <c r="G87" i="43"/>
  <c r="G88" i="43"/>
  <c r="G89" i="43"/>
  <c r="G90" i="43"/>
  <c r="G83" i="43"/>
  <c r="AM8" i="1"/>
  <c r="AM7" i="1"/>
  <c r="AL8" i="1"/>
  <c r="AL7" i="1"/>
  <c r="AK8" i="1"/>
  <c r="AK7" i="1"/>
  <c r="N14" i="1"/>
  <c r="N8" i="1"/>
  <c r="N7" i="1"/>
  <c r="L8" i="1"/>
  <c r="L7" i="1"/>
  <c r="J8" i="1"/>
  <c r="I8" i="1"/>
  <c r="H8" i="1"/>
  <c r="J7" i="1"/>
  <c r="I7" i="1"/>
  <c r="H7" i="1"/>
  <c r="B59" i="1"/>
  <c r="F13" i="4"/>
  <c r="G13" i="4"/>
  <c r="F8" i="80"/>
  <c r="C76" i="81"/>
  <c r="C76" i="80"/>
  <c r="F8" i="81"/>
  <c r="D23" i="80" l="1"/>
  <c r="U21" i="1"/>
  <c r="V26" i="1"/>
  <c r="U26" i="1" s="1"/>
  <c r="D22" i="80"/>
  <c r="P74" i="81"/>
  <c r="P74" i="80"/>
  <c r="Q71" i="81"/>
  <c r="F51" i="81"/>
  <c r="Q71" i="80"/>
  <c r="F51" i="80"/>
  <c r="D60" i="78"/>
  <c r="C60" i="78"/>
  <c r="B55" i="78"/>
  <c r="D55" i="78" s="1"/>
  <c r="D53" i="78"/>
  <c r="D52" i="78"/>
  <c r="D51" i="78" s="1"/>
  <c r="B51" i="78"/>
  <c r="B56" i="78" s="1"/>
  <c r="F9" i="81"/>
  <c r="M24" i="81"/>
  <c r="M8" i="81"/>
  <c r="F26" i="80"/>
  <c r="F36" i="81"/>
  <c r="M22" i="81"/>
  <c r="F38" i="80"/>
  <c r="M6" i="80"/>
  <c r="F37" i="80"/>
  <c r="F6" i="80"/>
  <c r="L47" i="80"/>
  <c r="M23" i="81"/>
  <c r="J15" i="81"/>
  <c r="J15" i="80"/>
  <c r="M26" i="81"/>
  <c r="M28" i="80"/>
  <c r="M8" i="80"/>
  <c r="L47" i="81"/>
  <c r="M26" i="80"/>
  <c r="F36" i="80"/>
  <c r="F37" i="81"/>
  <c r="F26" i="81"/>
  <c r="F13" i="81"/>
  <c r="M24" i="80"/>
  <c r="F16" i="80"/>
  <c r="M23" i="80"/>
  <c r="F6" i="81"/>
  <c r="F42" i="81"/>
  <c r="F16" i="81"/>
  <c r="M22" i="80"/>
  <c r="F42" i="80"/>
  <c r="F38" i="81"/>
  <c r="F40" i="81"/>
  <c r="M28" i="81"/>
  <c r="F40" i="80"/>
  <c r="M9" i="81"/>
  <c r="M6" i="81"/>
  <c r="F9" i="80"/>
  <c r="F13" i="80"/>
  <c r="M9" i="80"/>
  <c r="F66" i="81" l="1"/>
  <c r="C27" i="81"/>
  <c r="F64" i="81"/>
  <c r="F68" i="81"/>
  <c r="F65" i="81"/>
  <c r="F64" i="80"/>
  <c r="F68" i="80"/>
  <c r="F65" i="80"/>
  <c r="F66" i="80"/>
  <c r="C27" i="80"/>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E5" i="3" s="1"/>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G7" i="12"/>
  <c r="K5" i="3"/>
  <c r="G19" i="6"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G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BA13" i="3"/>
  <c r="BL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 i="73"/>
  <c r="E13" i="76"/>
  <c r="F38" i="67"/>
  <c r="F36" i="67"/>
  <c r="F8" i="67"/>
  <c r="F9" i="67"/>
  <c r="L47" i="67"/>
  <c r="F37" i="67"/>
  <c r="B12" i="76"/>
  <c r="E7" i="76"/>
  <c r="F13" i="67"/>
  <c r="F3" i="73"/>
  <c r="B9" i="76"/>
  <c r="M8" i="67"/>
  <c r="E2" i="68"/>
  <c r="M26" i="67"/>
  <c r="M22" i="67"/>
  <c r="M23" i="67"/>
  <c r="F7" i="73"/>
  <c r="M28" i="67"/>
  <c r="B10" i="76"/>
  <c r="E2" i="69"/>
  <c r="F7" i="81"/>
  <c r="E8" i="76"/>
  <c r="B7" i="76"/>
  <c r="M9" i="67"/>
  <c r="F7" i="67"/>
  <c r="J15" i="67"/>
  <c r="D6" i="73"/>
  <c r="M6" i="67"/>
  <c r="E12" i="76"/>
  <c r="F42" i="67"/>
  <c r="M29" i="67"/>
  <c r="F16" i="67"/>
  <c r="F40" i="67"/>
  <c r="E9" i="76"/>
  <c r="M24" i="67"/>
  <c r="F5" i="73"/>
  <c r="B11" i="76"/>
  <c r="F43" i="67"/>
  <c r="E10" i="76"/>
  <c r="F6" i="73"/>
  <c r="B8" i="76"/>
  <c r="C76" i="67"/>
  <c r="E11" i="76"/>
  <c r="F6" i="67"/>
  <c r="AO13" i="1"/>
  <c r="B13" i="76"/>
  <c r="F26" i="67"/>
  <c r="F20" i="31"/>
  <c r="C24" i="12" l="1"/>
  <c r="C28" i="80"/>
  <c r="C28" i="81"/>
  <c r="F7" i="1"/>
  <c r="J51" i="80"/>
  <c r="J51" i="81"/>
  <c r="D6" i="52"/>
  <c r="BA21" i="3"/>
  <c r="C6" i="81"/>
  <c r="F50" i="81"/>
  <c r="C49" i="81" s="1"/>
  <c r="C61" i="81" s="1"/>
  <c r="M7" i="81"/>
  <c r="J6" i="81" s="1"/>
  <c r="BA22" i="3"/>
  <c r="G27" i="6"/>
  <c r="E21" i="6"/>
  <c r="E20" i="6"/>
  <c r="BB5" i="3"/>
  <c r="AZ17" i="3"/>
  <c r="BC5" i="3"/>
  <c r="E19" i="6"/>
  <c r="C7" i="12" s="1"/>
  <c r="H5" i="3"/>
  <c r="G13" i="3"/>
  <c r="C18" i="9"/>
  <c r="D18" i="9" s="1"/>
  <c r="D88" i="43"/>
  <c r="F34" i="15"/>
  <c r="F62" i="15" s="1"/>
  <c r="M20" i="67"/>
  <c r="F34" i="67"/>
  <c r="F62" i="67" s="1"/>
  <c r="C40" i="69"/>
  <c r="G22" i="68"/>
  <c r="G22" i="11"/>
  <c r="E1" i="73"/>
  <c r="G26" i="12"/>
  <c r="G22" i="69"/>
  <c r="F3" i="35"/>
  <c r="G1" i="69"/>
  <c r="G1" i="15"/>
  <c r="G21" i="3"/>
  <c r="AZ14" i="3"/>
  <c r="BL15" i="3"/>
  <c r="BL18" i="3"/>
  <c r="BL19" i="3"/>
  <c r="BA20" i="3"/>
  <c r="AZ20" i="3" s="1"/>
  <c r="AZ15" i="3"/>
  <c r="F29" i="6"/>
  <c r="E29" i="6" s="1"/>
  <c r="K15" i="1" s="1"/>
  <c r="BL16" i="3"/>
  <c r="AZ16" i="3" s="1"/>
  <c r="BA19" i="3"/>
  <c r="BA18" i="3"/>
  <c r="BL21" i="3"/>
  <c r="AZ21" i="3" s="1"/>
  <c r="F9" i="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F26" i="43"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D66" i="43"/>
  <c r="D64" i="43"/>
  <c r="D62" i="43"/>
  <c r="D67" i="43"/>
  <c r="D65" i="43"/>
  <c r="D63" i="43"/>
  <c r="D69" i="43"/>
  <c r="D73" i="43"/>
  <c r="D75" i="43"/>
  <c r="D79" i="43"/>
  <c r="D22" i="67"/>
  <c r="AQ13" i="1"/>
  <c r="E8" i="6"/>
  <c r="F27" i="6" s="1"/>
  <c r="E15" i="6"/>
  <c r="E64"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66" i="67"/>
  <c r="Q71" i="67"/>
  <c r="C27" i="67"/>
  <c r="F71" i="67"/>
  <c r="N59" i="67"/>
  <c r="L59" i="67"/>
  <c r="B13" i="70"/>
  <c r="M7" i="67"/>
  <c r="J6" i="67" s="1"/>
  <c r="F50" i="67"/>
  <c r="F68" i="67"/>
  <c r="F64" i="67"/>
  <c r="D9" i="69"/>
  <c r="D9" i="68"/>
  <c r="F36" i="15"/>
  <c r="F26" i="15"/>
  <c r="C76" i="15"/>
  <c r="F16" i="15"/>
  <c r="M26" i="15"/>
  <c r="D5" i="73"/>
  <c r="L48" i="67"/>
  <c r="F6" i="15"/>
  <c r="L48" i="80"/>
  <c r="F40" i="15"/>
  <c r="M24" i="15"/>
  <c r="L48" i="15"/>
  <c r="M9" i="15"/>
  <c r="D7" i="73"/>
  <c r="F9" i="15"/>
  <c r="M23" i="15"/>
  <c r="M28" i="15"/>
  <c r="F38" i="15"/>
  <c r="F42" i="15"/>
  <c r="M6" i="15"/>
  <c r="J15" i="15"/>
  <c r="D4" i="73"/>
  <c r="C16" i="67"/>
  <c r="L48" i="81"/>
  <c r="F8" i="15"/>
  <c r="F13" i="15"/>
  <c r="M22" i="15"/>
  <c r="M8" i="15"/>
  <c r="D3" i="73"/>
  <c r="L47" i="15"/>
  <c r="F37" i="15"/>
  <c r="J53" i="67" l="1"/>
  <c r="F1" i="67" s="1"/>
  <c r="J57" i="67"/>
  <c r="J55" i="67" s="1"/>
  <c r="J58" i="67" s="1"/>
  <c r="Q50" i="67" s="1"/>
  <c r="L56" i="67"/>
  <c r="L58" i="67"/>
  <c r="Q73" i="67" s="1"/>
  <c r="I54" i="67"/>
  <c r="L56" i="80"/>
  <c r="L58" i="80"/>
  <c r="L57" i="80"/>
  <c r="L60" i="80"/>
  <c r="L57" i="81"/>
  <c r="L60" i="81"/>
  <c r="L56" i="81"/>
  <c r="L58" i="81"/>
  <c r="G9" i="1"/>
  <c r="G7" i="1"/>
  <c r="G8" i="1"/>
  <c r="N59" i="81"/>
  <c r="J57" i="81"/>
  <c r="J55" i="81" s="1"/>
  <c r="J58" i="81" s="1"/>
  <c r="Q50" i="81" s="1"/>
  <c r="I54" i="81"/>
  <c r="N59" i="80"/>
  <c r="J57" i="80"/>
  <c r="J55" i="80" s="1"/>
  <c r="J58" i="80" s="1"/>
  <c r="Q50" i="80" s="1"/>
  <c r="I54" i="80"/>
  <c r="J18" i="81"/>
  <c r="J19" i="81"/>
  <c r="E7" i="12"/>
  <c r="K8" i="1"/>
  <c r="C33" i="81"/>
  <c r="C32" i="81"/>
  <c r="D7" i="12"/>
  <c r="K7" i="1"/>
  <c r="E14" i="6"/>
  <c r="E63" i="39" s="1"/>
  <c r="AZ18" i="3"/>
  <c r="E11" i="6"/>
  <c r="E60" i="39" s="1"/>
  <c r="E12" i="6"/>
  <c r="E57" i="40" s="1"/>
  <c r="K6" i="1"/>
  <c r="H16" i="1" s="1"/>
  <c r="G5" i="3"/>
  <c r="B3" i="3" s="1"/>
  <c r="E466" i="3" s="1"/>
  <c r="H26" i="43"/>
  <c r="D20" i="53"/>
  <c r="B40" i="72" s="1"/>
  <c r="F11" i="81"/>
  <c r="M11" i="81"/>
  <c r="J10" i="81" s="1"/>
  <c r="J5" i="81" s="1"/>
  <c r="M11" i="80"/>
  <c r="J10" i="80" s="1"/>
  <c r="F11" i="80"/>
  <c r="E83" i="43"/>
  <c r="B81" i="43" s="1"/>
  <c r="E26" i="43"/>
  <c r="F64" i="15"/>
  <c r="Q71" i="15"/>
  <c r="F51" i="15"/>
  <c r="I54" i="15"/>
  <c r="J57" i="15"/>
  <c r="J55" i="15" s="1"/>
  <c r="J58" i="15" s="1"/>
  <c r="Q50" i="15" s="1"/>
  <c r="C27" i="15"/>
  <c r="F65" i="15"/>
  <c r="N59" i="15"/>
  <c r="L58" i="15"/>
  <c r="Q60" i="15" s="1"/>
  <c r="F68" i="15"/>
  <c r="F66" i="15"/>
  <c r="G26" i="43"/>
  <c r="D26" i="43" s="1"/>
  <c r="C25" i="43" s="1"/>
  <c r="N94" i="46"/>
  <c r="J26" i="43"/>
  <c r="N370" i="46"/>
  <c r="AZ19" i="3"/>
  <c r="E59" i="40"/>
  <c r="J7" i="37"/>
  <c r="K1" i="73"/>
  <c r="R6" i="3"/>
  <c r="E249" i="3"/>
  <c r="E218" i="3"/>
  <c r="E250" i="3"/>
  <c r="E297" i="3"/>
  <c r="E127" i="3"/>
  <c r="E257" i="3"/>
  <c r="E547" i="3"/>
  <c r="E298" i="3"/>
  <c r="E302" i="3"/>
  <c r="E434" i="3"/>
  <c r="E32" i="3"/>
  <c r="E164" i="3"/>
  <c r="E166" i="3"/>
  <c r="E553" i="3"/>
  <c r="E358" i="3"/>
  <c r="E407" i="3"/>
  <c r="E290" i="3"/>
  <c r="E382" i="3"/>
  <c r="E336" i="3"/>
  <c r="E193" i="3"/>
  <c r="E519" i="3"/>
  <c r="E450" i="3"/>
  <c r="E31" i="3"/>
  <c r="E107" i="3"/>
  <c r="E505" i="3"/>
  <c r="E331" i="3"/>
  <c r="E44" i="3"/>
  <c r="E530" i="3"/>
  <c r="E270" i="3"/>
  <c r="E439" i="3"/>
  <c r="E216" i="3"/>
  <c r="E361" i="3"/>
  <c r="E301" i="3"/>
  <c r="E495" i="3"/>
  <c r="E545" i="3"/>
  <c r="AK6" i="3"/>
  <c r="K6" i="3"/>
  <c r="E468" i="3"/>
  <c r="E106" i="3"/>
  <c r="E74" i="3"/>
  <c r="E368" i="3"/>
  <c r="E485" i="3"/>
  <c r="E345" i="3"/>
  <c r="E211" i="3"/>
  <c r="E273" i="3"/>
  <c r="E109" i="3"/>
  <c r="AJ6" i="3"/>
  <c r="E579" i="3"/>
  <c r="E311" i="3"/>
  <c r="E570" i="3"/>
  <c r="E335" i="3"/>
  <c r="E189" i="3"/>
  <c r="E445" i="3"/>
  <c r="E135" i="3"/>
  <c r="E191" i="3"/>
  <c r="E246" i="3"/>
  <c r="X6" i="3"/>
  <c r="E148" i="3"/>
  <c r="E296" i="3"/>
  <c r="E242"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H7" i="36"/>
  <c r="E94"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J18" i="67"/>
  <c r="Q61" i="67"/>
  <c r="Q74" i="67"/>
  <c r="AE11" i="1"/>
  <c r="AE9" i="1"/>
  <c r="AE12" i="1"/>
  <c r="AE10" i="1"/>
  <c r="G1" i="73"/>
  <c r="M29" i="15"/>
  <c r="F43" i="80"/>
  <c r="M29" i="81"/>
  <c r="F7" i="80"/>
  <c r="F41" i="67"/>
  <c r="F43" i="15"/>
  <c r="M29" i="80"/>
  <c r="F7" i="15"/>
  <c r="F43" i="81"/>
  <c r="Q60" i="67" l="1"/>
  <c r="Q52" i="67"/>
  <c r="Q66" i="81"/>
  <c r="Q57" i="81"/>
  <c r="Q73" i="80"/>
  <c r="Q60" i="80"/>
  <c r="Q73" i="81"/>
  <c r="Q60" i="81"/>
  <c r="Q66" i="80"/>
  <c r="Q57" i="80"/>
  <c r="E131" i="3"/>
  <c r="E119" i="3"/>
  <c r="E385" i="3"/>
  <c r="E278" i="3"/>
  <c r="E514" i="3"/>
  <c r="E268" i="3"/>
  <c r="E489" i="3"/>
  <c r="E227" i="3"/>
  <c r="E465" i="3"/>
  <c r="E124" i="3"/>
  <c r="E183" i="3"/>
  <c r="E143" i="3"/>
  <c r="AS6" i="3"/>
  <c r="E150" i="3"/>
  <c r="E511" i="3"/>
  <c r="E415" i="3"/>
  <c r="E366" i="3"/>
  <c r="E344" i="3"/>
  <c r="E403" i="3"/>
  <c r="AD6" i="3"/>
  <c r="E123" i="3"/>
  <c r="E275" i="3"/>
  <c r="E200" i="3"/>
  <c r="E263" i="3"/>
  <c r="E172" i="3"/>
  <c r="E387" i="3"/>
  <c r="E431" i="3"/>
  <c r="E217" i="3"/>
  <c r="E182" i="3"/>
  <c r="Z6" i="3"/>
  <c r="E171" i="3"/>
  <c r="E560" i="3"/>
  <c r="E568" i="3"/>
  <c r="E91" i="3"/>
  <c r="E380" i="3"/>
  <c r="E388" i="3"/>
  <c r="E476" i="3"/>
  <c r="E269" i="3"/>
  <c r="E571" i="3"/>
  <c r="E583" i="3"/>
  <c r="E395" i="3"/>
  <c r="E151" i="3"/>
  <c r="E443" i="3"/>
  <c r="E424" i="3"/>
  <c r="O6" i="3"/>
  <c r="E136" i="3"/>
  <c r="E19" i="3"/>
  <c r="E40" i="3"/>
  <c r="E531" i="3"/>
  <c r="E327" i="3"/>
  <c r="E214" i="3"/>
  <c r="E587" i="3"/>
  <c r="E133" i="3"/>
  <c r="E347" i="3"/>
  <c r="E134" i="3"/>
  <c r="E261" i="3"/>
  <c r="AR6" i="3"/>
  <c r="E508" i="3"/>
  <c r="E186" i="3"/>
  <c r="E515" i="3"/>
  <c r="E279" i="3"/>
  <c r="E457" i="3"/>
  <c r="E85" i="3"/>
  <c r="E61" i="3"/>
  <c r="E230" i="3"/>
  <c r="E239" i="3"/>
  <c r="E121" i="3"/>
  <c r="E274" i="3"/>
  <c r="AA6" i="3"/>
  <c r="E328" i="3"/>
  <c r="E537" i="3"/>
  <c r="E66" i="3"/>
  <c r="E24" i="3"/>
  <c r="E158" i="3"/>
  <c r="E481" i="3"/>
  <c r="E402" i="3"/>
  <c r="E321" i="3"/>
  <c r="E29" i="3"/>
  <c r="E207" i="3"/>
  <c r="E288" i="3"/>
  <c r="E187" i="3"/>
  <c r="E373" i="3"/>
  <c r="E138" i="3"/>
  <c r="E155" i="3"/>
  <c r="E60" i="3"/>
  <c r="E13" i="3"/>
  <c r="E142" i="3"/>
  <c r="E240" i="3"/>
  <c r="E483" i="3"/>
  <c r="E132" i="3"/>
  <c r="E100" i="3"/>
  <c r="AI6" i="3"/>
  <c r="E535" i="3"/>
  <c r="E69" i="3"/>
  <c r="AB6" i="3"/>
  <c r="E247" i="3"/>
  <c r="E322" i="3"/>
  <c r="E572" i="3"/>
  <c r="E28" i="3"/>
  <c r="E400" i="3"/>
  <c r="E204" i="3"/>
  <c r="E315" i="3"/>
  <c r="E454" i="3"/>
  <c r="E406" i="3"/>
  <c r="E228" i="3"/>
  <c r="E77" i="3"/>
  <c r="E586" i="3"/>
  <c r="E503" i="3"/>
  <c r="E185" i="3"/>
  <c r="E538" i="3"/>
  <c r="E555" i="3"/>
  <c r="E175" i="3"/>
  <c r="E162" i="3"/>
  <c r="E478" i="3"/>
  <c r="E567" i="3"/>
  <c r="E111" i="3"/>
  <c r="E458" i="3"/>
  <c r="E314" i="3"/>
  <c r="E518" i="3"/>
  <c r="E260" i="3"/>
  <c r="E294" i="3"/>
  <c r="E569" i="3"/>
  <c r="E334" i="3"/>
  <c r="P6" i="3"/>
  <c r="E203" i="3"/>
  <c r="E262" i="3"/>
  <c r="E221" i="3"/>
  <c r="E523" i="3"/>
  <c r="E272" i="3"/>
  <c r="E93" i="3"/>
  <c r="E313" i="3"/>
  <c r="E459" i="3"/>
  <c r="E47" i="3"/>
  <c r="E57" i="3"/>
  <c r="E524" i="3"/>
  <c r="E178" i="3"/>
  <c r="E522" i="3"/>
  <c r="F71" i="81"/>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45" i="3"/>
  <c r="E253" i="3"/>
  <c r="E578" i="3"/>
  <c r="E117" i="3"/>
  <c r="E130" i="3"/>
  <c r="E551" i="3"/>
  <c r="E516" i="3"/>
  <c r="E480" i="3"/>
  <c r="E581" i="3"/>
  <c r="E252" i="3"/>
  <c r="E55" i="3"/>
  <c r="E177" i="3"/>
  <c r="AN6" i="3"/>
  <c r="E213" i="3"/>
  <c r="E97" i="3"/>
  <c r="E317" i="3"/>
  <c r="E411" i="3"/>
  <c r="E471" i="3"/>
  <c r="E306" i="3"/>
  <c r="E167" i="3"/>
  <c r="E374" i="3"/>
  <c r="E149" i="3"/>
  <c r="E520" i="3"/>
  <c r="E552" i="3"/>
  <c r="E339" i="3"/>
  <c r="E188" i="3"/>
  <c r="E233" i="3"/>
  <c r="M8" i="1"/>
  <c r="G16" i="1"/>
  <c r="H10" i="40" s="1"/>
  <c r="C6" i="80"/>
  <c r="C10" i="80" s="1"/>
  <c r="C5" i="80" s="1"/>
  <c r="F50" i="80"/>
  <c r="C49" i="80" s="1"/>
  <c r="C61" i="80" s="1"/>
  <c r="M7" i="80"/>
  <c r="J6" i="80" s="1"/>
  <c r="F71" i="80"/>
  <c r="M7" i="1"/>
  <c r="E234" i="3"/>
  <c r="E486" i="3"/>
  <c r="E140" i="3"/>
  <c r="E544" i="3"/>
  <c r="V6" i="3"/>
  <c r="E229" i="3"/>
  <c r="E282" i="3"/>
  <c r="E30" i="3"/>
  <c r="E404" i="3"/>
  <c r="E576" i="3"/>
  <c r="E580" i="3"/>
  <c r="E496" i="3"/>
  <c r="E330" i="3"/>
  <c r="E156" i="3"/>
  <c r="E303" i="3"/>
  <c r="E304" i="3"/>
  <c r="E390" i="3"/>
  <c r="E501" i="3"/>
  <c r="E546" i="3"/>
  <c r="E379" i="3"/>
  <c r="E208" i="3"/>
  <c r="E532" i="3"/>
  <c r="E82" i="3"/>
  <c r="E154" i="3"/>
  <c r="E259" i="3"/>
  <c r="E375" i="3"/>
  <c r="E48" i="3"/>
  <c r="E244" i="3"/>
  <c r="E90" i="3"/>
  <c r="E147" i="3"/>
  <c r="E15" i="3"/>
  <c r="E422" i="3"/>
  <c r="E428" i="3"/>
  <c r="E332" i="3"/>
  <c r="E435" i="3"/>
  <c r="E295" i="3"/>
  <c r="E444" i="3"/>
  <c r="E448" i="3"/>
  <c r="I6" i="3"/>
  <c r="E256" i="3"/>
  <c r="E429" i="3"/>
  <c r="Q6" i="3"/>
  <c r="E128" i="3"/>
  <c r="E280" i="3"/>
  <c r="E254" i="3"/>
  <c r="E565" i="3"/>
  <c r="E418" i="3"/>
  <c r="E574" i="3"/>
  <c r="E319" i="3"/>
  <c r="E126" i="3"/>
  <c r="E548" i="3"/>
  <c r="E397" i="3"/>
  <c r="E168" i="3"/>
  <c r="E474" i="3"/>
  <c r="E352" i="3"/>
  <c r="E98" i="3"/>
  <c r="E488" i="3"/>
  <c r="E163" i="3"/>
  <c r="E341" i="3"/>
  <c r="E464" i="3"/>
  <c r="E209" i="3"/>
  <c r="E421" i="3"/>
  <c r="E58" i="3"/>
  <c r="E141" i="3"/>
  <c r="E50" i="3"/>
  <c r="E392" i="3"/>
  <c r="E455" i="3"/>
  <c r="E333" i="3"/>
  <c r="AH6" i="3"/>
  <c r="E105" i="3"/>
  <c r="E342" i="3"/>
  <c r="E26" i="3"/>
  <c r="E469" i="3"/>
  <c r="E113" i="3"/>
  <c r="E18" i="3"/>
  <c r="E264" i="3"/>
  <c r="E67" i="3"/>
  <c r="E425" i="3"/>
  <c r="E152" i="3"/>
  <c r="E255" i="3"/>
  <c r="E510" i="3"/>
  <c r="E220" i="3"/>
  <c r="E452" i="3"/>
  <c r="E534" i="3"/>
  <c r="E34" i="3"/>
  <c r="E42" i="3"/>
  <c r="E81" i="3"/>
  <c r="E300" i="3"/>
  <c r="E76" i="3"/>
  <c r="E95" i="3"/>
  <c r="AT6" i="3"/>
  <c r="E199" i="3"/>
  <c r="E449" i="3"/>
  <c r="E417" i="3"/>
  <c r="E363" i="3"/>
  <c r="E64" i="3"/>
  <c r="E492" i="3"/>
  <c r="E63" i="3"/>
  <c r="E198" i="3"/>
  <c r="E96" i="3"/>
  <c r="E102" i="3"/>
  <c r="E525" i="3"/>
  <c r="E451" i="3"/>
  <c r="E115" i="3"/>
  <c r="E324" i="3"/>
  <c r="E83" i="3"/>
  <c r="E427" i="3"/>
  <c r="J6" i="3"/>
  <c r="E202" i="3"/>
  <c r="E473" i="3"/>
  <c r="E137" i="3"/>
  <c r="AQ6" i="3"/>
  <c r="E364" i="3"/>
  <c r="E365" i="3"/>
  <c r="E398" i="3"/>
  <c r="E65" i="3"/>
  <c r="E312" i="3"/>
  <c r="E446" i="3"/>
  <c r="E284" i="3"/>
  <c r="E582" i="3"/>
  <c r="E584" i="3"/>
  <c r="E39" i="3"/>
  <c r="Y6" i="3"/>
  <c r="E87" i="3"/>
  <c r="E504" i="3"/>
  <c r="E122" i="3"/>
  <c r="E224" i="3"/>
  <c r="E438" i="3"/>
  <c r="E475" i="3"/>
  <c r="E14" i="3"/>
  <c r="E145" i="3"/>
  <c r="E432" i="3"/>
  <c r="E92" i="3"/>
  <c r="AM6" i="3"/>
  <c r="E153" i="3"/>
  <c r="E285" i="3"/>
  <c r="E506"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62" i="3"/>
  <c r="E112" i="3"/>
  <c r="E170" i="3"/>
  <c r="L6" i="3"/>
  <c r="E401" i="3"/>
  <c r="E393" i="3"/>
  <c r="E370" i="3"/>
  <c r="E243" i="3"/>
  <c r="E408" i="3"/>
  <c r="E22" i="3"/>
  <c r="E383" i="3"/>
  <c r="E21" i="3"/>
  <c r="E144" i="3"/>
  <c r="E46" i="3"/>
  <c r="E241" i="3"/>
  <c r="E517" i="3"/>
  <c r="E575" i="3"/>
  <c r="E500" i="3"/>
  <c r="E51" i="3"/>
  <c r="E521" i="3"/>
  <c r="E460" i="3"/>
  <c r="E101" i="3"/>
  <c r="E176" i="3"/>
  <c r="E340" i="3"/>
  <c r="E52" i="3"/>
  <c r="E299" i="3"/>
  <c r="E38" i="3"/>
  <c r="E43" i="3"/>
  <c r="E276" i="3"/>
  <c r="E463" i="3"/>
  <c r="E490" i="3"/>
  <c r="E493" i="3"/>
  <c r="E16" i="3"/>
  <c r="E232" i="3"/>
  <c r="E412" i="3"/>
  <c r="E104" i="3"/>
  <c r="E497" i="3"/>
  <c r="E405" i="3"/>
  <c r="E205" i="3"/>
  <c r="E251" i="3"/>
  <c r="E129" i="3"/>
  <c r="AL6" i="3"/>
  <c r="E513" i="3"/>
  <c r="E355" i="3"/>
  <c r="E23" i="3"/>
  <c r="E267" i="3"/>
  <c r="E409" i="3"/>
  <c r="E292" i="3"/>
  <c r="E56" i="3"/>
  <c r="I3" i="6"/>
  <c r="E442" i="3"/>
  <c r="E212"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192" i="3"/>
  <c r="E479" i="3"/>
  <c r="E554" i="3"/>
  <c r="E541" i="3"/>
  <c r="E499" i="3"/>
  <c r="E536"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Q16" i="1"/>
  <c r="F71" i="15"/>
  <c r="F50" i="15"/>
  <c r="C49" i="15" s="1"/>
  <c r="C6" i="15"/>
  <c r="C32" i="15" s="1"/>
  <c r="M7" i="15"/>
  <c r="J6" i="15" s="1"/>
  <c r="J18" i="15" s="1"/>
  <c r="K16" i="1"/>
  <c r="M6" i="1"/>
  <c r="AP6" i="1"/>
  <c r="C36" i="69" s="1"/>
  <c r="J24" i="81"/>
  <c r="J26" i="81"/>
  <c r="C53" i="81"/>
  <c r="C48" i="81" s="1"/>
  <c r="C10" i="81"/>
  <c r="C5" i="81" s="1"/>
  <c r="C53" i="80"/>
  <c r="Q73" i="15"/>
  <c r="E3" i="6"/>
  <c r="D3" i="21" s="1"/>
  <c r="B40" i="1"/>
  <c r="F24" i="81"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1" i="43"/>
  <c r="K21" i="6"/>
  <c r="S8" i="1"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L18" i="9"/>
  <c r="C42" i="43"/>
  <c r="E42" i="43" s="1"/>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6" i="81"/>
  <c r="C16" i="15"/>
  <c r="M27" i="81"/>
  <c r="M27" i="15"/>
  <c r="M27" i="80"/>
  <c r="C17" i="81"/>
  <c r="M27" i="67"/>
  <c r="C16" i="80"/>
  <c r="M16" i="1" l="1"/>
  <c r="J10" i="40"/>
  <c r="AC10" i="40" s="1"/>
  <c r="H10" i="39"/>
  <c r="U10" i="39" s="1"/>
  <c r="AB10" i="40"/>
  <c r="U10" i="40"/>
  <c r="J10" i="39"/>
  <c r="W10" i="39" s="1"/>
  <c r="C24" i="43"/>
  <c r="D3" i="37"/>
  <c r="C10" i="15"/>
  <c r="C5" i="15" s="1"/>
  <c r="C38" i="15" s="1"/>
  <c r="M18" i="9"/>
  <c r="B118" i="9" s="1"/>
  <c r="B1" i="74" s="1"/>
  <c r="C17" i="4"/>
  <c r="B4" i="52" s="1"/>
  <c r="B43" i="72" s="1"/>
  <c r="D14" i="12"/>
  <c r="D17" i="12" s="1"/>
  <c r="C17" i="12" s="1"/>
  <c r="C48" i="80"/>
  <c r="C66" i="80" s="1"/>
  <c r="D19" i="11"/>
  <c r="C19" i="11" s="1"/>
  <c r="D3" i="33"/>
  <c r="O8" i="1"/>
  <c r="P8" i="1" s="1"/>
  <c r="F10" i="39"/>
  <c r="F10" i="40"/>
  <c r="D3" i="34"/>
  <c r="E6" i="6"/>
  <c r="J19" i="80"/>
  <c r="J18" i="80"/>
  <c r="O7" i="1"/>
  <c r="P7" i="1" s="1"/>
  <c r="J5" i="80"/>
  <c r="C32" i="80"/>
  <c r="C33" i="80"/>
  <c r="H6" i="3"/>
  <c r="AC6" i="3"/>
  <c r="J5" i="15"/>
  <c r="J24" i="15" s="1"/>
  <c r="F27" i="69"/>
  <c r="F28" i="12"/>
  <c r="F27" i="11"/>
  <c r="C47" i="11" s="1"/>
  <c r="D45" i="11" s="1"/>
  <c r="F27" i="68"/>
  <c r="O6" i="1"/>
  <c r="P6" i="1" s="1"/>
  <c r="C13" i="12" s="1"/>
  <c r="E8" i="70"/>
  <c r="C24" i="81"/>
  <c r="C38" i="81"/>
  <c r="C66" i="81"/>
  <c r="C60" i="81"/>
  <c r="C38" i="80"/>
  <c r="L36" i="43"/>
  <c r="L37" i="43" s="1"/>
  <c r="M37" i="43" s="1"/>
  <c r="F24" i="80"/>
  <c r="C48" i="15"/>
  <c r="C66" i="15" s="1"/>
  <c r="F22" i="69"/>
  <c r="F41" i="69" s="1"/>
  <c r="F25" i="12"/>
  <c r="F24" i="67"/>
  <c r="C24" i="67" s="1"/>
  <c r="D116" i="43"/>
  <c r="F24" i="15"/>
  <c r="C24" i="15" s="1"/>
  <c r="F22" i="68"/>
  <c r="F22" i="11"/>
  <c r="E49" i="34"/>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N16" i="1"/>
  <c r="B21" i="1" s="1"/>
  <c r="L16" i="1"/>
  <c r="G42" i="43"/>
  <c r="I42" i="43" s="1"/>
  <c r="H67" i="39"/>
  <c r="G69" i="39"/>
  <c r="E41" i="43"/>
  <c r="G41" i="43"/>
  <c r="I41"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80"/>
  <c r="C17" i="15"/>
  <c r="C14" i="67"/>
  <c r="C14" i="81"/>
  <c r="C17" i="67"/>
  <c r="AB10" i="39" l="1"/>
  <c r="AC10" i="39"/>
  <c r="W10" i="40"/>
  <c r="T12" i="43"/>
  <c r="V12" i="43" s="1"/>
  <c r="T15" i="43"/>
  <c r="V15" i="43" s="1"/>
  <c r="T7" i="43"/>
  <c r="V7" i="43" s="1"/>
  <c r="T10" i="43"/>
  <c r="V10" i="43" s="1"/>
  <c r="T2" i="43"/>
  <c r="V2" i="43" s="1"/>
  <c r="C40" i="43"/>
  <c r="C38" i="43"/>
  <c r="T13" i="43"/>
  <c r="V13" i="43" s="1"/>
  <c r="T16" i="43"/>
  <c r="V16" i="43" s="1"/>
  <c r="T8" i="43"/>
  <c r="V8" i="43" s="1"/>
  <c r="T6" i="43"/>
  <c r="V6" i="43" s="1"/>
  <c r="C37" i="43"/>
  <c r="T11" i="43"/>
  <c r="V11" i="43" s="1"/>
  <c r="T14" i="43"/>
  <c r="V14" i="43" s="1"/>
  <c r="T4" i="43"/>
  <c r="V4" i="43" s="1"/>
  <c r="T5" i="43"/>
  <c r="V5" i="43" s="1"/>
  <c r="C39" i="43"/>
  <c r="T9" i="43"/>
  <c r="V9" i="43" s="1"/>
  <c r="T3" i="43"/>
  <c r="V3" i="43" s="1"/>
  <c r="C33" i="43"/>
  <c r="C60" i="80"/>
  <c r="D30" i="6"/>
  <c r="S10" i="40"/>
  <c r="AA10" i="40"/>
  <c r="AA10" i="39"/>
  <c r="S10" i="39"/>
  <c r="J26" i="80"/>
  <c r="J24" i="80"/>
  <c r="E6" i="3"/>
  <c r="C47" i="68"/>
  <c r="D45" i="68" s="1"/>
  <c r="F45" i="68"/>
  <c r="C47" i="69"/>
  <c r="D45" i="69" s="1"/>
  <c r="C29" i="69"/>
  <c r="D27" i="69" s="1"/>
  <c r="F45" i="69"/>
  <c r="P16" i="1"/>
  <c r="C11" i="12" s="1"/>
  <c r="C15" i="12" s="1"/>
  <c r="O16" i="1"/>
  <c r="E7" i="70"/>
  <c r="C15" i="81"/>
  <c r="C18" i="81"/>
  <c r="P37" i="43"/>
  <c r="N36" i="43"/>
  <c r="Q37" i="43"/>
  <c r="M36" i="43"/>
  <c r="N37" i="43"/>
  <c r="Q36" i="43"/>
  <c r="O37" i="43"/>
  <c r="P36" i="43"/>
  <c r="O36" i="43"/>
  <c r="C24" i="80"/>
  <c r="B23" i="1"/>
  <c r="B24" i="1"/>
  <c r="F11" i="12" s="1"/>
  <c r="C29" i="68"/>
  <c r="D27" i="68" s="1"/>
  <c r="C29" i="11"/>
  <c r="D27" i="11" s="1"/>
  <c r="C28" i="11"/>
  <c r="C27" i="11" s="1"/>
  <c r="C44" i="11"/>
  <c r="D41" i="11" s="1"/>
  <c r="C60" i="15"/>
  <c r="C44" i="69"/>
  <c r="D41" i="69" s="1"/>
  <c r="C26" i="69"/>
  <c r="D22" i="69" s="1"/>
  <c r="H24" i="6"/>
  <c r="R24" i="6" s="1"/>
  <c r="R11" i="1" s="1"/>
  <c r="H21" i="6"/>
  <c r="R21" i="6" s="1"/>
  <c r="R8" i="1" s="1"/>
  <c r="C44" i="68"/>
  <c r="D41" i="68" s="1"/>
  <c r="F41" i="68"/>
  <c r="H25" i="6"/>
  <c r="R25" i="6" s="1"/>
  <c r="R12" i="1" s="1"/>
  <c r="C24" i="11"/>
  <c r="C16" i="71"/>
  <c r="D17" i="71"/>
  <c r="C18" i="67"/>
  <c r="C15" i="67"/>
  <c r="H23" i="6"/>
  <c r="R23" i="6" s="1"/>
  <c r="R10" i="1" s="1"/>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2" i="6"/>
  <c r="R9" i="1" s="1"/>
  <c r="D27" i="6"/>
  <c r="D31" i="6" s="1"/>
  <c r="D8" i="74"/>
  <c r="D7" i="74"/>
  <c r="C10" i="69"/>
  <c r="C8" i="69" s="1"/>
  <c r="C5" i="69" s="1"/>
  <c r="D19" i="69"/>
  <c r="F50"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1"/>
  <c r="M21" i="81"/>
  <c r="C14" i="80"/>
  <c r="C14" i="15"/>
  <c r="E33" i="43" l="1"/>
  <c r="C34" i="43"/>
  <c r="E34" i="43" s="1"/>
  <c r="E37" i="43"/>
  <c r="G37" i="43"/>
  <c r="I37" i="43" s="1"/>
  <c r="G38" i="43"/>
  <c r="I38" i="43" s="1"/>
  <c r="E38" i="43"/>
  <c r="E40" i="43"/>
  <c r="G40" i="43"/>
  <c r="I40" i="43" s="1"/>
  <c r="E39" i="43"/>
  <c r="G39" i="43"/>
  <c r="I39" i="43" s="1"/>
  <c r="C12" i="12"/>
  <c r="F50" i="68"/>
  <c r="F50" i="11"/>
  <c r="C19" i="81"/>
  <c r="C20" i="81" s="1"/>
  <c r="C18" i="80"/>
  <c r="C15" i="80"/>
  <c r="C26" i="12"/>
  <c r="D25" i="12" s="1"/>
  <c r="J53" i="81"/>
  <c r="M59" i="81"/>
  <c r="L59" i="81" s="1"/>
  <c r="J53" i="80"/>
  <c r="M59" i="80"/>
  <c r="L59" i="80" s="1"/>
  <c r="J53" i="15"/>
  <c r="C18" i="12"/>
  <c r="J20" i="81"/>
  <c r="J17" i="81" s="1"/>
  <c r="C34" i="81"/>
  <c r="C31" i="81" s="1"/>
  <c r="F63" i="81"/>
  <c r="C62" i="81" s="1"/>
  <c r="C59" i="81" s="1"/>
  <c r="C26" i="68"/>
  <c r="D22" i="68" s="1"/>
  <c r="C25" i="11"/>
  <c r="C23" i="11"/>
  <c r="F34" i="11"/>
  <c r="C36" i="11" s="1"/>
  <c r="C26" i="11"/>
  <c r="D22" i="11" s="1"/>
  <c r="F34" i="68"/>
  <c r="M59" i="67"/>
  <c r="M59" i="15"/>
  <c r="L59" i="15" s="1"/>
  <c r="C29" i="12"/>
  <c r="D28" i="12" s="1"/>
  <c r="E2" i="70"/>
  <c r="C15" i="71"/>
  <c r="T16" i="71"/>
  <c r="D16" i="71"/>
  <c r="U16" i="71" s="1"/>
  <c r="C19" i="67"/>
  <c r="C20" i="67" s="1"/>
  <c r="C26" i="67" s="1"/>
  <c r="T16" i="1"/>
  <c r="C18" i="15"/>
  <c r="C15" i="15"/>
  <c r="C14" i="12"/>
  <c r="H19" i="6"/>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48" i="35"/>
  <c r="C31" i="43" l="1"/>
  <c r="C30" i="43"/>
  <c r="C16" i="12"/>
  <c r="C21" i="12" s="1"/>
  <c r="C19" i="80"/>
  <c r="C20" i="80" s="1"/>
  <c r="C26" i="80" s="1"/>
  <c r="C26" i="81"/>
  <c r="C23" i="81"/>
  <c r="L56" i="15"/>
  <c r="Q52" i="15"/>
  <c r="F1" i="15"/>
  <c r="F1" i="80"/>
  <c r="Q52" i="80"/>
  <c r="Q61" i="81"/>
  <c r="Q74" i="81"/>
  <c r="Q52" i="81"/>
  <c r="F1" i="81"/>
  <c r="Q61" i="80"/>
  <c r="Q74" i="80"/>
  <c r="Q74" i="15"/>
  <c r="Q61" i="15"/>
  <c r="C22" i="11"/>
  <c r="C31" i="11" s="1"/>
  <c r="C34" i="11"/>
  <c r="C35" i="11" s="1"/>
  <c r="C37" i="1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AE7" i="1"/>
  <c r="AE6" i="1"/>
  <c r="AE8" i="1"/>
  <c r="C22" i="12" l="1"/>
  <c r="E2" i="76"/>
  <c r="B2" i="43"/>
  <c r="C29" i="81"/>
  <c r="J14" i="81" s="1"/>
  <c r="J22" i="81" s="1"/>
  <c r="C23" i="80"/>
  <c r="C29" i="80" s="1"/>
  <c r="C38" i="11"/>
  <c r="C33" i="11" s="1"/>
  <c r="C39" i="11" s="1"/>
  <c r="C38" i="68"/>
  <c r="C35" i="68"/>
  <c r="D14" i="71"/>
  <c r="C13" i="71"/>
  <c r="W7" i="21"/>
  <c r="AA7" i="21"/>
  <c r="R48"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15"/>
  <c r="F35" i="67"/>
  <c r="F41" i="81"/>
  <c r="M21" i="15"/>
  <c r="F35" i="80"/>
  <c r="M21" i="67"/>
  <c r="F41" i="80"/>
  <c r="B6" i="76"/>
  <c r="M21" i="80"/>
  <c r="F41" i="15"/>
  <c r="J29" i="80" l="1"/>
  <c r="F69" i="80"/>
  <c r="B2" i="76"/>
  <c r="B3" i="76" s="1"/>
  <c r="C6" i="68"/>
  <c r="C7" i="68" s="1"/>
  <c r="C5" i="68" s="1"/>
  <c r="B3" i="43"/>
  <c r="F69" i="15"/>
  <c r="J29" i="81"/>
  <c r="F69" i="81"/>
  <c r="Q49" i="81"/>
  <c r="C13" i="81"/>
  <c r="Q70" i="81" s="1"/>
  <c r="C36" i="81"/>
  <c r="J13" i="81"/>
  <c r="J23" i="81" s="1"/>
  <c r="J16" i="81" s="1"/>
  <c r="J25" i="81" s="1"/>
  <c r="C57" i="81"/>
  <c r="C64" i="81" s="1"/>
  <c r="J59" i="81"/>
  <c r="J60" i="81" s="1"/>
  <c r="Q48" i="81" s="1"/>
  <c r="C36" i="80"/>
  <c r="C57" i="80"/>
  <c r="C64" i="80" s="1"/>
  <c r="Q49" i="80"/>
  <c r="J59" i="80"/>
  <c r="J60" i="80" s="1"/>
  <c r="C13" i="80"/>
  <c r="J14" i="80"/>
  <c r="J20" i="80"/>
  <c r="J17" i="80" s="1"/>
  <c r="C34" i="80"/>
  <c r="C31" i="80" s="1"/>
  <c r="F63" i="80"/>
  <c r="C62" i="80" s="1"/>
  <c r="C59" i="80" s="1"/>
  <c r="C33" i="68"/>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23" i="68" l="1"/>
  <c r="C20" i="68"/>
  <c r="C56" i="81"/>
  <c r="C65" i="81" s="1"/>
  <c r="C58" i="81" s="1"/>
  <c r="C67" i="81" s="1"/>
  <c r="C68" i="81" s="1"/>
  <c r="C71" i="81" s="1"/>
  <c r="C75" i="81"/>
  <c r="C37" i="81"/>
  <c r="C30" i="81" s="1"/>
  <c r="C39" i="81" s="1"/>
  <c r="C40" i="81" s="1"/>
  <c r="L46" i="81"/>
  <c r="J22" i="80"/>
  <c r="J13" i="80"/>
  <c r="J23" i="80" s="1"/>
  <c r="C56" i="80"/>
  <c r="C65" i="80" s="1"/>
  <c r="C58" i="80" s="1"/>
  <c r="C67" i="80" s="1"/>
  <c r="C68" i="80" s="1"/>
  <c r="C71" i="80" s="1"/>
  <c r="C75" i="80"/>
  <c r="Q70" i="80"/>
  <c r="C37" i="80"/>
  <c r="C30" i="80" s="1"/>
  <c r="C39" i="80" s="1"/>
  <c r="Q48" i="80"/>
  <c r="L46" i="80"/>
  <c r="B3" i="69"/>
  <c r="C42" i="68"/>
  <c r="C41" i="68" s="1"/>
  <c r="C46" i="68"/>
  <c r="C45"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L51" i="80"/>
  <c r="C28" i="68" l="1"/>
  <c r="C27" i="68" s="1"/>
  <c r="C25" i="68"/>
  <c r="C22" i="68" s="1"/>
  <c r="Q67" i="81"/>
  <c r="C43" i="81"/>
  <c r="C83" i="81"/>
  <c r="C82" i="81" s="1"/>
  <c r="Q69" i="81"/>
  <c r="Q68" i="81" s="1"/>
  <c r="C80" i="81"/>
  <c r="C79" i="81" s="1"/>
  <c r="J16" i="80"/>
  <c r="J25" i="80" s="1"/>
  <c r="Q47" i="81"/>
  <c r="Q53" i="81" s="1"/>
  <c r="C46" i="81"/>
  <c r="Q65" i="81"/>
  <c r="Q75" i="81" s="1"/>
  <c r="B2" i="81"/>
  <c r="Q56" i="81"/>
  <c r="Q62" i="81" s="1"/>
  <c r="Q69" i="80"/>
  <c r="Q68" i="80" s="1"/>
  <c r="C40" i="80"/>
  <c r="C43" i="80" s="1"/>
  <c r="C80" i="80"/>
  <c r="C79" i="80" s="1"/>
  <c r="Q67" i="80"/>
  <c r="C49" i="68"/>
  <c r="C51"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E8" i="12" l="1"/>
  <c r="C31" i="68"/>
  <c r="C52" i="68" s="1"/>
  <c r="Q69" i="15"/>
  <c r="Q68" i="15" s="1"/>
  <c r="Q56" i="80"/>
  <c r="Q62" i="80" s="1"/>
  <c r="C83" i="80"/>
  <c r="C82" i="80" s="1"/>
  <c r="Q65" i="80"/>
  <c r="Q75" i="80" s="1"/>
  <c r="C46" i="80"/>
  <c r="B3" i="81"/>
  <c r="E6" i="12" s="1"/>
  <c r="B2" i="80"/>
  <c r="D8" i="12" s="1"/>
  <c r="Q47" i="80"/>
  <c r="Q53" i="8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B3" i="80" l="1"/>
  <c r="D6" i="12" s="1"/>
  <c r="B2" i="68"/>
  <c r="C57" i="68"/>
  <c r="C56"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7" i="1"/>
  <c r="C19" i="9"/>
  <c r="AO12" i="1"/>
  <c r="AO8" i="1"/>
  <c r="AO10" i="1"/>
  <c r="C21" i="9" l="1"/>
  <c r="C102" i="9"/>
  <c r="B3" i="68"/>
  <c r="C7" i="7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C20" i="9"/>
  <c r="D35" i="9"/>
  <c r="AO6" i="1"/>
  <c r="C103" i="9" l="1"/>
  <c r="C31" i="12"/>
  <c r="C23" i="12"/>
  <c r="C27" i="12" s="1"/>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5" i="12"/>
  <c r="D6" i="71"/>
  <c r="C5" i="71"/>
  <c r="D5" i="71" s="1"/>
  <c r="M24" i="43"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20" i="9"/>
  <c r="G20" i="9" l="1"/>
  <c r="C32" i="9" s="1"/>
  <c r="C35" i="9" s="1"/>
  <c r="C34" i="9" s="1"/>
  <c r="D118" i="9" s="1"/>
  <c r="D4" i="52" s="1"/>
  <c r="B47" i="72" s="1"/>
  <c r="D103" i="9"/>
  <c r="F118" i="9" l="1"/>
  <c r="F4" i="52" s="1"/>
  <c r="B51" i="72" s="1"/>
  <c r="H118" i="9"/>
  <c r="D119" i="9"/>
  <c r="D5" i="52" s="1"/>
  <c r="B49" i="72" s="1"/>
  <c r="C104" i="9" l="1"/>
  <c r="D14" i="74"/>
  <c r="G14" i="74" s="1"/>
  <c r="B6" i="74" s="1"/>
  <c r="D6" i="74" s="1"/>
  <c r="H101" i="9"/>
  <c r="M48" i="9" s="1"/>
  <c r="I118" i="9"/>
  <c r="C105" i="9" s="1"/>
  <c r="G118" i="9"/>
  <c r="G4" i="52" s="1"/>
  <c r="B52" i="72" s="1"/>
  <c r="F119" i="9"/>
  <c r="F5" i="52" s="1"/>
  <c r="B53" i="72" s="1"/>
  <c r="H119" i="9"/>
  <c r="H5" i="52" s="1"/>
  <c r="H4" i="52"/>
  <c r="B5" i="74" l="1"/>
  <c r="D5" i="74" s="1"/>
  <c r="E14" i="74"/>
  <c r="F14" i="74"/>
  <c r="D5" i="53"/>
  <c r="B20" i="72" s="1"/>
  <c r="I4" i="52"/>
  <c r="H107" i="9"/>
  <c r="D122" i="9" s="1"/>
  <c r="D45" i="9"/>
  <c r="C93" i="9" s="1"/>
  <c r="C86" i="9" s="1"/>
  <c r="E118" i="9"/>
  <c r="E4" i="52" s="1"/>
  <c r="B48" i="72" s="1"/>
  <c r="H102" i="9"/>
  <c r="C5" i="74" l="1"/>
  <c r="D6" i="53"/>
  <c r="B22" i="72" s="1"/>
  <c r="D53" i="9"/>
  <c r="D55" i="9"/>
  <c r="M53" i="9" s="1"/>
  <c r="C85" i="9"/>
  <c r="C95" i="9" s="1"/>
  <c r="C96" i="9" s="1"/>
  <c r="E96" i="9" s="1"/>
  <c r="E97" i="9" s="1"/>
  <c r="M49" i="9"/>
  <c r="L68" i="9" s="1"/>
  <c r="M68" i="9" s="1"/>
  <c r="D13" i="53"/>
  <c r="B30" i="72" s="1"/>
  <c r="C72" i="9"/>
  <c r="C64" i="9"/>
  <c r="C63" i="9" s="1"/>
  <c r="C67" i="9" s="1"/>
  <c r="C68" i="9" s="1"/>
  <c r="D54" i="9" s="1"/>
  <c r="D52" i="9"/>
  <c r="H108" i="9"/>
  <c r="D15" i="53" s="1"/>
  <c r="B31" i="72" s="1"/>
  <c r="C78" i="9"/>
  <c r="C73" i="9" s="1"/>
  <c r="D7" i="53"/>
  <c r="B21" i="72" s="1"/>
  <c r="D8" i="52"/>
  <c r="D123" i="9"/>
  <c r="D9" i="52" s="1"/>
  <c r="L66" i="9" l="1"/>
  <c r="M66" i="9" s="1"/>
  <c r="L67" i="9"/>
  <c r="M67" i="9" s="1"/>
  <c r="C79" i="9"/>
  <c r="C80" i="9" s="1"/>
  <c r="E80" i="9" s="1"/>
  <c r="E81" i="9" s="1"/>
  <c r="D59" i="9"/>
  <c r="M55" i="9" s="1"/>
  <c r="D14" i="53"/>
  <c r="B32" i="72" s="1"/>
  <c r="C6" i="74"/>
  <c r="L64" i="9"/>
  <c r="M64" i="9" s="1"/>
  <c r="L63" i="9"/>
  <c r="M63" i="9" s="1"/>
  <c r="L65" i="9"/>
  <c r="M65" i="9" s="1"/>
  <c r="C97" i="9"/>
  <c r="D58" i="9" s="1"/>
  <c r="D56" i="9" s="1"/>
  <c r="M54" i="9" s="1"/>
  <c r="C81" i="9" l="1"/>
  <c r="M69" i="9"/>
  <c r="N69" i="9" s="1"/>
  <c r="N57" i="9"/>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<sst xmlns="http://schemas.openxmlformats.org/spreadsheetml/2006/main" count="8704" uniqueCount="3471">
  <si>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</si>
  <si>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</si>
  <si>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</si>
  <si>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</si>
  <si>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</si>
  <si>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</si>
  <si>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</si>
  <si>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</si>
  <si>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</si>
  <si>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</si>
  <si>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</si>
  <si>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</si>
  <si>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</si>
  <si>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</si>
  <si>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</si>
  <si>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</si>
  <si>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</si>
  <si>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</si>
  <si>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</si>
  <si>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</si>
  <si>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</si>
  <si>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</si>
  <si>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</si>
  <si>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</si>
  <si>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</si>
  <si>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</si>
  <si>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</si>
  <si>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</si>
  <si>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</si>
  <si>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</si>
  <si>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</si>
  <si>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</si>
  <si>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</si>
  <si>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</si>
  <si>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</si>
  <si>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</si>
  <si>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</si>
  <si>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</si>
  <si>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</si>
  <si>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</si>
  <si>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</si>
  <si>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</si>
  <si>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</si>
  <si>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</si>
  <si>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</si>
  <si>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</si>
  <si>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</si>
  <si>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</si>
  <si>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</si>
  <si>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</si>
  <si>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</si>
  <si>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</si>
  <si>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</si>
  <si>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</si>
  <si>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</si>
  <si>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</si>
  <si>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</si>
  <si>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</si>
  <si>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</si>
  <si>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</si>
  <si>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</si>
  <si>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</si>
  <si>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</si>
  <si>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</si>
  <si>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</si>
  <si>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</si>
  <si>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</si>
  <si>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</si>
  <si>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</si>
  <si>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</si>
  <si>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</si>
  <si>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</si>
  <si>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</si>
  <si>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</si>
  <si>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</si>
  <si>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</si>
  <si>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</si>
  <si>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</si>
  <si>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</si>
  <si>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</si>
  <si>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</si>
  <si>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</si>
  <si>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</si>
  <si>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</si>
  <si>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</si>
  <si>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</si>
  <si>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</si>
  <si>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</si>
  <si>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</si>
  <si>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</si>
  <si>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</si>
  <si>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</si>
  <si>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</si>
  <si>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</si>
  <si>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</si>
  <si>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</si>
  <si>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</si>
  <si>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</si>
  <si>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</si>
  <si>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</si>
  <si>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</si>
  <si>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</si>
  <si>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</si>
  <si>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</si>
  <si>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</si>
  <si>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</si>
  <si>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</si>
  <si>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</si>
  <si>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</si>
  <si>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</si>
  <si>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</si>
  <si>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</si>
  <si>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</si>
  <si>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</si>
  <si>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</si>
  <si>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</si>
  <si>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</si>
  <si>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</si>
  <si>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</si>
  <si>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</si>
  <si>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</si>
  <si>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</si>
  <si>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</si>
  <si>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</si>
  <si>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</si>
  <si>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</si>
  <si>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</si>
  <si>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</si>
  <si>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</si>
  <si>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</si>
  <si>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</si>
  <si>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</si>
  <si>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</si>
  <si>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</si>
  <si>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</si>
  <si>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</si>
  <si>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</si>
  <si>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</si>
  <si>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</si>
  <si>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</si>
  <si>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</si>
  <si>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</si>
  <si>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</si>
  <si>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</si>
  <si>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</si>
  <si>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</si>
  <si>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</si>
  <si>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</si>
  <si>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</si>
  <si>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</si>
  <si>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</si>
  <si>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</si>
  <si>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</si>
  <si>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</si>
  <si>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</si>
  <si>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</si>
  <si>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</si>
  <si>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</si>
  <si>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</si>
  <si>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</si>
  <si>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</si>
  <si>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</si>
  <si>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</si>
  <si>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</si>
  <si>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</si>
  <si>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</si>
  <si>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</si>
  <si>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</si>
  <si>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</si>
  <si>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</si>
  <si>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</si>
  <si>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</si>
  <si>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</si>
  <si>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</si>
  <si>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</si>
  <si>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</si>
  <si>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</si>
  <si>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</si>
  <si>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</si>
  <si>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</si>
  <si>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</si>
  <si>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</si>
  <si>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</si>
  <si>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</si>
  <si>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</si>
  <si>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</si>
  <si>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</si>
  <si>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</si>
  <si>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</si>
  <si>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</si>
  <si>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</si>
  <si>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</si>
  <si>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</si>
  <si>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</si>
  <si>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</si>
  <si>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</si>
  <si>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</si>
  <si>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</si>
  <si>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</si>
  <si>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</si>
  <si>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</si>
  <si>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</si>
  <si>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</si>
  <si>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</si>
  <si>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</si>
  <si>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</si>
  <si>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</si>
  <si>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</si>
  <si>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</si>
  <si>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</si>
  <si>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</si>
  <si>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</si>
  <si>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</si>
  <si>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</si>
  <si>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</si>
  <si>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</si>
  <si>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</si>
  <si>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</si>
  <si>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</si>
  <si>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</si>
  <si>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</si>
  <si>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</si>
  <si>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</si>
  <si>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</si>
  <si>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</si>
  <si>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</si>
  <si>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</si>
  <si>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</si>
  <si>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</si>
  <si>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</si>
  <si>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</si>
  <si>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</si>
  <si>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</si>
  <si>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</si>
  <si>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</si>
  <si>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</si>
  <si>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</si>
  <si>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</si>
  <si>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</si>
  <si>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</si>
  <si>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</si>
  <si>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</si>
  <si>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</si>
  <si>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</si>
  <si>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</si>
  <si>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</si>
  <si>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</si>
  <si>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</si>
  <si>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</si>
  <si>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</si>
  <si>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</si>
  <si>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</si>
  <si>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</si>
  <si>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</si>
  <si>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</si>
  <si>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</si>
  <si>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</si>
  <si>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</si>
  <si>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</si>
  <si>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</si>
  <si>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</si>
  <si>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</si>
  <si>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</si>
  <si>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</si>
  <si>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</si>
  <si>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</si>
  <si>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</si>
  <si>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</si>
  <si>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</si>
  <si>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</si>
  <si>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</si>
  <si>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</si>
  <si>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</si>
  <si>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</si>
  <si>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</si>
  <si>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</si>
  <si>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</si>
  <si>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</si>
  <si>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</si>
  <si>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</si>
  <si>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</si>
  <si>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</si>
  <si>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</si>
  <si>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</si>
  <si>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</si>
  <si>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</si>
  <si>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</si>
  <si>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</si>
  <si>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</si>
  <si>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</si>
  <si>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</si>
  <si>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</si>
  <si>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</si>
  <si>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</si>
  <si>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</si>
  <si>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</si>
  <si>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</si>
  <si>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</si>
  <si>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</si>
  <si>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</si>
  <si>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</si>
  <si>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</si>
  <si>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</si>
  <si>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</si>
  <si>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</si>
  <si>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</si>
  <si>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</si>
  <si>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</si>
  <si>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</si>
  <si>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</si>
  <si>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</si>
  <si>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</si>
  <si>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</si>
  <si>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</si>
  <si>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</si>
  <si>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</si>
  <si>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</si>
  <si>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</si>
  <si>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</si>
  <si>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</si>
  <si>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</si>
  <si>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</si>
  <si>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</si>
  <si>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</si>
  <si>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</si>
  <si>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</si>
  <si>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</si>
  <si>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</si>
  <si>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</si>
  <si>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</si>
  <si>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</si>
  <si>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</si>
  <si>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</si>
  <si>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</si>
  <si>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</si>
  <si>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</si>
  <si>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</si>
  <si>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</si>
  <si>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</si>
  <si>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</si>
  <si>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</si>
  <si>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</si>
  <si>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</si>
  <si>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</si>
  <si>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</si>
  <si>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</si>
  <si>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</si>
  <si>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</si>
  <si>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</si>
  <si>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</si>
  <si>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</si>
  <si>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</si>
  <si>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</si>
  <si>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</si>
  <si>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</si>
  <si>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</si>
  <si>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</si>
  <si>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</si>
  <si>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</si>
  <si>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</si>
  <si>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</si>
  <si>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</si>
  <si>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</si>
  <si>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</si>
  <si>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</si>
  <si>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</si>
  <si>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</si>
  <si>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</si>
  <si>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</si>
  <si>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</si>
  <si>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</si>
  <si>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</si>
  <si>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</si>
  <si>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</si>
  <si>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</si>
  <si>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</si>
  <si>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</si>
  <si>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</si>
  <si>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</si>
  <si>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</si>
  <si>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</si>
  <si>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</si>
  <si>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</si>
  <si>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</si>
  <si>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</si>
  <si>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</si>
  <si>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</si>
  <si>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</si>
  <si>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</si>
  <si>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</si>
  <si>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</si>
  <si>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</si>
  <si>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</si>
  <si>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</si>
  <si>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</si>
  <si>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</si>
  <si>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</si>
  <si>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</si>
  <si>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</si>
  <si>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</si>
  <si>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</si>
  <si>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</si>
  <si>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</si>
  <si>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</si>
  <si>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</si>
  <si>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</si>
  <si>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</si>
  <si>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</si>
  <si>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</si>
  <si>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</si>
  <si>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</si>
  <si>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</si>
  <si>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</si>
  <si>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</si>
  <si>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</si>
  <si>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</si>
  <si>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</si>
  <si>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</si>
  <si>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</si>
  <si>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</si>
  <si>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</si>
  <si>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</si>
  <si>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</si>
  <si>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</si>
  <si>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</si>
  <si>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</si>
  <si>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</si>
  <si>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</si>
  <si>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</si>
  <si>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</si>
  <si>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</si>
  <si>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</si>
  <si>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</si>
  <si>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</si>
  <si>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</si>
  <si>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</si>
  <si>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</si>
  <si>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</si>
  <si>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</si>
  <si>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</si>
  <si>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</si>
  <si>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</si>
  <si>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</si>
  <si>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</si>
  <si>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</si>
  <si>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</si>
  <si>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</si>
  <si>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</si>
  <si>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</si>
  <si>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</si>
  <si>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</si>
  <si>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</si>
  <si>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</si>
  <si>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</si>
  <si>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</si>
  <si>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</si>
  <si>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</si>
  <si>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</si>
  <si>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</si>
  <si>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</si>
  <si>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</si>
  <si>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</si>
  <si>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</si>
  <si>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</si>
  <si>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</si>
  <si>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</si>
  <si>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</si>
  <si>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</si>
  <si>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</si>
  <si>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</si>
  <si>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</si>
  <si>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</si>
  <si>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</si>
  <si>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</si>
  <si>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</si>
  <si>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</si>
  <si>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</si>
  <si>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</si>
  <si>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</si>
  <si>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</si>
  <si>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</si>
  <si>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</si>
  <si>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</si>
  <si>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</si>
  <si>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</si>
  <si>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</si>
  <si>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</si>
  <si>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</si>
  <si>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</si>
  <si>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</si>
  <si>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</si>
  <si>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</si>
  <si>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</si>
  <si>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</si>
  <si>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</si>
  <si>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</si>
  <si>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</si>
  <si>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</si>
  <si>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</si>
  <si>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</si>
  <si>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</si>
  <si>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</si>
  <si>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</si>
  <si>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</si>
  <si>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</si>
  <si>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</si>
  <si>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</si>
  <si>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</si>
  <si>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</si>
  <si>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</si>
  <si>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</si>
  <si>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</si>
  <si>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</si>
  <si>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</si>
  <si>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</si>
  <si>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</si>
  <si>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</si>
  <si>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</si>
  <si>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</si>
  <si>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</si>
  <si>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</si>
  <si>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</si>
  <si>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</si>
  <si>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</si>
  <si>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</si>
  <si>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</si>
  <si>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</si>
  <si>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</si>
  <si>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</si>
  <si>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</si>
  <si>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</si>
  <si>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</si>
  <si>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</si>
  <si>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</si>
  <si>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</si>
  <si>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</si>
  <si>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</si>
  <si>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</si>
  <si>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</si>
  <si>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</si>
  <si>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</si>
  <si>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</si>
  <si>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</si>
  <si>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</si>
  <si>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</si>
  <si>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</si>
  <si>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</si>
  <si>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</si>
  <si>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</si>
  <si>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</si>
  <si>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</si>
  <si>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</si>
  <si>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</si>
  <si>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</si>
  <si>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</si>
  <si>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</si>
  <si>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</si>
  <si>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</si>
  <si>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</si>
  <si>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</si>
  <si>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</si>
  <si>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</si>
  <si>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</si>
  <si>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</si>
  <si>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</si>
  <si>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</si>
  <si>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</si>
  <si>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</si>
  <si>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</si>
  <si>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</si>
  <si>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</si>
  <si>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</si>
  <si>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</si>
  <si>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</si>
  <si>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</si>
  <si>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</si>
  <si>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</si>
  <si>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</si>
  <si>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</si>
  <si>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</si>
  <si>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</si>
  <si>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</si>
  <si>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</si>
  <si>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</si>
  <si>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</si>
  <si>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</si>
  <si>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</si>
  <si>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</si>
  <si>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</si>
  <si>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</si>
  <si>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</si>
  <si>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</si>
  <si>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</si>
  <si>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</si>
  <si>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</si>
  <si>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</si>
  <si>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</si>
  <si>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</si>
  <si>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</si>
  <si>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</si>
  <si>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</si>
  <si>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</si>
  <si>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</si>
  <si>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</si>
  <si>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</si>
  <si>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</si>
  <si>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</si>
  <si>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</si>
  <si>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</si>
  <si>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</si>
  <si>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</si>
  <si>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</si>
  <si>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</si>
  <si>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</si>
  <si>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</si>
  <si>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</si>
  <si>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</si>
  <si>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</si>
  <si>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</si>
  <si>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</si>
  <si>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</si>
  <si>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</si>
  <si>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</si>
  <si>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</si>
  <si>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</si>
  <si>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</si>
  <si>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</si>
  <si>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</si>
  <si>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</si>
  <si>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</si>
  <si>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</si>
  <si>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</si>
  <si>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</si>
  <si>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</si>
  <si>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</si>
  <si>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</si>
  <si>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</si>
  <si>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</si>
  <si>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</si>
  <si>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</si>
  <si>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</si>
  <si>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</si>
  <si>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</si>
  <si>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</si>
  <si>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</si>
  <si>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</si>
  <si>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</si>
  <si>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</si>
  <si>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</si>
  <si>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</si>
  <si>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</si>
  <si>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</si>
  <si>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</si>
  <si>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</si>
  <si>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</si>
  <si>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</si>
  <si>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</si>
  <si>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</si>
  <si>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</si>
  <si>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</si>
  <si>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</si>
  <si>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</si>
  <si>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</si>
  <si>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</si>
  <si>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</si>
  <si>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</si>
  <si>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</si>
  <si>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</si>
  <si>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</si>
  <si>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</si>
  <si>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</si>
  <si>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</si>
  <si>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</si>
  <si>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</si>
  <si>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</si>
  <si>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</si>
  <si>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</si>
  <si>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</si>
  <si>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</si>
  <si>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</si>
  <si>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</si>
  <si>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</si>
  <si>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</si>
  <si>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</si>
  <si>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</si>
  <si>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</si>
  <si>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</si>
  <si>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</si>
  <si>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</si>
  <si>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</si>
  <si>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</si>
  <si>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</si>
  <si>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</si>
  <si>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</si>
  <si>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</si>
  <si>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</si>
  <si>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</si>
  <si>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</si>
  <si>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</si>
  <si>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</si>
  <si>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</si>
  <si>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</si>
  <si>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</si>
  <si>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</si>
  <si>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</si>
  <si>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</si>
  <si>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</si>
  <si>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</si>
  <si>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</si>
  <si>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</si>
  <si>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</si>
  <si>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</si>
  <si>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</si>
  <si>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</si>
  <si>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</si>
  <si>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</si>
  <si>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</si>
  <si>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</si>
  <si>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</si>
  <si>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</si>
  <si>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</si>
  <si>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</si>
  <si>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</si>
  <si>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</si>
  <si>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</si>
  <si>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</si>
  <si>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</si>
  <si>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</si>
  <si>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</si>
  <si>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</si>
  <si>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</si>
  <si>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</si>
  <si>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</si>
  <si>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</si>
  <si>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</si>
  <si>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</si>
  <si>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</si>
  <si>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</si>
  <si>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</si>
  <si>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</si>
  <si>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</si>
  <si>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</si>
  <si>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</si>
  <si>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</si>
  <si>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</si>
  <si>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</si>
  <si>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</si>
  <si>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</si>
  <si>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</si>
  <si>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</si>
  <si>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</si>
  <si>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</si>
  <si>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</si>
  <si>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</si>
  <si>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</si>
  <si>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</si>
  <si>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</si>
  <si>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</si>
  <si>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</si>
  <si>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</si>
  <si>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</si>
  <si>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</si>
  <si>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</si>
  <si>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</si>
  <si>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</si>
  <si>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</si>
  <si>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</si>
  <si>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</si>
  <si>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</si>
  <si>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</si>
  <si>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</si>
  <si>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</si>
  <si>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</si>
  <si>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</si>
  <si>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</si>
  <si>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</si>
  <si>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</si>
  <si>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</si>
  <si>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</si>
  <si>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</si>
  <si>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</si>
  <si>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</si>
  <si>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</si>
  <si>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</si>
  <si>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</si>
  <si>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</si>
  <si>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</si>
  <si>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</si>
  <si>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</si>
  <si>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</si>
  <si>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</si>
  <si>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</si>
  <si>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</si>
  <si>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</si>
  <si>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</si>
  <si>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</si>
  <si>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</si>
  <si>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</si>
  <si>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</si>
  <si>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</si>
  <si>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</si>
  <si>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</si>
  <si>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</si>
  <si>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</si>
  <si>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</si>
  <si>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</si>
  <si>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</si>
  <si>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</si>
  <si>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</si>
  <si>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</si>
  <si>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</si>
  <si>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</si>
  <si>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</si>
  <si>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</si>
  <si>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</si>
  <si>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</si>
  <si>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</si>
  <si>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</si>
  <si>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</si>
  <si>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</si>
  <si>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</si>
  <si>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</si>
  <si>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</si>
  <si>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</si>
  <si>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</si>
  <si>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</si>
  <si>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</si>
  <si>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</si>
  <si>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</si>
  <si>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</si>
  <si>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</si>
  <si>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</si>
  <si>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</si>
  <si>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</si>
  <si>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</si>
  <si>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</si>
  <si>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</si>
  <si>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</si>
  <si>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</si>
  <si>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</si>
  <si>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</si>
  <si>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</si>
  <si>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</si>
  <si>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</si>
  <si>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</si>
  <si>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</si>
  <si>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</si>
  <si>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</si>
  <si>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</si>
  <si>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</si>
  <si>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</si>
  <si>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</si>
  <si>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</si>
  <si>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</si>
  <si>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</si>
  <si>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</si>
  <si>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</si>
  <si>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</si>
  <si>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</si>
  <si>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</si>
  <si>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</si>
  <si>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</si>
  <si>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</si>
  <si>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</si>
  <si>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</si>
  <si>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</si>
  <si>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</si>
  <si>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</si>
  <si>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</si>
  <si>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</si>
  <si>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</si>
  <si>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</si>
  <si>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</si>
  <si>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</si>
  <si>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</si>
  <si>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</si>
  <si>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</si>
  <si>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</si>
  <si>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</si>
  <si>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</si>
  <si>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</si>
  <si>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</si>
  <si>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</si>
  <si>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</si>
  <si>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</si>
  <si>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</si>
  <si>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</si>
  <si>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</si>
  <si>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</si>
  <si>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</si>
  <si>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</si>
  <si>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</si>
  <si>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</si>
  <si>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</si>
  <si>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</si>
  <si>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</si>
  <si>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</si>
  <si>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</si>
  <si>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</si>
  <si>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</si>
  <si>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</si>
  <si>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</si>
  <si>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</si>
  <si>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</si>
  <si>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</si>
  <si>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</si>
  <si>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</si>
  <si>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</si>
  <si>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</si>
  <si>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</si>
  <si>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</si>
  <si>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</si>
  <si>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</si>
  <si>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</si>
  <si>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</si>
  <si>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</si>
  <si>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</si>
  <si>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</si>
  <si>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</si>
  <si>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</si>
  <si>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</si>
  <si>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</si>
  <si>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</si>
  <si>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</si>
  <si>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</si>
  <si>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</si>
  <si>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</si>
  <si>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</si>
  <si>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</si>
  <si>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</si>
  <si>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</si>
  <si>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</si>
  <si>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</si>
  <si>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</si>
  <si>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</si>
  <si>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</si>
  <si>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</si>
  <si>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</si>
  <si>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</si>
  <si>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</si>
  <si>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</si>
  <si>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</si>
  <si>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</si>
  <si>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</si>
  <si>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</si>
  <si>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</si>
  <si>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</si>
  <si>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</si>
  <si>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</si>
  <si>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</si>
  <si>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</si>
  <si>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</si>
  <si>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</si>
  <si>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</si>
  <si>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</si>
  <si>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</si>
  <si>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</si>
  <si>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</si>
  <si>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</si>
  <si>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</si>
  <si>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</si>
  <si>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</si>
  <si>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</si>
  <si>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</si>
  <si>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</si>
  <si>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</si>
  <si>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</si>
  <si>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</si>
  <si>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</si>
  <si>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</si>
  <si>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</si>
  <si>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</si>
  <si>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</si>
  <si>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</si>
  <si>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</si>
  <si>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</si>
  <si>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</si>
  <si>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</si>
  <si>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</si>
  <si>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</si>
  <si>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</si>
  <si>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</si>
  <si>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</si>
  <si>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</si>
  <si>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</si>
  <si>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</si>
  <si>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</si>
  <si>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</si>
  <si>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</si>
  <si>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</si>
  <si>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</si>
  <si>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</si>
  <si>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</si>
  <si>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</si>
  <si>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</si>
  <si>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</si>
  <si>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</si>
  <si>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</si>
  <si>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</si>
  <si>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</si>
  <si>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</si>
  <si>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</si>
  <si>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</si>
  <si>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</si>
  <si>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</si>
  <si>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</si>
  <si>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</si>
  <si>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</si>
  <si>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</si>
  <si>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</si>
  <si>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</si>
  <si>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</si>
  <si>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</si>
  <si>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</si>
  <si>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</si>
  <si>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</si>
  <si>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</si>
  <si>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</si>
  <si>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</si>
  <si>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</si>
  <si>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</si>
  <si>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</si>
  <si>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</si>
  <si>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</si>
  <si>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</si>
  <si>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</si>
  <si>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</si>
  <si>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</si>
  <si>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</si>
  <si>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</si>
  <si>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</si>
  <si>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</si>
  <si>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</si>
  <si>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</si>
  <si>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</si>
  <si>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</si>
  <si>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</si>
  <si>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</si>
  <si>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</si>
  <si>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</si>
  <si>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</si>
  <si>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</si>
  <si>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</si>
  <si>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</si>
  <si>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</si>
  <si>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</si>
  <si>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</si>
  <si>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</si>
  <si>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</si>
  <si>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</si>
  <si>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</si>
  <si>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</si>
  <si>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</si>
  <si>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</si>
  <si>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</si>
  <si>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</si>
  <si>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</si>
  <si>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</si>
  <si>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</si>
  <si>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</si>
  <si>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</si>
  <si>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</si>
  <si>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</si>
  <si>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</si>
  <si>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</si>
  <si>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</si>
  <si>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</si>
  <si>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</si>
  <si>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</si>
  <si>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</si>
  <si>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</si>
  <si>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</si>
  <si>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</si>
  <si>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</si>
  <si>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</si>
  <si>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</si>
  <si>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</si>
  <si>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</si>
  <si>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</si>
  <si>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</si>
  <si>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</si>
  <si>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</si>
  <si>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</si>
  <si>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</si>
  <si>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</si>
  <si>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</si>
  <si>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</si>
  <si>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</si>
  <si>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</si>
  <si>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</si>
  <si>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</si>
  <si>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</si>
  <si>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</si>
  <si>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</si>
  <si>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</si>
  <si>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</si>
  <si>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</si>
  <si>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</si>
  <si>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</si>
  <si>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</si>
  <si>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</si>
  <si>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</si>
  <si>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</si>
  <si>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</si>
  <si>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</si>
  <si>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</si>
  <si>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</si>
  <si>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</si>
  <si>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</si>
  <si>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</si>
  <si>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</si>
  <si>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</si>
  <si>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</si>
  <si>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</si>
  <si>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</si>
  <si>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</si>
  <si>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</si>
  <si>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</si>
  <si>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</si>
  <si>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</si>
  <si>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</si>
  <si>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</si>
  <si>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</si>
  <si>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</si>
  <si>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</si>
  <si>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</si>
  <si>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</si>
  <si>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</si>
  <si>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</si>
  <si>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</si>
  <si>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</si>
  <si>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</si>
  <si>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</si>
  <si>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</si>
  <si>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</si>
  <si>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</si>
  <si>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</si>
  <si>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</si>
  <si>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</si>
  <si>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</si>
  <si>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</si>
  <si>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</si>
  <si>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</si>
  <si>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</si>
  <si>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</si>
  <si>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</si>
  <si>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</si>
  <si>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</si>
  <si>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</si>
  <si>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</si>
  <si>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</si>
  <si>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</si>
  <si>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</si>
  <si>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</si>
  <si>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</si>
  <si>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</si>
  <si>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</si>
  <si>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</si>
  <si>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</si>
  <si>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</si>
  <si>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</si>
  <si>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</si>
  <si>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</si>
  <si>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</si>
  <si>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</si>
  <si>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</si>
  <si>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</si>
  <si>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</si>
  <si>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</si>
  <si>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</si>
  <si>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</si>
  <si>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</si>
  <si>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</si>
  <si>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</si>
  <si>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</si>
  <si>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</si>
  <si>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</si>
  <si>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</si>
  <si>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</si>
  <si>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</si>
  <si>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</si>
  <si>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</si>
  <si>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</si>
  <si>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</si>
  <si>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</si>
  <si>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</si>
  <si>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</si>
  <si>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</si>
  <si>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</si>
  <si>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</si>
  <si>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</si>
  <si>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</si>
  <si>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</si>
  <si>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</si>
  <si>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</si>
  <si>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</si>
  <si>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</si>
  <si>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</si>
  <si>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</si>
  <si>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</si>
  <si>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</si>
  <si>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</si>
  <si>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</si>
  <si>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</si>
  <si>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</si>
  <si>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</si>
  <si>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</si>
  <si>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</si>
  <si>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</si>
  <si>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</si>
  <si>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</si>
  <si>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</si>
  <si>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</si>
  <si>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</si>
  <si>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</si>
  <si>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</si>
  <si>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</si>
  <si>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</si>
  <si>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</si>
  <si>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</si>
  <si>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</si>
  <si>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</si>
  <si>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</si>
  <si>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</si>
  <si>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</si>
  <si>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</si>
  <si>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</si>
  <si>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</si>
  <si>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</si>
  <si>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</si>
  <si>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</si>
  <si>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</si>
  <si>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</si>
  <si>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</si>
  <si>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</si>
  <si>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</si>
  <si>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</si>
  <si>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</si>
  <si>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</si>
  <si>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</si>
  <si>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</si>
  <si>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</si>
  <si>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</si>
  <si>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</si>
  <si>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</si>
  <si>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</si>
  <si>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</si>
  <si>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</si>
  <si>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</si>
  <si>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</si>
  <si>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</si>
  <si>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</si>
  <si>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</si>
  <si>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</si>
  <si>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</si>
  <si>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</si>
  <si>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</si>
  <si>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</si>
  <si>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</si>
  <si>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</si>
  <si>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</si>
  <si>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</si>
  <si>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</si>
  <si>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</si>
  <si>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</si>
  <si>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</si>
  <si>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</si>
  <si>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</si>
  <si>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</si>
  <si>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</si>
  <si>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</si>
  <si>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</si>
  <si>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</si>
  <si>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</si>
  <si>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</si>
  <si>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</si>
  <si>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</si>
  <si>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</si>
  <si>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</si>
  <si>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</si>
  <si>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</si>
  <si>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</si>
  <si>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</si>
  <si>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</si>
  <si>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</si>
  <si>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</si>
  <si>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</si>
  <si>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</si>
  <si>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</si>
  <si>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</si>
  <si>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</si>
  <si>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</si>
  <si>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</si>
  <si>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</si>
  <si>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</si>
  <si>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</si>
  <si>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</si>
  <si>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</si>
  <si>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</si>
  <si>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</si>
  <si>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</si>
  <si>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</si>
  <si>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</si>
  <si>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</si>
  <si>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</si>
  <si>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</si>
  <si>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</si>
  <si>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</si>
  <si>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</si>
  <si>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</si>
  <si>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</si>
  <si>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</si>
  <si>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</si>
  <si>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</si>
  <si>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</si>
  <si>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</si>
  <si>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</si>
  <si>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</si>
  <si>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</si>
  <si>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</si>
  <si>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</si>
  <si>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</si>
  <si>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</si>
  <si>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</si>
  <si>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</si>
  <si>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</si>
  <si>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</si>
  <si>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</si>
  <si>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</si>
  <si>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</si>
  <si>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</si>
  <si>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</si>
  <si>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</si>
  <si>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</si>
  <si>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</si>
  <si>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</si>
  <si>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</si>
  <si>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</si>
  <si>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</si>
  <si>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</si>
  <si>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</si>
  <si>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</si>
  <si>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</si>
  <si>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</si>
  <si>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</si>
  <si>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</si>
  <si>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</si>
  <si>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</si>
  <si>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</si>
  <si>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</si>
  <si>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</si>
  <si>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</si>
  <si>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</si>
  <si>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</si>
  <si>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</si>
  <si>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</si>
  <si>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</si>
  <si>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</si>
  <si>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</si>
  <si>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</si>
  <si>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</si>
  <si>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</si>
  <si>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</si>
  <si>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</si>
  <si>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</si>
  <si>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</si>
  <si>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</si>
  <si>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</si>
  <si>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</si>
  <si>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</si>
  <si>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</si>
  <si>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</si>
  <si>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</si>
  <si>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</si>
  <si>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</si>
  <si>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</si>
  <si>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</si>
  <si>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</si>
  <si>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</si>
  <si>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</si>
  <si>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</si>
  <si>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</si>
  <si>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</si>
  <si>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</si>
  <si>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</si>
  <si>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</si>
  <si>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</si>
  <si>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</si>
  <si>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</si>
  <si>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</si>
  <si>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</si>
  <si>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</si>
  <si>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</si>
  <si>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</si>
  <si>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</si>
  <si>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</si>
  <si>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</si>
  <si>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</si>
  <si>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</si>
  <si>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</si>
  <si>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</si>
  <si>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</si>
  <si>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</si>
  <si>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</si>
  <si>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</si>
  <si>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</si>
  <si>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</si>
  <si>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</si>
  <si>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</si>
  <si>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</si>
  <si>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</si>
  <si>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</si>
  <si>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</si>
  <si>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</si>
  <si>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</si>
  <si>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</si>
  <si>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</si>
  <si>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</si>
  <si>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</si>
  <si>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</si>
  <si>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</si>
  <si>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</si>
  <si>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</si>
  <si>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</si>
  <si>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</si>
  <si>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</si>
  <si>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</si>
  <si>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</si>
  <si>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</si>
  <si>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</si>
  <si>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</si>
  <si>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</si>
  <si>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</si>
  <si>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</si>
  <si>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</si>
  <si>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</si>
  <si>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</si>
  <si>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</si>
  <si>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</si>
  <si>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</si>
  <si>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</si>
  <si>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</si>
  <si>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</si>
  <si>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</si>
  <si>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</si>
  <si>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</si>
  <si>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</si>
  <si>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</si>
  <si>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</si>
  <si>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</si>
  <si>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</si>
  <si>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</si>
  <si>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</si>
  <si>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</si>
  <si>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</si>
  <si>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</si>
  <si>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</si>
  <si>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</si>
  <si>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</si>
  <si>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</si>
  <si>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</si>
  <si>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</si>
  <si>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</si>
  <si>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</si>
  <si>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</si>
  <si>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</si>
  <si>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</si>
  <si>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</si>
  <si>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</si>
  <si>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</si>
  <si>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</si>
  <si>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</si>
  <si>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</si>
  <si>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</si>
  <si>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</si>
  <si>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</si>
  <si>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</si>
  <si>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</si>
  <si>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</si>
  <si>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</si>
  <si>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</si>
  <si>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</si>
  <si>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</si>
  <si>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</si>
  <si>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</si>
  <si>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</si>
  <si>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</si>
  <si>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</si>
  <si>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</si>
  <si>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</si>
  <si>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</si>
  <si>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</si>
  <si>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</si>
  <si>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</si>
  <si>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</si>
  <si>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</si>
  <si>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</si>
  <si>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</si>
  <si>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</si>
  <si>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</si>
  <si>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</si>
  <si>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</si>
  <si>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</si>
  <si>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</si>
  <si>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</si>
  <si>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</si>
  <si>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</si>
  <si>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</si>
  <si>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</si>
  <si>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</si>
  <si>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</si>
  <si>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</si>
  <si>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</si>
  <si>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</si>
  <si>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</si>
  <si>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</si>
  <si>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</si>
  <si>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</si>
  <si>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</si>
  <si>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</si>
  <si>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</si>
  <si>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</si>
  <si>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</si>
  <si>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</si>
  <si>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</si>
  <si>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</si>
  <si>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</si>
  <si>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</si>
  <si>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</si>
  <si>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</si>
  <si>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</si>
  <si>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</si>
  <si>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</si>
  <si>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</si>
  <si>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</si>
  <si>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</si>
  <si>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</si>
  <si>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</si>
  <si>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</si>
  <si>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</si>
  <si>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</si>
  <si>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</si>
  <si>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</si>
  <si>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</si>
  <si>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</si>
  <si>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</si>
  <si>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</si>
  <si>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</si>
  <si>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</si>
  <si>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</si>
  <si>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</si>
  <si>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</si>
  <si>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</si>
  <si>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</si>
  <si>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</si>
  <si>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</si>
  <si>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</si>
  <si>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</si>
  <si>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</si>
  <si>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</si>
  <si>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</si>
  <si>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</si>
  <si>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</si>
  <si>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</si>
  <si>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</si>
  <si>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</si>
  <si>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</si>
  <si>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</si>
  <si>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</si>
  <si>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</si>
  <si>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</si>
  <si>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</si>
  <si>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</si>
  <si>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</si>
  <si>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</si>
  <si>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</si>
  <si>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</si>
  <si>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</si>
  <si>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</si>
  <si>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</si>
  <si>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</si>
  <si>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</si>
  <si>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</si>
  <si>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</si>
  <si>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</si>
  <si>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</si>
  <si>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</si>
  <si>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</si>
  <si>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</si>
  <si>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</si>
  <si>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</si>
  <si>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</si>
  <si>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</si>
  <si>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</si>
  <si>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</si>
  <si>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</si>
  <si>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</si>
  <si>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</si>
  <si>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</si>
  <si>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</si>
  <si>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</si>
  <si>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</si>
  <si>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</si>
  <si>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</si>
  <si>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</si>
  <si>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</si>
  <si>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</si>
  <si>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</si>
  <si>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</si>
  <si>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</si>
  <si>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</si>
  <si>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</si>
  <si>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</si>
  <si>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</si>
  <si>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</si>
  <si>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</si>
  <si>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</si>
  <si>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</si>
  <si>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</si>
  <si>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</si>
  <si>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</si>
  <si>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</si>
  <si>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</si>
  <si>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</si>
  <si>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</si>
  <si>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</si>
  <si>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</si>
  <si>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</si>
  <si>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</si>
  <si>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</si>
  <si>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</si>
  <si>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</si>
  <si>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</si>
  <si>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</si>
  <si>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</si>
  <si>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</si>
  <si>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</si>
  <si>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</si>
  <si>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</si>
  <si>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</si>
  <si>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</si>
  <si>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</si>
  <si>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</si>
  <si>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</si>
  <si>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</si>
  <si>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</si>
  <si>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</si>
  <si>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</si>
  <si>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</si>
  <si>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</si>
  <si>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</si>
  <si>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</si>
  <si>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</si>
  <si>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</si>
  <si>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</si>
  <si>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</si>
  <si>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</si>
  <si>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</si>
  <si>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</si>
  <si>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</si>
  <si>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</si>
  <si>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</si>
  <si>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</si>
  <si>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</si>
  <si>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</si>
  <si>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</si>
  <si>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</si>
  <si>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</si>
  <si>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</si>
  <si>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</si>
  <si>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</si>
  <si>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</si>
  <si>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</si>
  <si>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</si>
  <si>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</si>
  <si>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</si>
  <si>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</si>
  <si>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</si>
  <si>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</si>
  <si>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</si>
  <si>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</si>
  <si>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</si>
  <si>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</si>
  <si>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</si>
  <si>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</si>
  <si>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</si>
  <si>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</si>
  <si>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</si>
  <si>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</si>
  <si>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</si>
  <si>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</si>
  <si>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</si>
  <si>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</si>
  <si>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</si>
  <si>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</si>
  <si>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</si>
  <si>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</si>
  <si>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</si>
  <si>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</si>
  <si>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</si>
  <si>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</si>
  <si>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</si>
  <si>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</si>
  <si>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</si>
  <si>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</si>
  <si>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</si>
  <si>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</si>
  <si>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</si>
  <si>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</si>
  <si>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</si>
  <si>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</si>
  <si>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</si>
  <si>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</si>
  <si>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</si>
  <si>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</si>
  <si>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</si>
  <si>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</si>
  <si>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</si>
  <si>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</si>
  <si>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</si>
  <si>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</si>
  <si>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</si>
  <si>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</si>
  <si>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</si>
  <si>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</si>
  <si>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</si>
  <si>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</si>
  <si>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</si>
  <si>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</si>
  <si>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</si>
  <si>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</si>
  <si>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</si>
  <si>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</si>
  <si>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</si>
  <si>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</si>
  <si>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</si>
  <si>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</si>
  <si>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</si>
  <si>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</si>
  <si>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</si>
  <si>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</si>
  <si>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</si>
  <si>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</si>
  <si>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</si>
  <si>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</si>
  <si>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</si>
  <si>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</si>
  <si>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</si>
  <si>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</si>
  <si>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</si>
  <si>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</si>
  <si>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</si>
  <si>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</si>
  <si>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</si>
  <si>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</si>
  <si>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</si>
  <si>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</si>
  <si>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</si>
  <si>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</si>
  <si>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</si>
  <si>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</si>
  <si>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</si>
  <si>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</si>
  <si>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</si>
  <si>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</si>
  <si>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</si>
  <si>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</si>
  <si>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</si>
  <si>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</si>
  <si>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</si>
  <si>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</si>
  <si>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</si>
  <si>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</si>
  <si>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</si>
  <si>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</si>
  <si>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</si>
  <si>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</si>
  <si>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</si>
  <si>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</si>
  <si>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</si>
  <si>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</si>
  <si>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</si>
  <si>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</si>
  <si>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</si>
  <si>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</si>
  <si>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</si>
  <si>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</si>
  <si>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</si>
  <si>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</si>
  <si>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</si>
  <si>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</si>
  <si>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</si>
  <si>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</si>
  <si>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</si>
  <si>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</si>
  <si>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</si>
  <si>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</si>
  <si>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</si>
  <si>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</si>
  <si>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</si>
  <si>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</si>
  <si>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</si>
  <si>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</si>
  <si>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</si>
  <si>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</si>
  <si>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</si>
  <si>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</si>
  <si>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</si>
  <si>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</si>
  <si>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</si>
  <si>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</si>
  <si>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</si>
  <si>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</si>
  <si>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</si>
  <si>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</si>
  <si>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</si>
  <si>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</si>
  <si>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</si>
  <si>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</si>
  <si>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</si>
  <si>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</si>
  <si>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</si>
  <si>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</si>
  <si>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</si>
  <si>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</si>
  <si>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</si>
  <si>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</si>
  <si>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</si>
  <si>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</si>
  <si>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</si>
  <si>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</si>
  <si>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</si>
  <si>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</si>
  <si>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</si>
  <si>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</si>
  <si>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</si>
  <si>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</si>
  <si>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</si>
  <si>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</si>
  <si>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</si>
  <si>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</si>
  <si>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</si>
  <si>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</si>
  <si>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</si>
  <si>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</si>
  <si>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</si>
  <si>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</si>
  <si>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</si>
  <si>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</si>
  <si>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</si>
  <si>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</si>
  <si>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</si>
  <si>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</si>
  <si>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</si>
  <si>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</si>
  <si>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</si>
  <si>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</si>
  <si>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</si>
  <si>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</si>
  <si>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</si>
  <si>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</si>
  <si>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</si>
  <si>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</si>
  <si>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</si>
  <si>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</si>
  <si>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</si>
  <si>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</si>
  <si>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</si>
  <si>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</si>
  <si>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</si>
  <si>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</si>
  <si>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</si>
  <si>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</si>
  <si>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</si>
  <si>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</si>
  <si>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</si>
  <si>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</si>
  <si>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</si>
  <si>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</si>
  <si>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</si>
  <si>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</si>
  <si>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</si>
  <si>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</si>
  <si>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</si>
  <si>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</si>
  <si>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</si>
  <si>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</si>
  <si>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</si>
  <si>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</si>
  <si>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</si>
  <si>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</si>
  <si>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</si>
  <si>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</si>
  <si>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</si>
  <si>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</si>
  <si>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</si>
  <si>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</si>
  <si>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</si>
  <si>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</si>
  <si>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</si>
  <si>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</si>
  <si>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</si>
  <si>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</si>
  <si>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</si>
  <si>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</si>
  <si>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</si>
  <si>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</si>
  <si>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</si>
  <si>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</si>
  <si>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</si>
  <si>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</si>
  <si>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</si>
  <si>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</si>
  <si>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</si>
  <si>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</si>
  <si>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</si>
  <si>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</si>
  <si>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</si>
  <si>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</si>
  <si>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</si>
  <si>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</si>
  <si>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</si>
  <si>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</si>
  <si>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</si>
  <si>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</si>
  <si>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</si>
  <si>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</si>
  <si>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</si>
  <si>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</si>
  <si>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</si>
  <si>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</si>
  <si>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</si>
  <si>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</si>
  <si>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</si>
  <si>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</si>
  <si>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</si>
  <si>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</si>
  <si>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</si>
  <si>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</si>
  <si>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</si>
  <si>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</si>
  <si>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</si>
  <si>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</si>
  <si>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</si>
  <si>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</si>
  <si>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</si>
  <si>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</si>
  <si>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</si>
  <si>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</si>
  <si>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</si>
  <si>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</si>
  <si>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</si>
  <si>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</si>
  <si>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</si>
  <si>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</si>
  <si>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</si>
  <si>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</si>
  <si>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</si>
  <si>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</si>
  <si>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</si>
  <si>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</si>
  <si>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</si>
  <si>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</si>
  <si>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</si>
  <si>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</si>
  <si>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</si>
  <si>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</si>
  <si>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</si>
  <si>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</si>
  <si>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</si>
  <si>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</si>
  <si>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</si>
  <si>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</si>
  <si>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</si>
  <si>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</si>
  <si>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</si>
  <si>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</si>
  <si>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</si>
  <si>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</si>
  <si>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</si>
  <si>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</si>
  <si>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</si>
  <si>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</si>
  <si>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</si>
  <si>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</si>
  <si>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</si>
  <si>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</si>
  <si>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</si>
  <si>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</si>
  <si>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</si>
  <si>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</si>
  <si>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</si>
  <si>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</si>
  <si>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</si>
  <si>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</si>
  <si>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</si>
  <si>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</si>
  <si>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</si>
  <si>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</si>
  <si>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</si>
  <si>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</si>
  <si>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</si>
  <si>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</si>
  <si>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</si>
  <si>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</si>
  <si>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</si>
  <si>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</si>
  <si>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</si>
  <si>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</si>
  <si>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</si>
  <si>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</si>
  <si>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</si>
  <si>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</si>
  <si>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</si>
  <si>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</si>
  <si>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</si>
  <si>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</si>
  <si>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</si>
  <si>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</si>
  <si>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</si>
  <si>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</si>
  <si>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</si>
  <si>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</si>
  <si>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</si>
  <si>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</si>
  <si>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</si>
  <si>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</si>
  <si>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</si>
  <si>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</si>
  <si>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</si>
  <si>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</si>
  <si>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</si>
  <si>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</si>
  <si>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</si>
  <si>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</si>
  <si>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</si>
  <si>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</si>
  <si>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</si>
  <si>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</si>
  <si>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</si>
  <si>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</si>
  <si>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</si>
  <si>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</si>
  <si>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</si>
  <si>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</si>
  <si>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</si>
  <si>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</si>
  <si>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</si>
  <si>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</si>
  <si>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</si>
  <si>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</si>
  <si>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</si>
  <si>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</si>
  <si>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</si>
  <si>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</si>
  <si>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</si>
  <si>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</si>
  <si>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</si>
  <si>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</si>
  <si>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</si>
  <si>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</si>
  <si>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</si>
  <si>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</si>
  <si>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</si>
  <si>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</si>
  <si>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</si>
  <si>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</si>
  <si>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</si>
  <si>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</si>
  <si>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</si>
  <si>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</si>
  <si>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</si>
  <si>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</si>
  <si>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</si>
  <si>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</si>
  <si>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</si>
  <si>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</si>
  <si>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</si>
  <si>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</si>
  <si>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</si>
  <si>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</si>
  <si>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</si>
  <si>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</si>
  <si>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</si>
  <si>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</si>
  <si>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</si>
  <si>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</si>
  <si>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</si>
  <si>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</si>
  <si>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</si>
  <si>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</si>
  <si>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</si>
  <si>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</si>
  <si>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</si>
  <si>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</si>
  <si>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</si>
  <si>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</si>
  <si>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</si>
  <si>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</si>
  <si>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</si>
  <si>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</si>
  <si>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</si>
  <si>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</si>
  <si>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</si>
  <si>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</si>
  <si>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</si>
  <si>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</si>
  <si>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</si>
  <si>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</si>
  <si>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</si>
  <si>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</si>
  <si>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</si>
  <si>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</si>
  <si>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</si>
  <si>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</si>
  <si>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</si>
  <si>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</si>
  <si>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</si>
  <si>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</si>
  <si>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</si>
  <si>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</si>
  <si>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</si>
  <si>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</si>
  <si>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</si>
  <si>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</si>
  <si>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</si>
  <si>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</si>
  <si>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</si>
  <si>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</si>
  <si>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</si>
  <si>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</si>
  <si>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</si>
  <si>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</si>
  <si>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</si>
  <si>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</si>
  <si>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</si>
  <si>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</si>
  <si>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</si>
  <si>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</si>
  <si>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</si>
  <si>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</si>
  <si>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</si>
  <si>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</si>
  <si>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</si>
  <si>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</si>
  <si>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</si>
  <si>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</si>
  <si>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</si>
  <si>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</si>
  <si>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</si>
  <si>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</si>
  <si>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</si>
  <si>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</si>
  <si>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</si>
  <si>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</si>
  <si>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</si>
  <si>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</si>
  <si>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</si>
  <si>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</si>
  <si>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</si>
  <si>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</si>
  <si>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</si>
  <si>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</si>
  <si>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</si>
  <si>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</si>
  <si>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</si>
  <si>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</si>
  <si>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</si>
  <si>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</si>
  <si>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</si>
  <si>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</si>
  <si>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</si>
  <si>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</si>
  <si>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</si>
  <si>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</si>
  <si>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</si>
  <si>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</si>
  <si>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</si>
  <si>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</si>
  <si>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</si>
  <si>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</si>
  <si>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</si>
  <si>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</si>
  <si>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</si>
  <si>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</si>
  <si>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</si>
  <si>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</si>
  <si>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</si>
  <si>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</si>
  <si>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</si>
  <si>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</si>
  <si>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</si>
  <si>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</si>
  <si>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</si>
  <si>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</si>
  <si>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</si>
  <si>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</si>
  <si>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</si>
  <si>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</si>
  <si>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</si>
  <si>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</si>
  <si>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</si>
  <si>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</si>
  <si>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</si>
  <si>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</si>
  <si>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</si>
  <si>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</si>
  <si>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</si>
  <si>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</si>
  <si>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</si>
  <si>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</si>
  <si>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</si>
  <si>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</si>
  <si>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</si>
  <si>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</si>
  <si>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</si>
  <si>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</si>
  <si>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</si>
  <si>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</si>
  <si>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</si>
  <si>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</si>
  <si>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</si>
  <si>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</si>
  <si>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</si>
  <si>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</si>
  <si>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</si>
  <si>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</si>
  <si>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</si>
  <si>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</si>
  <si>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</si>
  <si>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</si>
  <si>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</si>
  <si>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</si>
  <si>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</si>
  <si>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</si>
  <si>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</si>
  <si>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</si>
  <si>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</si>
  <si>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</si>
  <si>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</si>
  <si>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</si>
  <si>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</si>
  <si>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</si>
  <si>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</si>
  <si>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</si>
  <si>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</si>
  <si>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</si>
  <si>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</si>
  <si>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</si>
  <si>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</si>
  <si>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</si>
  <si>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</si>
  <si>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</si>
  <si>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</si>
  <si>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</si>
  <si>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</si>
  <si>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</si>
  <si>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</si>
  <si>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</si>
  <si>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</si>
  <si>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</si>
  <si>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</si>
  <si>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</si>
  <si>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</si>
  <si>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</si>
  <si>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</si>
  <si>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</si>
  <si>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</si>
  <si>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</si>
  <si>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</si>
  <si>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</si>
  <si>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</si>
  <si>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</si>
  <si>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</si>
  <si>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</si>
  <si>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</si>
  <si>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</si>
  <si>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</si>
  <si>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</si>
  <si>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</si>
  <si>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</si>
  <si>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</si>
  <si>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</si>
  <si>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</si>
  <si>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</si>
  <si>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</si>
  <si>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</si>
  <si>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</si>
  <si>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</si>
  <si>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</si>
  <si>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</si>
  <si>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</si>
  <si>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</si>
  <si>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</si>
  <si>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</si>
  <si>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</si>
  <si>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</si>
  <si>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</si>
  <si>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</si>
  <si>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</si>
  <si>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</si>
  <si>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</si>
  <si>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</si>
  <si>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</si>
  <si>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</si>
  <si>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</si>
  <si>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</si>
  <si>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</si>
  <si>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</si>
  <si>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</si>
  <si>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</si>
  <si>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</si>
  <si>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</si>
  <si>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</si>
  <si>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</si>
  <si>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</si>
  <si>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</si>
  <si>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</si>
  <si>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</si>
  <si>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</si>
  <si>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</si>
  <si>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</si>
  <si>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</si>
  <si>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</si>
  <si>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</si>
  <si>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</si>
  <si>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</si>
  <si>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</si>
  <si>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</si>
  <si>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</si>
  <si>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</si>
  <si>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</si>
  <si>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</si>
  <si>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</si>
  <si>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</si>
  <si>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</si>
  <si>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</si>
  <si>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</si>
  <si>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</si>
  <si>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</si>
  <si>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</si>
  <si>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</si>
  <si>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</si>
  <si>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</si>
  <si>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</si>
  <si>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</si>
  <si>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</si>
  <si>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</si>
  <si>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</si>
  <si>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</si>
  <si>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</si>
  <si>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</si>
  <si>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</si>
  <si>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</si>
  <si>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</si>
  <si>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</si>
  <si>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</si>
  <si>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</si>
  <si>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</si>
  <si>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</si>
  <si>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</si>
  <si>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</si>
  <si>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</si>
  <si>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</si>
  <si>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</si>
  <si>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</si>
  <si>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</si>
  <si>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</si>
  <si>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</si>
  <si>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</si>
  <si>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</si>
  <si>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</si>
  <si>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</si>
  <si>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</si>
  <si>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</si>
  <si>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</si>
  <si>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</si>
  <si>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</si>
  <si>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</si>
  <si>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</si>
  <si>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</si>
  <si>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</si>
  <si>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</si>
  <si>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</si>
  <si>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</si>
  <si>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</si>
  <si>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</si>
  <si>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</si>
  <si>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</si>
  <si>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</si>
  <si>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</si>
  <si>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</si>
  <si>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</si>
  <si>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</si>
  <si>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</si>
  <si>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</si>
  <si>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</si>
  <si>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</si>
  <si>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</si>
  <si>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</si>
  <si>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</si>
  <si>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</si>
  <si>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</si>
  <si>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</si>
  <si>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</si>
  <si>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</si>
  <si>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</si>
  <si>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</si>
  <si>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</si>
  <si>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</si>
  <si>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</si>
  <si>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</si>
  <si>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</si>
  <si>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</si>
  <si>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</si>
  <si>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</si>
  <si>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</si>
  <si>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</si>
  <si>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</si>
  <si>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</si>
  <si>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</si>
  <si>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</si>
  <si>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</si>
  <si>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</si>
  <si>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</si>
  <si>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</si>
  <si>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</si>
  <si>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</si>
  <si>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</si>
  <si>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</si>
  <si>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</si>
  <si>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</si>
  <si>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</si>
  <si>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</si>
  <si>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</si>
  <si>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</si>
  <si>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</si>
  <si>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</si>
  <si>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</si>
  <si>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</si>
  <si>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</si>
  <si>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</si>
  <si>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</si>
  <si>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</si>
  <si>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</si>
  <si>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</si>
  <si>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</si>
  <si>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</si>
  <si>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</si>
  <si>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</si>
  <si>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</si>
  <si>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</si>
  <si>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</si>
  <si>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</si>
  <si>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</si>
  <si>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</si>
  <si>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</si>
  <si>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</si>
  <si>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</si>
  <si>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</si>
  <si>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</si>
  <si>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</si>
  <si>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</si>
  <si>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</si>
  <si>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</si>
  <si>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</si>
  <si>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</si>
  <si>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</si>
  <si>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</si>
  <si>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</si>
  <si>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</si>
  <si>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</si>
  <si>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</si>
  <si>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</si>
  <si>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</si>
  <si>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</si>
  <si>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</si>
  <si>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</si>
  <si>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</si>
  <si>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</si>
  <si>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</si>
  <si>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</si>
  <si>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</si>
  <si>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</si>
  <si>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</si>
  <si>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</si>
  <si>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</si>
  <si>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</si>
  <si>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</si>
  <si>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</si>
  <si>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</si>
  <si>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</si>
  <si>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</si>
  <si>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</si>
  <si>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</si>
  <si>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</si>
  <si>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</si>
  <si>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</si>
  <si>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</si>
  <si>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</si>
  <si>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</si>
  <si>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</si>
  <si>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</si>
  <si>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</si>
  <si>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</si>
  <si>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</si>
  <si>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</si>
  <si>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</si>
  <si>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</si>
  <si>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</si>
  <si>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</si>
  <si>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</si>
  <si>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</si>
  <si>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</si>
  <si>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</si>
  <si>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</si>
  <si>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</si>
  <si>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</si>
  <si>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</si>
  <si>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</si>
  <si>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</si>
  <si>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</si>
  <si>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</si>
  <si>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</si>
  <si>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</si>
  <si>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</si>
  <si>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</si>
  <si>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</si>
  <si>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</si>
  <si>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</si>
  <si>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</si>
  <si>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</si>
  <si>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</si>
  <si>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</si>
  <si>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</si>
  <si>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</si>
  <si>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</si>
  <si>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</si>
  <si>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</si>
  <si>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</si>
  <si>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</si>
  <si>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</si>
  <si>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</si>
  <si>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</si>
  <si>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</si>
  <si>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</si>
  <si>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</si>
  <si>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</si>
  <si>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</si>
  <si>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</si>
  <si>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</si>
  <si>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</si>
  <si>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</si>
  <si>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</si>
  <si>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</si>
  <si>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</si>
  <si>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</si>
  <si>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</si>
  <si>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</si>
  <si>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</si>
  <si>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</si>
  <si>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</si>
  <si>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</si>
  <si>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</si>
  <si>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</si>
  <si>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</si>
  <si>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</si>
  <si>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</si>
  <si>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</si>
  <si>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</si>
  <si>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</si>
  <si>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</si>
  <si>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</si>
  <si>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</si>
  <si>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</si>
  <si>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</si>
  <si>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</si>
  <si>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</si>
  <si>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</si>
  <si>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</si>
  <si>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</si>
  <si>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</si>
  <si>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</si>
  <si>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</si>
  <si>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</si>
  <si>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</si>
  <si>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</si>
  <si>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</si>
  <si>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</si>
  <si>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</si>
  <si>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</si>
  <si>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</si>
  <si>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</si>
  <si>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</si>
  <si>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</si>
  <si>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</si>
  <si>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</si>
  <si>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</si>
  <si>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</si>
  <si>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</si>
  <si>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</si>
  <si>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</si>
  <si>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</si>
  <si>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</si>
  <si>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</si>
  <si>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</si>
  <si>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</si>
  <si>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</si>
  <si>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</si>
  <si>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</si>
  <si>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</si>
  <si>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</si>
  <si>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</si>
  <si>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</si>
  <si>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</si>
  <si>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</si>
  <si>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</si>
  <si>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</si>
  <si>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</si>
  <si>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</si>
  <si>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</si>
  <si>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</si>
  <si>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</si>
  <si>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</si>
  <si>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</si>
  <si>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</si>
  <si>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</si>
  <si>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</si>
  <si>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</si>
  <si>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</si>
  <si>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</si>
  <si>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</si>
  <si>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</si>
  <si>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</si>
  <si>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</si>
  <si>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</si>
  <si>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</si>
  <si>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</si>
  <si>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</si>
  <si>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</si>
  <si>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</si>
  <si>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</si>
  <si>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</si>
  <si>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</si>
  <si>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</si>
  <si>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</si>
  <si>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</si>
  <si>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</si>
  <si>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</si>
  <si>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</si>
  <si>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</si>
  <si>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</si>
  <si>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</si>
  <si>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</si>
  <si>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</si>
  <si>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</si>
  <si>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</si>
  <si>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</si>
  <si>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</si>
  <si>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</si>
  <si>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</si>
  <si>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</si>
  <si>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</si>
  <si>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</si>
  <si>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</si>
  <si>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</si>
  <si>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</si>
  <si>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</si>
  <si>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</si>
  <si>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</si>
  <si>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</si>
  <si>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</si>
  <si>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</si>
  <si>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</si>
  <si>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</si>
  <si>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</si>
  <si>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</si>
  <si>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</si>
  <si>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</si>
  <si>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</si>
  <si>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</si>
  <si>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</si>
  <si>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</si>
  <si>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</si>
  <si>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</si>
  <si>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</si>
  <si>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</si>
  <si>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</si>
  <si>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</si>
  <si>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</si>
  <si>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</si>
  <si>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</si>
  <si>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</si>
  <si>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</si>
  <si>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</si>
  <si>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</si>
  <si>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</si>
  <si>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</si>
  <si>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</si>
  <si>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</si>
  <si>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</si>
  <si>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</si>
  <si>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</si>
  <si>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</si>
  <si>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</si>
  <si>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</si>
  <si>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</si>
  <si>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</si>
  <si>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</si>
  <si>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</si>
  <si>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</si>
  <si>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</si>
  <si>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</si>
  <si>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</si>
  <si>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</si>
  <si>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</si>
  <si>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</si>
  <si>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</si>
  <si>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</si>
  <si>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</si>
  <si>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</si>
  <si>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</si>
  <si>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</si>
  <si>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</si>
  <si>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</si>
  <si>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</si>
  <si>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</si>
  <si>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</si>
  <si>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</si>
  <si>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</si>
  <si>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</si>
  <si>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</si>
  <si>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</si>
  <si>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</si>
  <si>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</si>
  <si>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</si>
  <si>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</si>
  <si>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</si>
  <si>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</si>
  <si>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</si>
  <si>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</si>
  <si>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</si>
  <si>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</si>
  <si>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</si>
  <si>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</si>
  <si>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</si>
  <si>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</si>
  <si>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</si>
  <si>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</si>
  <si>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</si>
  <si>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</si>
  <si>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</si>
  <si>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</si>
  <si>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</si>
  <si>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</si>
  <si>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</si>
  <si>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</si>
  <si>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</si>
  <si>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</si>
  <si>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</si>
  <si>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</si>
  <si>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</si>
  <si>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</si>
  <si>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</si>
  <si>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</si>
  <si>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</si>
  <si>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</si>
  <si>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</si>
  <si>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</si>
  <si>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</si>
  <si>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</si>
  <si>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</si>
  <si>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</si>
  <si>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</si>
  <si>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</si>
  <si>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</si>
  <si>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</si>
  <si>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</si>
  <si>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</si>
  <si>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</si>
  <si>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</si>
  <si>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</si>
  <si>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</si>
  <si>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</si>
  <si>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</si>
  <si>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</si>
  <si>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</si>
  <si>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</si>
  <si>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</si>
  <si>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</si>
  <si>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</si>
  <si>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</si>
  <si>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</si>
  <si>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</si>
  <si>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</si>
  <si>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</si>
  <si>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</si>
  <si>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</si>
  <si>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</si>
  <si>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</si>
  <si>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</si>
  <si>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</si>
  <si>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</si>
  <si>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</si>
  <si>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</si>
  <si>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</si>
  <si>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</si>
  <si>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</si>
  <si>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</si>
  <si>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</si>
  <si>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</si>
  <si>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</si>
  <si>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</si>
  <si>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</si>
  <si>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</si>
  <si>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</si>
  <si>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</si>
  <si>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</si>
  <si>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</si>
  <si>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</si>
  <si>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</si>
  <si>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</si>
  <si>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</si>
  <si>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</si>
  <si>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</si>
  <si>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</si>
  <si>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</si>
  <si>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</si>
  <si>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</si>
  <si>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</si>
  <si>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</si>
  <si>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</si>
  <si>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</si>
  <si>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</si>
  <si>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</si>
  <si>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</si>
  <si>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</si>
  <si>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</si>
  <si>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</si>
  <si>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</si>
  <si>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</si>
  <si>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</si>
  <si>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</si>
  <si>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</si>
  <si>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</si>
  <si>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</si>
  <si>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</si>
  <si>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</si>
  <si>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</si>
  <si>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</si>
  <si>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</si>
  <si>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</si>
  <si>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</si>
  <si>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</si>
  <si>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</si>
  <si>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</si>
  <si>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</si>
  <si>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</si>
  <si>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</si>
  <si>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</si>
  <si>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</si>
  <si>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</si>
  <si>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</si>
  <si>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</si>
  <si>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</si>
  <si>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</si>
  <si>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</si>
  <si>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</si>
  <si>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</si>
  <si>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</si>
  <si>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</si>
  <si>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</si>
  <si>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</si>
  <si>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</si>
  <si>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</si>
  <si>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</si>
  <si>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</si>
  <si>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</si>
  <si>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</si>
  <si>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</si>
  <si>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</si>
  <si>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</si>
  <si>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</si>
  <si>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</si>
  <si>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</si>
  <si>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</si>
  <si>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</si>
  <si>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</si>
  <si>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</si>
  <si>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</si>
  <si>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</si>
  <si>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</si>
  <si>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</si>
  <si>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</si>
  <si>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</si>
  <si>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</si>
  <si>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</si>
  <si>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</si>
  <si>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</si>
  <si>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</si>
  <si>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</si>
  <si>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</si>
  <si>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</si>
  <si>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</si>
  <si>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</si>
  <si>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</si>
  <si>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</si>
  <si>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</si>
  <si>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</si>
  <si>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</si>
  <si>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</si>
  <si>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</si>
  <si>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</si>
  <si>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</si>
  <si>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</si>
  <si>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</si>
  <si>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</si>
  <si>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</si>
  <si>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</si>
  <si>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</si>
  <si>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</si>
  <si>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</si>
  <si>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</si>
  <si>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</si>
  <si>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</si>
  <si>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</si>
  <si>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</si>
  <si>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</si>
  <si>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</si>
  <si>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</si>
  <si>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</si>
  <si>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</si>
  <si>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</si>
  <si>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</si>
  <si>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</si>
  <si>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</si>
  <si>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</si>
  <si>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</si>
  <si>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</si>
  <si>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</si>
  <si>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</si>
  <si>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</si>
  <si>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</si>
  <si>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</si>
  <si>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</si>
  <si>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</si>
  <si>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</si>
  <si>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</si>
  <si>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</si>
  <si>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</si>
  <si>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</si>
  <si>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</si>
  <si>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</si>
  <si>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</si>
  <si>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</si>
  <si>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</si>
  <si>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</si>
  <si>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</si>
  <si>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</si>
  <si>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</si>
  <si>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</si>
  <si>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</si>
  <si>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</si>
  <si>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</si>
  <si>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</si>
  <si>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</si>
  <si>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</si>
  <si>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</si>
  <si>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</si>
  <si>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</si>
  <si>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</si>
  <si>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</si>
  <si>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</si>
  <si>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</si>
  <si>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</si>
  <si>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</si>
  <si>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</si>
  <si>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</si>
  <si>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</si>
  <si>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</si>
  <si>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</si>
  <si>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</si>
  <si>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</si>
  <si>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</si>
  <si>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</si>
  <si>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</si>
  <si>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</si>
  <si>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</si>
  <si>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</si>
  <si>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</si>
  <si>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</si>
  <si>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</si>
  <si>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</si>
  <si>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</si>
  <si>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</si>
  <si>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</si>
  <si>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</si>
  <si>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</si>
  <si>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</si>
  <si>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</si>
  <si>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</si>
  <si>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</si>
  <si>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</si>
  <si>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</si>
  <si>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</si>
  <si>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</si>
  <si>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</si>
  <si>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</si>
  <si>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</si>
  <si>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</si>
  <si>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</si>
  <si>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</si>
  <si>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</si>
  <si>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</si>
  <si>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</si>
  <si>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</si>
  <si>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</si>
  <si>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</si>
  <si>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</si>
  <si>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</si>
  <si>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</si>
  <si>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</si>
  <si>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</si>
  <si>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</si>
  <si>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</si>
  <si>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</si>
  <si>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</si>
  <si>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</si>
  <si>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</si>
  <si>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</si>
  <si>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</si>
  <si>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</si>
  <si>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</si>
  <si>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</si>
  <si>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</si>
  <si>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</si>
  <si>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</si>
  <si>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</si>
  <si>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</si>
  <si>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</si>
  <si>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</si>
  <si>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</si>
  <si>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</si>
  <si>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</si>
  <si>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</si>
  <si>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</si>
  <si>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</si>
  <si>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</si>
  <si>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</si>
  <si>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</si>
  <si>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</si>
  <si>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</si>
  <si>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</si>
  <si>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</si>
  <si>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</si>
  <si>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</si>
  <si>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</si>
  <si>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</si>
  <si>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</si>
  <si>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</si>
  <si>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</si>
  <si>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</si>
  <si>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</si>
  <si>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</si>
  <si>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</si>
  <si>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</si>
  <si>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</si>
  <si>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</si>
  <si>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</si>
  <si>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</si>
  <si>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</si>
  <si>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</si>
  <si>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</si>
  <si>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</si>
  <si>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</si>
  <si>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</si>
  <si>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</si>
  <si>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</si>
  <si>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</si>
  <si>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</si>
  <si>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</si>
  <si>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</si>
  <si>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</si>
  <si>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</si>
  <si>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</si>
  <si>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</si>
  <si>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</si>
  <si>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</si>
  <si>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</si>
  <si>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</si>
  <si>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</si>
  <si>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</si>
  <si>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</si>
  <si>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</si>
  <si>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</si>
  <si>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</si>
  <si>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</si>
  <si>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</si>
  <si>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</si>
  <si>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</si>
  <si>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</si>
  <si>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</si>
  <si>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</si>
  <si>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</si>
  <si>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</si>
  <si>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</si>
  <si>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</si>
  <si>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</si>
  <si>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</si>
  <si>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</si>
  <si>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</si>
  <si>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</si>
  <si>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</si>
  <si>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</si>
  <si>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</si>
  <si>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</si>
  <si>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</si>
  <si>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</si>
  <si>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</si>
  <si>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</si>
  <si>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</si>
  <si>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</si>
  <si>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</si>
  <si>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</si>
  <si>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</si>
  <si>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</si>
  <si>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</si>
  <si>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</si>
  <si>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</si>
  <si>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</si>
  <si>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</si>
  <si>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</si>
  <si>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</si>
  <si>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</si>
  <si>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</si>
  <si>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</si>
  <si>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</si>
  <si>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</si>
  <si>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</si>
  <si>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</si>
  <si>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</si>
  <si>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</si>
  <si>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</si>
  <si>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</si>
  <si>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</si>
  <si>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</si>
  <si>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</si>
  <si>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</si>
  <si>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</si>
  <si>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</si>
  <si>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</si>
  <si>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</si>
  <si>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</si>
  <si>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</si>
  <si>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</si>
  <si>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</si>
  <si>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</si>
  <si>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</si>
  <si>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</si>
  <si>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</si>
  <si>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</si>
  <si>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</si>
  <si>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</si>
  <si>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</si>
  <si>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</si>
  <si>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</si>
  <si>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</si>
  <si>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</si>
  <si>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</si>
  <si>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</si>
  <si>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</si>
  <si>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</si>
  <si>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</si>
  <si>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</si>
  <si>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</si>
  <si>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</si>
  <si>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</si>
  <si>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</si>
  <si>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</si>
  <si>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</si>
  <si>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</si>
  <si>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</si>
  <si>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</si>
  <si>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</si>
  <si>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</si>
  <si>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</si>
  <si>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</si>
  <si>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</si>
  <si>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</si>
  <si>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</si>
  <si>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</si>
  <si>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</si>
  <si>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</si>
  <si>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</si>
  <si>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</si>
  <si>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</si>
  <si>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</si>
  <si>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</si>
  <si>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</si>
  <si>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</si>
  <si>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</si>
  <si>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</si>
  <si>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</si>
  <si>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</si>
  <si>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</si>
  <si>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</si>
  <si>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</si>
  <si>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</si>
  <si>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</si>
  <si>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</si>
  <si>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</si>
  <si>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</si>
  <si>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</si>
  <si>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</si>
  <si>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</si>
  <si>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</si>
  <si>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</si>
  <si>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</si>
  <si>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</si>
  <si>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</si>
  <si>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</si>
  <si>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</si>
  <si>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</si>
  <si>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</si>
  <si>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</si>
  <si>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</si>
  <si>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</si>
  <si>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</si>
  <si>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</si>
  <si>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</si>
  <si>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</si>
  <si>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</si>
  <si>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</si>
  <si>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</si>
  <si>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</si>
  <si>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</si>
  <si>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</si>
  <si>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</si>
  <si>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</si>
  <si>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</si>
  <si>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</si>
  <si>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</si>
  <si>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</si>
  <si>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</si>
  <si>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</si>
  <si>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</si>
  <si>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</si>
  <si>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</si>
  <si>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</si>
  <si>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</si>
  <si>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</si>
  <si>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</si>
  <si>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</si>
  <si>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</si>
  <si>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</si>
  <si>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</si>
  <si>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</si>
  <si>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</si>
  <si>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</si>
  <si>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</si>
  <si>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</si>
  <si>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</si>
  <si>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</si>
  <si>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</si>
  <si>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</si>
  <si>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</si>
  <si>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</si>
  <si>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</si>
  <si>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</si>
  <si>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</si>
  <si>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</si>
  <si>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</si>
  <si>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</si>
  <si>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</si>
  <si>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</si>
  <si>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</si>
  <si>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</si>
  <si>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</si>
  <si>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</si>
  <si>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</si>
  <si>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</si>
  <si>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</si>
  <si>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</si>
  <si>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</si>
  <si>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</si>
  <si>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</si>
  <si>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</si>
  <si>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</si>
  <si>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</si>
  <si>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</si>
  <si>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</si>
  <si>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</si>
  <si>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</si>
  <si>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</si>
  <si>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</si>
  <si>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</si>
  <si>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</si>
  <si>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</si>
  <si>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</si>
  <si>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</si>
  <si>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</si>
  <si>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</si>
  <si>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</si>
  <si>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</si>
  <si>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</si>
  <si>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</si>
  <si>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</si>
  <si>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</si>
  <si>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</si>
  <si>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</si>
  <si>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</si>
  <si>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</si>
  <si>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</si>
  <si>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</si>
  <si>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</si>
  <si>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</si>
  <si>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</si>
  <si>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</si>
  <si>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</si>
  <si>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</si>
  <si>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</si>
  <si>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</si>
  <si>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</si>
  <si>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</si>
  <si>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</si>
  <si>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</si>
  <si>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</si>
  <si>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</si>
  <si>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</si>
  <si>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</si>
  <si>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</si>
  <si>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</si>
  <si>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</si>
  <si>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</si>
  <si>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</si>
  <si>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</si>
  <si>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</si>
  <si>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</si>
  <si>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</si>
  <si>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</si>
  <si>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</si>
  <si>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</si>
  <si>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</si>
  <si>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</si>
  <si>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</si>
  <si>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</si>
  <si>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</si>
  <si>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</si>
  <si>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</si>
  <si>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</si>
  <si>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</si>
  <si>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</si>
  <si>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</si>
  <si>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</si>
  <si>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</si>
  <si>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</si>
  <si>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</si>
  <si>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</si>
  <si>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</si>
  <si>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</si>
  <si>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</si>
  <si>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</si>
  <si>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</si>
  <si>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</si>
  <si>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</si>
  <si>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</si>
  <si>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</si>
  <si>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</si>
  <si>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</si>
  <si>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</si>
  <si>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</si>
  <si>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</si>
  <si>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</si>
  <si>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</si>
  <si>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</si>
  <si>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</si>
  <si>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</si>
  <si>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</si>
  <si>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</si>
  <si>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</si>
  <si>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</si>
  <si>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</si>
  <si>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</si>
  <si>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</si>
  <si>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</si>
  <si>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</si>
  <si>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</si>
  <si>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</si>
  <si>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</si>
  <si>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</si>
  <si>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</si>
  <si>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</si>
  <si>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</si>
  <si>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</si>
  <si>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</si>
  <si>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</si>
  <si>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</si>
  <si>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</si>
  <si>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</si>
  <si>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</si>
  <si>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</si>
  <si>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</si>
  <si>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</si>
  <si>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</si>
  <si>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</si>
  <si>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</si>
  <si>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</si>
  <si>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</si>
  <si>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A1研发楼</t>
  </si>
  <si>
    <t>A2研发楼</t>
  </si>
  <si>
    <t>A3研发楼</t>
  </si>
  <si>
    <t>A4研发楼</t>
  </si>
  <si>
    <t>A5研发楼</t>
  </si>
  <si>
    <t>A6研发楼</t>
  </si>
  <si>
    <t>A7研发楼</t>
  </si>
  <si>
    <t>A8配套服务楼</t>
  </si>
  <si>
    <t>地下车库</t>
  </si>
  <si>
    <t>是</t>
  </si>
  <si>
    <t>工业</t>
    <phoneticPr fontId="7" type="noConversion"/>
  </si>
  <si>
    <t>仓储</t>
    <phoneticPr fontId="7" type="noConversion"/>
  </si>
  <si>
    <t>车库</t>
    <phoneticPr fontId="7" type="noConversion"/>
  </si>
  <si>
    <t>地上</t>
  </si>
  <si>
    <t>地下</t>
  </si>
  <si>
    <t>成本法</t>
  </si>
  <si>
    <t>M4科研用地</t>
  </si>
  <si>
    <t>宗地容积率</t>
  </si>
  <si>
    <t>通路</t>
  </si>
  <si>
    <t>通电</t>
  </si>
  <si>
    <t>通讯</t>
  </si>
  <si>
    <t>通上水</t>
  </si>
  <si>
    <t>通下水</t>
  </si>
  <si>
    <t>通热</t>
  </si>
  <si>
    <t>燃气</t>
  </si>
  <si>
    <t>平整</t>
  </si>
  <si>
    <t>与级别开发程度不一致</t>
  </si>
  <si>
    <t>较好</t>
  </si>
  <si>
    <t>一般</t>
  </si>
  <si>
    <t>好</t>
  </si>
  <si>
    <t>未包含在土地购买价格中</t>
  </si>
  <si>
    <t>全部缴纳</t>
  </si>
  <si>
    <t>已包含在土地取得成本中</t>
  </si>
  <si>
    <t>押一</t>
  </si>
  <si>
    <t>钢混</t>
  </si>
  <si>
    <t>非生产用房</t>
  </si>
  <si>
    <t>否</t>
  </si>
  <si>
    <t>收益法</t>
  </si>
  <si>
    <t>收益法(仓储)</t>
  </si>
  <si>
    <t>收益法(仓储)</t>
    <phoneticPr fontId="16" type="noConversion"/>
  </si>
  <si>
    <t>收益法(车库)</t>
  </si>
  <si>
    <t>收益法(车库)</t>
    <phoneticPr fontId="16" type="noConversion"/>
  </si>
  <si>
    <t>地上</t>
    <phoneticPr fontId="3" type="noConversion"/>
  </si>
  <si>
    <t>地下</t>
    <phoneticPr fontId="3" type="noConversion"/>
  </si>
  <si>
    <t>总价</t>
  </si>
  <si>
    <t>成本比率</t>
  </si>
  <si>
    <t>工程进度</t>
  </si>
  <si>
    <t>假设开发法</t>
  </si>
  <si>
    <t>地下仓储</t>
    <phoneticPr fontId="3" type="noConversion"/>
  </si>
  <si>
    <t>地下车库</t>
    <phoneticPr fontId="3" type="noConversion"/>
  </si>
  <si>
    <t>合计</t>
    <phoneticPr fontId="3" type="noConversion"/>
  </si>
  <si>
    <t>在建（套用方法）</t>
  </si>
  <si>
    <t>建安</t>
  </si>
  <si>
    <t>占比</t>
  </si>
  <si>
    <t>主体</t>
  </si>
  <si>
    <t>装修</t>
  </si>
  <si>
    <t>设备</t>
  </si>
  <si>
    <t>人防设备</t>
  </si>
  <si>
    <t>综合平均</t>
  </si>
  <si>
    <t>室外工程</t>
  </si>
  <si>
    <t>建面</t>
    <phoneticPr fontId="3" type="noConversion"/>
  </si>
  <si>
    <t>单方</t>
    <phoneticPr fontId="3" type="noConversion"/>
  </si>
  <si>
    <t>合计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</si>
</sst>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0" borderId="1" xfId="10" applyFont="1" applyBorder="1" applyAlignment="1" applyProtection="1">
      <alignment horizontal="center" vertical="center" wrapText="1"/>
      <protection locked="0"/>
    </xf>
    <xf numFmtId="0" fontId="47" fillId="2" borderId="2" xfId="10" applyFont="1" applyFill="1" applyBorder="1" applyAlignment="1" applyProtection="1">
      <alignment horizontal="center" vertical="center" wrapText="1"/>
      <protection locked="0"/>
    </xf>
    <xf numFmtId="176" fontId="44" fillId="0" borderId="1" xfId="10" applyNumberFormat="1" applyFont="1" applyBorder="1" applyAlignment="1" applyProtection="1">
      <alignment vertical="center" wrapText="1"/>
      <protection locked="0"/>
    </xf>
    <xf numFmtId="176" fontId="47" fillId="0" borderId="1" xfId="10" applyNumberFormat="1" applyFont="1" applyBorder="1" applyAlignment="1" applyProtection="1">
      <alignment vertical="center" wrapText="1"/>
      <protection locked="0"/>
    </xf>
    <xf numFmtId="176" fontId="44" fillId="0" borderId="1" xfId="10" applyNumberFormat="1" applyFont="1" applyBorder="1" applyAlignment="1" applyProtection="1">
      <alignment horizontal="center" vertical="center" wrapText="1"/>
      <protection locked="0"/>
    </xf>
    <xf numFmtId="176" fontId="44" fillId="0" borderId="2" xfId="10" applyNumberFormat="1" applyFont="1" applyBorder="1" applyAlignment="1" applyProtection="1">
      <alignment horizontal="center" vertical="center" wrapText="1"/>
      <protection locked="0"/>
    </xf>
    <xf numFmtId="176" fontId="47" fillId="0" borderId="1" xfId="10" applyNumberFormat="1" applyFont="1" applyBorder="1" applyAlignment="1" applyProtection="1">
      <alignment horizontal="center" vertical="center" wrapText="1"/>
      <protection locked="0"/>
    </xf>
    <xf numFmtId="176" fontId="47" fillId="0" borderId="2" xfId="10" applyNumberFormat="1" applyFont="1" applyBorder="1" applyAlignment="1" applyProtection="1">
      <alignment horizontal="center" vertical="center" wrapText="1"/>
      <protection locked="0"/>
    </xf>
    <xf numFmtId="0" fontId="54" fillId="6" borderId="1" xfId="1" applyFont="1" applyFill="1" applyBorder="1" applyAlignment="1" applyProtection="1">
      <alignment vertical="center"/>
    </xf>
    <xf numFmtId="0" fontId="54" fillId="6" borderId="32" xfId="1" applyFont="1" applyFill="1" applyBorder="1" applyAlignment="1" applyProtection="1">
      <alignment vertical="center"/>
    </xf>
    <xf numFmtId="0" fontId="99" fillId="5" borderId="1" xfId="1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86" fontId="50" fillId="16" borderId="17" xfId="0" applyNumberFormat="1" applyFont="1" applyFill="1" applyBorder="1" applyAlignment="1" applyProtection="1">
      <alignment horizontal="center" vertical="center" wrapText="1"/>
    </xf>
    <xf numFmtId="176" fontId="47" fillId="16" borderId="1" xfId="1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177" fontId="47" fillId="16" borderId="1" xfId="1" applyNumberFormat="1"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9" fontId="47" fillId="22" borderId="0" xfId="19" applyFont="1" applyFill="1" applyProtection="1">
      <alignmen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9" fontId="47" fillId="12" borderId="0" xfId="19" applyFont="1" applyFill="1" applyProtection="1">
      <alignment vertical="center"/>
      <protection locked="0"/>
    </xf>
    <xf numFmtId="10" fontId="47" fillId="22" borderId="0" xfId="0" applyNumberFormat="1" applyFont="1" applyFill="1" applyProtection="1">
      <alignment vertical="center"/>
      <protection locked="0"/>
    </xf>
    <xf numFmtId="176" fontId="52" fillId="0" borderId="1" xfId="0" applyNumberFormat="1" applyFont="1" applyBorder="1" applyAlignment="1" applyProtection="1">
      <alignment horizontal="left" vertical="center"/>
      <protection locked="0"/>
    </xf>
    <xf numFmtId="1" fontId="52" fillId="0" borderId="1" xfId="0" applyNumberFormat="1" applyFont="1" applyBorder="1" applyAlignment="1" applyProtection="1">
      <alignment horizontal="left" vertical="center"/>
      <protection locked="0"/>
    </xf>
    <xf numFmtId="10" fontId="47" fillId="12" borderId="0" xfId="0" applyNumberFormat="1" applyFont="1" applyFill="1" applyProtection="1">
      <alignment vertical="center"/>
      <protection locked="0"/>
    </xf>
    <xf numFmtId="9" fontId="47" fillId="12" borderId="0" xfId="0" applyNumberFormat="1" applyFont="1" applyFill="1" applyAlignment="1" applyProtection="1">
      <alignment horizontal="center" vertical="center"/>
      <protection locked="0"/>
    </xf>
    <xf numFmtId="1" fontId="79" fillId="12" borderId="1" xfId="0" applyNumberFormat="1" applyFont="1" applyFill="1" applyBorder="1" applyAlignment="1" applyProtection="1">
      <alignment horizontal="left" vertical="center"/>
      <protection locked="0"/>
    </xf>
    <xf numFmtId="1"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horizontal="center" vertical="center"/>
      <protection locked="0"/>
    </xf>
    <xf numFmtId="0" fontId="47" fillId="16"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161925</xdr:rowOff>
    </xdr:from>
    <xdr:to>
      <xdr:col>17</xdr:col>
      <xdr:colOff>453160</xdr:colOff>
      <xdr:row>36</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161925"/>
          <a:ext cx="11349760" cy="6010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估价对象为北京市房地产，为所有。根据《国有土地使用证》[]，估价对象（分摊）出让国有建设用地使用权面积为18023.05平方米，建筑面积为48207.3平方米。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估价对象为北京市房地产,属开发建设的，该项目尚在开发建设中。根据《国有土地使用证》[]，估价对象（分摊）出让国有建设用地使用权面积为18023.05平方米，规划建筑面积为48207.3平方米。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35274</v>
      </c>
    </row>
    <row r="21" spans="1:2" s="1202" customFormat="1">
      <c r="A21" s="1200" t="s">
        <v>537</v>
      </c>
      <c r="B21" s="1201">
        <f ca="1">'预评函-2'!D7</f>
        <v>7317</v>
      </c>
    </row>
    <row r="22" spans="1:2" s="1202" customFormat="1">
      <c r="A22" s="1200" t="s">
        <v>538</v>
      </c>
      <c r="B22" s="1201" t="str">
        <f ca="1">'预评函-2'!D6</f>
        <v>叁亿伍仟贰佰柒拾肆万元整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35274</v>
      </c>
    </row>
    <row r="31" spans="1:2" s="1202" customFormat="1">
      <c r="A31" s="1200" t="s">
        <v>576</v>
      </c>
      <c r="B31" s="1201">
        <f ca="1">'预评函-2'!D15</f>
        <v>7317</v>
      </c>
    </row>
    <row r="32" spans="1:2" s="1202" customFormat="1">
      <c r="A32" s="1200" t="s">
        <v>543</v>
      </c>
      <c r="B32" s="1201" t="str">
        <f ca="1">'预评函-2'!D14</f>
        <v>叁亿伍仟贰佰柒拾肆万元整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48207.299999999996</v>
      </c>
    </row>
    <row r="44" spans="1:2" s="1202" customFormat="1">
      <c r="A44" s="1200" t="s">
        <v>575</v>
      </c>
      <c r="B44" s="1201" t="str">
        <f>'预评函-3'!C2</f>
        <v>(分摊)土地面积</v>
      </c>
    </row>
    <row r="45" spans="1:2" s="1202" customFormat="1">
      <c r="A45" s="1200" t="s">
        <v>547</v>
      </c>
      <c r="B45" s="1201">
        <f>'预评函-3'!C4</f>
        <v>18023.05</v>
      </c>
    </row>
    <row r="46" spans="1:2" s="1202" customFormat="1">
      <c r="A46" s="1200" t="s">
        <v>573</v>
      </c>
      <c r="B46" s="1201" t="str">
        <f>'预评函-3'!D2</f>
        <v>出让国有建设用地使用权价值</v>
      </c>
    </row>
    <row r="47" spans="1:2" s="1202" customFormat="1">
      <c r="A47" s="1200" t="s">
        <v>548</v>
      </c>
      <c r="B47" s="1201">
        <f ca="1">'预评函-3'!D4</f>
        <v>6808</v>
      </c>
    </row>
    <row r="48" spans="1:2" s="1202" customFormat="1">
      <c r="A48" s="1200" t="s">
        <v>549</v>
      </c>
      <c r="B48" s="1201">
        <f ca="1">'预评函-3'!E4</f>
        <v>1412</v>
      </c>
    </row>
    <row r="49" spans="1:2" s="1202" customFormat="1">
      <c r="A49" s="1200" t="s">
        <v>550</v>
      </c>
      <c r="B49" s="1201" t="str">
        <f ca="1">'预评函-3'!D5</f>
        <v>陆仟捌佰零捌万元整</v>
      </c>
    </row>
    <row r="50" spans="1:2" s="1202" customFormat="1">
      <c r="A50" s="1200" t="s">
        <v>574</v>
      </c>
      <c r="B50" s="1201" t="str">
        <f>'预评函-3'!F2</f>
        <v>在建建筑物价值</v>
      </c>
    </row>
    <row r="51" spans="1:2" s="1202" customFormat="1">
      <c r="A51" s="1200" t="s">
        <v>551</v>
      </c>
      <c r="B51" s="1201">
        <f ca="1">'预评函-3'!F4</f>
        <v>28466</v>
      </c>
    </row>
    <row r="52" spans="1:2" s="1202" customFormat="1">
      <c r="A52" s="1200" t="s">
        <v>552</v>
      </c>
      <c r="B52" s="1201">
        <f ca="1">'预评函-3'!G4</f>
        <v>5905</v>
      </c>
    </row>
    <row r="53" spans="1:2" s="1202" customFormat="1">
      <c r="A53" s="1200" t="s">
        <v>580</v>
      </c>
      <c r="B53" s="1201" t="str">
        <f ca="1">'预评函-3'!F5</f>
        <v>贰亿捌仟肆佰陆拾陆万元整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3447</v>
      </c>
      <c r="C19" s="1546"/>
    </row>
    <row r="20" spans="1:3">
      <c r="A20" s="1545" t="s">
        <v>1048</v>
      </c>
      <c r="B20" s="1545" t="s">
        <v>3449</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3" t="s">
        <v>385</v>
      </c>
      <c r="C54" s="1550" t="s">
        <v>583</v>
      </c>
    </row>
    <row r="55" spans="1:4">
      <c r="A55" s="3545"/>
      <c r="B55" s="1553" t="s">
        <v>386</v>
      </c>
      <c r="C55" s="1550" t="s">
        <v>584</v>
      </c>
    </row>
    <row r="56" spans="1:4">
      <c r="A56" s="3545"/>
      <c r="B56" s="1553" t="s">
        <v>387</v>
      </c>
      <c r="C56" s="1550" t="s">
        <v>588</v>
      </c>
    </row>
    <row r="57" spans="1:4">
      <c r="A57" s="354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115" zoomScaleNormal="115" workbookViewId="0">
      <selection activeCell="D12" sqref="D1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46" t="s">
        <v>2579</v>
      </c>
      <c r="J2" s="3546"/>
      <c r="K2" s="3546"/>
      <c r="L2" s="3546"/>
      <c r="M2" s="3546"/>
      <c r="N2" s="3546"/>
      <c r="O2" s="3546"/>
      <c r="P2" s="3546"/>
      <c r="Q2" s="3546"/>
      <c r="R2" s="3546"/>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50</v>
      </c>
      <c r="C11" s="3020" t="s">
        <v>2509</v>
      </c>
      <c r="D11" s="3026">
        <f>基准地价修正!G24</f>
        <v>0.05</v>
      </c>
      <c r="E11" s="3020" t="s">
        <v>2510</v>
      </c>
      <c r="F11" s="3027">
        <f>ROUND(1-(1/(POWER(1+D11,B11))),4)</f>
        <v>0.91279999999999994</v>
      </c>
    </row>
    <row r="12" spans="1:18">
      <c r="A12" s="3017" t="s">
        <v>2511</v>
      </c>
      <c r="B12" s="3025">
        <v>20</v>
      </c>
      <c r="C12" s="3020" t="s">
        <v>2512</v>
      </c>
      <c r="D12" s="3026">
        <f>D11</f>
        <v>0.05</v>
      </c>
      <c r="E12" s="3020" t="s">
        <v>2513</v>
      </c>
      <c r="F12" s="3027">
        <f>ROUND(1-(1/(POWER(1+D12,B12))),4)</f>
        <v>0.62309999999999999</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3413.12</v>
      </c>
      <c r="C15" s="3020">
        <f>ROUND(F12/F11,4)</f>
        <v>0.68259999999999998</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7046.33</v>
      </c>
      <c r="C18" s="3029">
        <f>ROUND(F11/F12,4)</f>
        <v>1.4649000000000001</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3389</v>
      </c>
    </row>
    <row r="50" spans="1:4">
      <c r="A50" s="3446" t="s">
        <v>3390</v>
      </c>
      <c r="B50" s="3446" t="s">
        <v>3391</v>
      </c>
      <c r="C50" s="3446" t="s">
        <v>3392</v>
      </c>
      <c r="D50" s="3446" t="s">
        <v>3393</v>
      </c>
    </row>
    <row r="51" spans="1:4">
      <c r="A51" s="3446" t="s">
        <v>3394</v>
      </c>
      <c r="B51" s="3019">
        <f>B52+B53</f>
        <v>15000</v>
      </c>
      <c r="C51" s="3447">
        <f>D51/B51</f>
        <v>2666.6666666666665</v>
      </c>
      <c r="D51" s="3019">
        <f>D52+D53</f>
        <v>40000000</v>
      </c>
    </row>
    <row r="52" spans="1:4">
      <c r="A52" s="3448" t="s">
        <v>3395</v>
      </c>
      <c r="B52" s="3449">
        <v>10000</v>
      </c>
      <c r="C52" s="3449">
        <v>1500</v>
      </c>
      <c r="D52" s="3450">
        <f>C52*B52</f>
        <v>15000000</v>
      </c>
    </row>
    <row r="53" spans="1:4">
      <c r="A53" s="3448" t="s">
        <v>3396</v>
      </c>
      <c r="B53" s="3449">
        <v>5000</v>
      </c>
      <c r="C53" s="3449">
        <v>5000</v>
      </c>
      <c r="D53" s="3450">
        <f>C53*B53</f>
        <v>25000000</v>
      </c>
    </row>
    <row r="54" spans="1:4">
      <c r="A54" s="3446" t="s">
        <v>3397</v>
      </c>
      <c r="B54" s="3019">
        <f>B51</f>
        <v>15000</v>
      </c>
      <c r="C54" s="3026">
        <v>700</v>
      </c>
      <c r="D54" s="3019">
        <f t="shared" ref="D54:D55" si="5">C54*B54</f>
        <v>10500000</v>
      </c>
    </row>
    <row r="55" spans="1:4">
      <c r="A55" s="3446" t="s">
        <v>3398</v>
      </c>
      <c r="B55" s="3019">
        <f>B51</f>
        <v>15000</v>
      </c>
      <c r="C55" s="3026">
        <v>1500</v>
      </c>
      <c r="D55" s="3019">
        <f t="shared" si="5"/>
        <v>22500000</v>
      </c>
    </row>
    <row r="56" spans="1:4">
      <c r="A56" s="3446" t="s">
        <v>3399</v>
      </c>
      <c r="B56" s="3019">
        <f>B51</f>
        <v>15000</v>
      </c>
      <c r="C56" s="3451">
        <f>C51+C54+C55</f>
        <v>4866.6666666666661</v>
      </c>
      <c r="D56" s="3019">
        <f>D51+D54+D55</f>
        <v>73000000</v>
      </c>
    </row>
    <row r="58" spans="1:4">
      <c r="A58" s="3446" t="s">
        <v>3400</v>
      </c>
      <c r="B58" s="3452">
        <v>0.05</v>
      </c>
      <c r="C58" s="3019">
        <f>C56*(1+B58)</f>
        <v>5110</v>
      </c>
      <c r="D58" s="3019">
        <f>D56*B58</f>
        <v>3650000</v>
      </c>
    </row>
    <row r="60" spans="1:4">
      <c r="A60" s="3446" t="s">
        <v>3401</v>
      </c>
      <c r="B60" s="3026">
        <v>3500</v>
      </c>
      <c r="C60" s="3026">
        <f>C53</f>
        <v>5000</v>
      </c>
      <c r="D60" s="3019">
        <f>C60*B60</f>
        <v>17500000</v>
      </c>
    </row>
    <row r="62" spans="1:4">
      <c r="A62" s="3446" t="s">
        <v>3402</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8"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468"/>
      <c r="K1" s="2365"/>
      <c r="L1" s="2366"/>
      <c r="M1" s="2366"/>
      <c r="N1" s="2367"/>
      <c r="O1" s="1575"/>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5"/>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45722</v>
      </c>
      <c r="C3" s="2371" t="s">
        <v>2170</v>
      </c>
      <c r="D3" s="2370">
        <f>B3</f>
        <v>45722</v>
      </c>
      <c r="E3" s="2660"/>
      <c r="F3" s="2660"/>
      <c r="G3" s="2660"/>
      <c r="H3" s="2660"/>
      <c r="I3" s="2660"/>
      <c r="J3" s="2468"/>
      <c r="K3" s="2365"/>
      <c r="L3" s="2366"/>
      <c r="M3" s="2366"/>
      <c r="N3" s="2367"/>
      <c r="O3" s="1575"/>
      <c r="P3" s="2367"/>
      <c r="Q3" s="2367"/>
      <c r="R3" s="2367"/>
      <c r="S3" s="1679"/>
      <c r="T3" s="1742"/>
      <c r="U3" s="1742"/>
      <c r="V3" s="1742"/>
      <c r="W3" s="1742"/>
      <c r="X3" s="1742"/>
      <c r="Y3" s="1742"/>
      <c r="Z3" s="1742"/>
      <c r="AA3" s="1742"/>
      <c r="AB3" s="1742"/>
    </row>
    <row r="4" spans="1:30" ht="13.5" thickBot="1">
      <c r="A4" s="1089"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5"/>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5"/>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3404</v>
      </c>
      <c r="C8" s="2387"/>
      <c r="D8" s="3550" t="s">
        <v>2176</v>
      </c>
      <c r="E8" s="2388" t="s">
        <v>3405</v>
      </c>
      <c r="F8" s="2389"/>
      <c r="G8" s="2660"/>
      <c r="H8" s="2660"/>
      <c r="I8" s="2660"/>
      <c r="J8" s="2436"/>
      <c r="K8" s="2611"/>
      <c r="L8" s="2610"/>
      <c r="M8" s="2610"/>
      <c r="N8" s="2436"/>
      <c r="O8" s="2447"/>
      <c r="P8" s="2436"/>
      <c r="Q8" s="2436"/>
      <c r="R8" s="2436"/>
    </row>
    <row r="9" spans="1:30" ht="13.5" thickBot="1">
      <c r="A9" s="2390" t="s">
        <v>2177</v>
      </c>
      <c r="B9" s="2391" t="s">
        <v>3405</v>
      </c>
      <c r="C9" s="2392"/>
      <c r="D9" s="3551"/>
      <c r="E9" s="2391" t="s">
        <v>43</v>
      </c>
      <c r="F9" s="2393"/>
      <c r="G9" s="2662"/>
      <c r="H9" s="2662"/>
      <c r="I9" s="2662"/>
      <c r="J9" s="2436"/>
      <c r="K9" s="2613"/>
      <c r="L9" s="2610"/>
      <c r="M9" s="2610"/>
      <c r="N9" s="2436"/>
      <c r="O9" s="2447"/>
      <c r="P9" s="2436"/>
      <c r="Q9" s="2436"/>
      <c r="R9" s="2436"/>
    </row>
    <row r="10" spans="1:30" ht="13.5" thickTop="1">
      <c r="A10" s="2394" t="s">
        <v>2178</v>
      </c>
      <c r="B10" s="2395" t="s">
        <v>3406</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3407</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2575</v>
      </c>
      <c r="J12" s="3059"/>
      <c r="K12" s="2610"/>
      <c r="L12" s="2610"/>
      <c r="M12" s="2436"/>
      <c r="N12" s="2447"/>
      <c r="O12" s="2436"/>
      <c r="P12" s="2436"/>
      <c r="Q12" s="2436"/>
      <c r="AD12" s="1742"/>
    </row>
    <row r="13" spans="1:30">
      <c r="A13" s="3420" t="s">
        <v>3331</v>
      </c>
      <c r="B13" s="2404" t="s">
        <v>2189</v>
      </c>
      <c r="C13" s="855"/>
      <c r="D13" s="855"/>
      <c r="E13" s="855"/>
      <c r="F13" s="855">
        <f>H13</f>
        <v>51226</v>
      </c>
      <c r="G13" s="855">
        <f>H13</f>
        <v>51226</v>
      </c>
      <c r="H13" s="855">
        <v>51226</v>
      </c>
      <c r="I13" s="855"/>
      <c r="J13" s="3059"/>
      <c r="K13" s="2610"/>
      <c r="L13" s="2610"/>
      <c r="M13" s="2436"/>
      <c r="N13" s="2447"/>
      <c r="O13" s="2436"/>
      <c r="P13" s="2436"/>
      <c r="Q13" s="2436"/>
      <c r="AD13" s="1742"/>
    </row>
    <row r="14" spans="1:30">
      <c r="A14" s="1080"/>
      <c r="B14" s="2404" t="s">
        <v>2190</v>
      </c>
      <c r="C14" s="2405"/>
      <c r="D14" s="2405"/>
      <c r="E14" s="2405"/>
      <c r="F14" s="2405">
        <v>20</v>
      </c>
      <c r="G14" s="2405">
        <v>20</v>
      </c>
      <c r="H14" s="2405">
        <v>20</v>
      </c>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t="str">
        <f>IF(A13="出让",IF(E13="","",ROUNDDOWN(MIN((E13-$D$3)/365,E14),2)),E14)</f>
        <v/>
      </c>
      <c r="F15" s="2407">
        <f>IF(A13="出让",IF(F13="","",ROUNDDOWN(MIN((F13-$D$3)/365,F14),2)),F14)</f>
        <v>15.07</v>
      </c>
      <c r="G15" s="2407">
        <f>IF(A13="出让",IF(G13="","",ROUNDDOWN(MIN((G13-$D$3)/365,G14),2)),G14)</f>
        <v>15.07</v>
      </c>
      <c r="H15" s="2407">
        <f>IF(A13="出让",IF(H13="","",ROUNDDOWN(MIN((H13-$D$3)/365,H14),2)),H14)</f>
        <v>15.07</v>
      </c>
      <c r="I15" s="2407" t="str">
        <f>IF(A13="出让",IF(I13="","",ROUNDDOWN(MIN((I13-$D$3)/365,I14),2)),I14)</f>
        <v/>
      </c>
      <c r="J15" s="3061"/>
      <c r="K15" s="2448"/>
      <c r="L15" s="2448"/>
      <c r="M15" s="2506"/>
      <c r="N15" s="2448"/>
      <c r="O15" s="2506"/>
      <c r="P15" s="2436"/>
      <c r="Q15" s="2436"/>
      <c r="AD15" s="1742"/>
    </row>
    <row r="16" spans="1:30">
      <c r="A16" s="2397" t="s">
        <v>2192</v>
      </c>
      <c r="B16" s="3557"/>
      <c r="C16" s="3558"/>
      <c r="D16" s="3559"/>
      <c r="E16" s="2410" t="s">
        <v>2193</v>
      </c>
      <c r="F16" s="3560"/>
      <c r="G16" s="3561"/>
      <c r="H16" s="3561"/>
      <c r="I16" s="3562"/>
      <c r="J16" s="2436"/>
      <c r="K16" s="2614"/>
      <c r="L16" s="2448"/>
      <c r="M16" s="2448"/>
      <c r="N16" s="2506"/>
      <c r="O16" s="2448"/>
      <c r="P16" s="2506"/>
      <c r="Q16" s="2436"/>
      <c r="R16" s="2436"/>
    </row>
    <row r="17" spans="1:28">
      <c r="A17" s="313" t="s">
        <v>2194</v>
      </c>
      <c r="B17" s="302" t="s">
        <v>2195</v>
      </c>
      <c r="C17" s="8">
        <f>'数据-汇总表'!E3</f>
        <v>48207.299999999996</v>
      </c>
      <c r="D17" s="2319" t="s">
        <v>2196</v>
      </c>
      <c r="E17" s="3563" t="s">
        <v>2197</v>
      </c>
      <c r="F17" s="3564"/>
      <c r="G17" s="3564"/>
      <c r="H17" s="3564"/>
      <c r="I17" s="3565"/>
      <c r="J17" s="2436"/>
      <c r="K17" s="2615"/>
      <c r="L17" s="2448"/>
      <c r="M17" s="2448"/>
      <c r="N17" s="2506"/>
      <c r="O17" s="2448"/>
      <c r="P17" s="2506"/>
      <c r="Q17" s="2436"/>
      <c r="R17" s="2436"/>
      <c r="S17" s="2436"/>
      <c r="T17" s="2436"/>
      <c r="U17" s="2436"/>
      <c r="V17" s="2436"/>
    </row>
    <row r="18" spans="1:28" ht="24.75" thickBot="1">
      <c r="A18" s="2411" t="s">
        <v>2198</v>
      </c>
      <c r="B18" s="1089" t="s">
        <v>2199</v>
      </c>
      <c r="C18" s="2412">
        <f>'数据-汇总表'!D3</f>
        <v>18023.05</v>
      </c>
      <c r="D18" s="1091" t="s">
        <v>2200</v>
      </c>
      <c r="E18" s="3566" t="s">
        <v>2201</v>
      </c>
      <c r="F18" s="3567"/>
      <c r="G18" s="3567"/>
      <c r="H18" s="3567"/>
      <c r="I18" s="3568"/>
      <c r="J18" s="2436"/>
      <c r="K18" s="2615"/>
      <c r="L18" s="2448"/>
      <c r="M18" s="2448"/>
      <c r="N18" s="2506"/>
      <c r="O18" s="2448"/>
      <c r="P18" s="2506"/>
      <c r="Q18" s="2436"/>
      <c r="R18" s="2436"/>
      <c r="S18" s="2436"/>
      <c r="T18" s="2436"/>
      <c r="U18" s="2436"/>
      <c r="V18" s="2436"/>
    </row>
    <row r="19" spans="1:28" ht="37.5" thickTop="1" thickBot="1">
      <c r="A19" s="327" t="s">
        <v>1055</v>
      </c>
      <c r="B19" s="307" t="s">
        <v>2202</v>
      </c>
      <c r="C19" s="1562"/>
      <c r="D19" s="1563" t="s">
        <v>2203</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2204</v>
      </c>
      <c r="B20" s="3553" t="s">
        <v>2205</v>
      </c>
      <c r="C20" s="3554"/>
      <c r="D20" s="3555" t="s">
        <v>2206</v>
      </c>
      <c r="E20" s="3556"/>
      <c r="F20" s="2644" t="s">
        <v>1056</v>
      </c>
      <c r="G20" s="2661"/>
      <c r="H20" s="2661"/>
      <c r="I20" s="2661"/>
      <c r="J20" s="2436"/>
      <c r="K20" s="355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7" t="s">
        <v>2209</v>
      </c>
      <c r="E21" s="2632" t="s">
        <v>1057</v>
      </c>
      <c r="F21" s="2645"/>
      <c r="G21" s="2661"/>
      <c r="H21" s="2661"/>
      <c r="I21" s="2661"/>
      <c r="J21" s="2436"/>
      <c r="K21" s="355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5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70"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0"/>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0"/>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1"/>
      <c r="B30" s="302" t="s">
        <v>2217</v>
      </c>
      <c r="C30" s="3572"/>
      <c r="D30" s="3573"/>
      <c r="E30" s="2661"/>
      <c r="F30" s="2661"/>
      <c r="G30" s="2661"/>
      <c r="H30" s="2661"/>
      <c r="I30" s="2661"/>
      <c r="J30" s="2436"/>
      <c r="K30" s="2613"/>
      <c r="L30" s="2610"/>
      <c r="M30" s="2610"/>
      <c r="N30" s="2436"/>
      <c r="O30" s="2447"/>
      <c r="P30" s="2436"/>
      <c r="Q30" s="2436"/>
      <c r="R30" s="2436"/>
      <c r="S30" s="2436"/>
      <c r="T30" s="2436"/>
      <c r="U30" s="2436"/>
      <c r="V30" s="2436"/>
    </row>
    <row r="31" spans="1:28">
      <c r="A31" s="3574" t="s">
        <v>2218</v>
      </c>
      <c r="B31" s="2419"/>
      <c r="C31" s="2320"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75"/>
      <c r="B32" s="2419"/>
      <c r="C32" s="2320"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75"/>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c r="C34" s="2023"/>
      <c r="D34" s="2023"/>
      <c r="E34" s="2023"/>
      <c r="F34" s="2023"/>
      <c r="G34" s="2023"/>
      <c r="H34" s="2023"/>
      <c r="I34" s="2661"/>
      <c r="J34" s="2436"/>
      <c r="K34" s="2424">
        <f>COUNTIF(B34:H34,"——")</f>
        <v>0</v>
      </c>
      <c r="L34" s="323" t="s">
        <v>2220</v>
      </c>
      <c r="M34" s="323" t="s">
        <v>2221</v>
      </c>
      <c r="N34" s="323" t="s">
        <v>2222</v>
      </c>
      <c r="O34" s="323" t="s">
        <v>2223</v>
      </c>
      <c r="P34" s="323" t="s">
        <v>2224</v>
      </c>
      <c r="Q34" s="323" t="s">
        <v>2225</v>
      </c>
      <c r="R34" s="323" t="s">
        <v>2226</v>
      </c>
      <c r="S34" s="3569" t="s">
        <v>2227</v>
      </c>
      <c r="T34" s="2425" t="str">
        <f>NUMBERSTRING(7-K34,1)&amp;"通"</f>
        <v>七通</v>
      </c>
      <c r="U34" s="2436"/>
      <c r="V34" s="2436"/>
    </row>
    <row r="35" spans="1:30">
      <c r="A35" s="2426"/>
      <c r="B35" s="3576" t="s">
        <v>2228</v>
      </c>
      <c r="C35" s="3576"/>
      <c r="D35" s="3576"/>
      <c r="E35" s="3576"/>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9"/>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2578</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t="s">
        <v>305</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t="s">
        <v>249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7"/>
      <c r="J40" s="2506"/>
      <c r="K40" s="2612"/>
      <c r="L40" s="2448"/>
      <c r="M40" s="2448"/>
      <c r="N40" s="2506"/>
      <c r="O40" s="2448"/>
      <c r="P40" s="2436"/>
      <c r="Q40" s="2436"/>
      <c r="R40" s="2436"/>
      <c r="S40" s="2436"/>
      <c r="T40" s="2436"/>
      <c r="U40" s="2436"/>
      <c r="V40" s="2436"/>
    </row>
    <row r="41" spans="1:30">
      <c r="A41" s="2433" t="s">
        <v>2232</v>
      </c>
      <c r="B41" s="1754"/>
      <c r="C41" s="1372"/>
      <c r="D41" s="2367"/>
      <c r="E41" s="2367"/>
      <c r="F41" s="2367"/>
      <c r="G41" s="2367"/>
      <c r="H41" s="2367"/>
      <c r="I41" s="1575"/>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9"/>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0" customFormat="1">
      <c r="A44" s="1569"/>
      <c r="B44" s="1569"/>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0" customFormat="1">
      <c r="A45" s="1569"/>
      <c r="B45" s="1569"/>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0" customFormat="1">
      <c r="A46" s="1569"/>
      <c r="B46" s="1569"/>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0" customFormat="1">
      <c r="A47" s="1569"/>
      <c r="B47" s="1569"/>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0" customFormat="1">
      <c r="A48" s="1569"/>
      <c r="B48" s="1569"/>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0" customFormat="1">
      <c r="A49" s="1569"/>
      <c r="B49" s="1569"/>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0" customFormat="1">
      <c r="A50" s="1569"/>
      <c r="B50" s="1569"/>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0" customFormat="1">
      <c r="A51" s="1569"/>
      <c r="B51" s="1569"/>
      <c r="C51" s="1050"/>
      <c r="D51" s="1050"/>
      <c r="E51" s="1050"/>
      <c r="F51" s="1050"/>
      <c r="G51" s="1050"/>
      <c r="H51" s="1050"/>
      <c r="I51" s="1050"/>
      <c r="J51" s="2434"/>
      <c r="K51" s="2435"/>
      <c r="L51" s="2435"/>
      <c r="M51" s="1050"/>
      <c r="N51" s="1050"/>
      <c r="O51" s="1050"/>
      <c r="P51" s="1050"/>
      <c r="Q51" s="1050"/>
      <c r="R51" s="1050"/>
    </row>
    <row r="52" spans="1:22" s="1740" customFormat="1">
      <c r="A52" s="1569"/>
      <c r="B52" s="1569"/>
      <c r="C52" s="1569"/>
      <c r="D52" s="1569"/>
      <c r="E52" s="1569"/>
      <c r="F52" s="1050"/>
      <c r="G52" s="1569"/>
      <c r="H52" s="1569"/>
      <c r="I52" s="1569"/>
      <c r="J52" s="2437"/>
      <c r="K52" s="2435"/>
      <c r="L52" s="2435"/>
      <c r="M52" s="2435"/>
      <c r="N52" s="1569"/>
      <c r="O52" s="1569"/>
      <c r="P52" s="1569"/>
      <c r="Q52" s="1569"/>
      <c r="R52" s="1569"/>
    </row>
    <row r="53" spans="1:22" s="1740" customFormat="1">
      <c r="A53" s="1569"/>
      <c r="B53" s="1569"/>
      <c r="C53" s="1569"/>
      <c r="D53" s="1569"/>
      <c r="E53" s="1569"/>
      <c r="F53" s="1050"/>
      <c r="G53" s="1569"/>
      <c r="H53" s="1569"/>
      <c r="I53" s="1569"/>
      <c r="J53" s="2437"/>
      <c r="K53" s="2435"/>
      <c r="L53" s="2435"/>
      <c r="M53" s="2435"/>
      <c r="N53" s="1569"/>
      <c r="O53" s="1569"/>
      <c r="P53" s="1569"/>
      <c r="Q53" s="1569"/>
      <c r="R53" s="1569"/>
    </row>
    <row r="54" spans="1:22" s="1740" customFormat="1">
      <c r="A54" s="1569"/>
      <c r="B54" s="1569"/>
      <c r="C54" s="1569"/>
      <c r="D54" s="1569"/>
      <c r="E54" s="1569"/>
      <c r="F54" s="1050"/>
      <c r="G54" s="1569"/>
      <c r="H54" s="1569"/>
      <c r="I54" s="1569"/>
      <c r="J54" s="2437"/>
      <c r="K54" s="2435"/>
      <c r="L54" s="2435"/>
      <c r="M54" s="2435"/>
      <c r="N54" s="1569"/>
      <c r="O54" s="1569"/>
      <c r="P54" s="1569"/>
      <c r="Q54" s="1569"/>
      <c r="R54" s="1569"/>
    </row>
    <row r="55" spans="1:22" s="1740" customFormat="1">
      <c r="A55" s="1569"/>
      <c r="B55" s="1569"/>
      <c r="C55" s="1569"/>
      <c r="D55" s="1569"/>
      <c r="E55" s="1569"/>
      <c r="F55" s="1050"/>
      <c r="G55" s="1569"/>
      <c r="H55" s="1569"/>
      <c r="I55" s="1569"/>
      <c r="J55" s="2437"/>
      <c r="K55" s="2435"/>
      <c r="L55" s="2435"/>
      <c r="M55" s="2435"/>
      <c r="N55" s="1569"/>
      <c r="O55" s="1569"/>
      <c r="P55" s="1569"/>
      <c r="Q55" s="1569"/>
      <c r="R55" s="1569"/>
    </row>
    <row r="56" spans="1:22" s="1740" customFormat="1">
      <c r="A56" s="1569"/>
      <c r="B56" s="1569"/>
      <c r="C56" s="1569"/>
      <c r="D56" s="1569"/>
      <c r="E56" s="1569"/>
      <c r="F56" s="1050"/>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B3" sqref="B3"/>
    </sheetView>
  </sheetViews>
  <sheetFormatPr defaultRowHeight="14.25"/>
  <cols>
    <col min="1" max="1" width="10.625" style="1572" customWidth="1"/>
    <col min="2" max="2" width="11" style="1572" customWidth="1"/>
    <col min="3" max="3" width="10.375" style="1572" customWidth="1"/>
    <col min="4" max="4" width="9.125" style="1572" customWidth="1"/>
    <col min="5" max="6" width="10" style="1631"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9"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19340</v>
      </c>
      <c r="B3" s="11">
        <f>IF(C3="否",G5-AT5,G5)</f>
        <v>51729.83</v>
      </c>
      <c r="C3" s="1579" t="s">
        <v>3417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51729.83</v>
      </c>
      <c r="H5" s="13">
        <f t="shared" ref="H5:AT5" si="0">SUM(H13:H656)</f>
        <v>44841.18</v>
      </c>
      <c r="I5" s="13">
        <f t="shared" si="0"/>
        <v>34807</v>
      </c>
      <c r="J5" s="13">
        <f t="shared" si="0"/>
        <v>0</v>
      </c>
      <c r="K5" s="13">
        <f t="shared" si="0"/>
        <v>3845.39</v>
      </c>
      <c r="L5" s="13">
        <f t="shared" si="0"/>
        <v>0</v>
      </c>
      <c r="M5" s="13">
        <f t="shared" si="0"/>
        <v>1010.02</v>
      </c>
      <c r="N5" s="13">
        <f t="shared" si="0"/>
        <v>0</v>
      </c>
      <c r="O5" s="13">
        <f t="shared" si="0"/>
        <v>5178.7700000000004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3366.12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88.16</v>
      </c>
      <c r="AM5" s="13">
        <f t="shared" si="0"/>
        <v>0</v>
      </c>
      <c r="AN5" s="13">
        <f t="shared" si="0"/>
        <v>3277.96</v>
      </c>
      <c r="AO5" s="13">
        <f t="shared" si="0"/>
        <v>0</v>
      </c>
      <c r="AP5" s="13">
        <f t="shared" si="0"/>
        <v>0</v>
      </c>
      <c r="AQ5" s="13">
        <f t="shared" si="0"/>
        <v>0</v>
      </c>
      <c r="AR5" s="13">
        <f t="shared" si="0"/>
        <v>0</v>
      </c>
      <c r="AS5" s="13">
        <f t="shared" si="0"/>
        <v>0</v>
      </c>
      <c r="AT5" s="13">
        <f t="shared" si="0"/>
        <v>3522.53</v>
      </c>
      <c r="AU5" s="1345"/>
      <c r="AV5" s="12" t="s">
        <v>1070</v>
      </c>
      <c r="AW5" s="1346"/>
      <c r="AX5" s="1346"/>
      <c r="AY5" s="14" t="s">
        <v>2</v>
      </c>
      <c r="AZ5" s="15">
        <f t="shared" ref="AZ5:BT5" si="1">SUM(AZ13:AZ656)</f>
        <v>48207.299999999996</v>
      </c>
      <c r="BA5" s="15">
        <f t="shared" si="1"/>
        <v>44841.18</v>
      </c>
      <c r="BB5" s="15">
        <f t="shared" si="1"/>
        <v>34807</v>
      </c>
      <c r="BC5" s="15">
        <f t="shared" si="1"/>
        <v>3845.39</v>
      </c>
      <c r="BD5" s="15">
        <f t="shared" si="1"/>
        <v>1010.02</v>
      </c>
      <c r="BE5" s="15">
        <f t="shared" si="1"/>
        <v>5178.7700000000004</v>
      </c>
      <c r="BF5" s="15">
        <f t="shared" si="1"/>
        <v>0</v>
      </c>
      <c r="BG5" s="15">
        <f t="shared" si="1"/>
        <v>0</v>
      </c>
      <c r="BH5" s="15">
        <f t="shared" si="1"/>
        <v>0</v>
      </c>
      <c r="BI5" s="15">
        <f t="shared" si="1"/>
        <v>0</v>
      </c>
      <c r="BJ5" s="15">
        <f t="shared" si="1"/>
        <v>0</v>
      </c>
      <c r="BK5" s="15">
        <f t="shared" si="1"/>
        <v>0</v>
      </c>
      <c r="BL5" s="15">
        <f t="shared" si="1"/>
        <v>3366.12</v>
      </c>
      <c r="BM5" s="15">
        <f t="shared" si="1"/>
        <v>0</v>
      </c>
      <c r="BN5" s="15">
        <f t="shared" si="1"/>
        <v>0</v>
      </c>
      <c r="BO5" s="15">
        <f t="shared" si="1"/>
        <v>0</v>
      </c>
      <c r="BP5" s="15">
        <f t="shared" si="1"/>
        <v>0</v>
      </c>
      <c r="BQ5" s="15">
        <f t="shared" si="1"/>
        <v>88.16</v>
      </c>
      <c r="BR5" s="15">
        <f t="shared" si="1"/>
        <v>3277.96</v>
      </c>
      <c r="BS5" s="15">
        <f t="shared" si="1"/>
        <v>0</v>
      </c>
      <c r="BT5" s="16">
        <f t="shared" si="1"/>
        <v>0</v>
      </c>
    </row>
    <row r="6" spans="1:72" s="1588" customFormat="1" ht="12.75">
      <c r="A6" s="12" t="s">
        <v>1071</v>
      </c>
      <c r="B6" s="1585"/>
      <c r="C6" s="1585"/>
      <c r="D6" s="1586"/>
      <c r="E6" s="13">
        <f>H6+AC6+AT6</f>
        <v>19340</v>
      </c>
      <c r="F6" s="13" t="s">
        <v>0</v>
      </c>
      <c r="G6" s="13" t="s">
        <v>1</v>
      </c>
      <c r="H6" s="17">
        <f>SUMIF(I$12:AB$12,"总值",I6:AB6)</f>
        <v>16764.57</v>
      </c>
      <c r="I6" s="13">
        <f t="shared" ref="I6:AB6" si="2">ROUND($A$3*I5/$B$3,2)</f>
        <v>13013.14</v>
      </c>
      <c r="J6" s="13">
        <f t="shared" si="2"/>
        <v>0</v>
      </c>
      <c r="K6" s="13">
        <f t="shared" si="2"/>
        <v>1437.66</v>
      </c>
      <c r="L6" s="13">
        <f t="shared" si="2"/>
        <v>0</v>
      </c>
      <c r="M6" s="13">
        <f t="shared" si="2"/>
        <v>377.61</v>
      </c>
      <c r="N6" s="13">
        <f t="shared" si="2"/>
        <v>0</v>
      </c>
      <c r="O6" s="13">
        <f t="shared" si="2"/>
        <v>1936.16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1258.48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32.96</v>
      </c>
      <c r="AM6" s="13">
        <f t="shared" si="3"/>
        <v>0</v>
      </c>
      <c r="AN6" s="13">
        <f t="shared" si="3"/>
        <v>1225.52</v>
      </c>
      <c r="AO6" s="13">
        <f t="shared" si="3"/>
        <v>0</v>
      </c>
      <c r="AP6" s="13">
        <f t="shared" si="3"/>
        <v>0</v>
      </c>
      <c r="AQ6" s="13">
        <f t="shared" si="3"/>
        <v>0</v>
      </c>
      <c r="AR6" s="13">
        <f t="shared" si="3"/>
        <v>0</v>
      </c>
      <c r="AS6" s="13">
        <f t="shared" si="3"/>
        <v>0</v>
      </c>
      <c r="AT6" s="17">
        <f>IF(C3="是",ROUND($A$3*AT5/$B$3,2),0)</f>
        <v>1316.95</v>
      </c>
      <c r="AU6" s="1587"/>
      <c r="AV6" s="12" t="s">
        <v>1071</v>
      </c>
      <c r="AW6" s="1585"/>
      <c r="AX6" s="1585"/>
      <c r="AY6" s="18">
        <f>IF(AY3&gt;0,AY3,ROUND($A$3*AZ5/$B$3,2))</f>
        <v>18023.05</v>
      </c>
      <c r="AZ6" s="13" t="s">
        <v>2</v>
      </c>
      <c r="BA6" s="13">
        <f>ROUND($AY$6*BA5/$AZ$5,2)</f>
        <v>16764.57</v>
      </c>
      <c r="BB6" s="13">
        <f>ROUND($AY$6*BB5/$AZ$5,2)</f>
        <v>13013.14</v>
      </c>
      <c r="BC6" s="13">
        <f t="shared" ref="BC6:BH6" si="4">ROUND($AY$6*BC5/$AZ$5,2)</f>
        <v>1437.66</v>
      </c>
      <c r="BD6" s="13">
        <f t="shared" si="4"/>
        <v>377.61</v>
      </c>
      <c r="BE6" s="13">
        <f t="shared" si="4"/>
        <v>1936.16</v>
      </c>
      <c r="BF6" s="13">
        <f t="shared" si="4"/>
        <v>0</v>
      </c>
      <c r="BG6" s="13">
        <f t="shared" si="4"/>
        <v>0</v>
      </c>
      <c r="BH6" s="13">
        <f t="shared" si="4"/>
        <v>0</v>
      </c>
      <c r="BI6" s="13">
        <f t="shared" ref="BI6:BT6" si="5">ROUND($AY$6*BI5/$AZ$5,2)</f>
        <v>0</v>
      </c>
      <c r="BJ6" s="13">
        <f t="shared" si="5"/>
        <v>0</v>
      </c>
      <c r="BK6" s="13">
        <f t="shared" si="5"/>
        <v>0</v>
      </c>
      <c r="BL6" s="13">
        <f t="shared" si="5"/>
        <v>1258.48</v>
      </c>
      <c r="BM6" s="13">
        <f t="shared" si="5"/>
        <v>0</v>
      </c>
      <c r="BN6" s="13">
        <f t="shared" si="5"/>
        <v>0</v>
      </c>
      <c r="BO6" s="13">
        <f t="shared" si="5"/>
        <v>0</v>
      </c>
      <c r="BP6" s="13">
        <f t="shared" si="5"/>
        <v>0</v>
      </c>
      <c r="BQ6" s="13">
        <f t="shared" si="5"/>
        <v>32.96</v>
      </c>
      <c r="BR6" s="13">
        <f t="shared" si="5"/>
        <v>1225.52</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3421</v>
      </c>
      <c r="J9" s="808"/>
      <c r="K9" s="1602" t="s">
        <v>3422</v>
      </c>
      <c r="L9" s="808"/>
      <c r="M9" s="1602" t="s">
        <v>3422</v>
      </c>
      <c r="N9" s="808"/>
      <c r="O9" s="1602" t="s">
        <v>3422</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t="s">
        <v>3333</v>
      </c>
      <c r="N10" s="808"/>
      <c r="O10" s="1608" t="s">
        <v>3332</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t="str">
        <f>M10</f>
        <v>仓储</v>
      </c>
      <c r="BE11" s="1598" t="str">
        <f>O10</f>
        <v>车库</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66" t="s">
        <v>3408</v>
      </c>
      <c r="D13" s="3467" t="s">
        <v>3417</v>
      </c>
      <c r="E13" s="13">
        <f>IF($C$3="是",ROUND($A$3*G13/$B$3,2),ROUND($A$3*(G13-AT13)/$B$3,2))</f>
        <v>1469.68</v>
      </c>
      <c r="F13" s="29"/>
      <c r="G13" s="30">
        <f>H13+AC13+AT13</f>
        <v>3931.04</v>
      </c>
      <c r="H13" s="17">
        <f>SUMIF(I$12:AB$12,"总值",I13:AB13)</f>
        <v>3931.04</v>
      </c>
      <c r="I13" s="3469">
        <v>3282.54</v>
      </c>
      <c r="J13" s="3469"/>
      <c r="K13" s="3469">
        <v>648.5</v>
      </c>
      <c r="L13" s="3469"/>
      <c r="M13" s="3469"/>
      <c r="N13" s="3469"/>
      <c r="O13" s="3469"/>
      <c r="P13" s="3469"/>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3472"/>
      <c r="AO13" s="3472"/>
      <c r="AP13" s="3472"/>
      <c r="AQ13" s="3472"/>
      <c r="AR13" s="3472"/>
      <c r="AS13" s="3472"/>
      <c r="AT13" s="3473"/>
      <c r="AU13" s="1626"/>
      <c r="AV13" s="8">
        <f t="shared" ref="AV13:AX17" si="6">A13</f>
        <v>0</v>
      </c>
      <c r="AW13" s="8">
        <f t="shared" si="6"/>
        <v>0</v>
      </c>
      <c r="AX13" s="8" t="str">
        <f t="shared" si="6"/>
        <v>A1研发楼</v>
      </c>
      <c r="AY13" s="1348">
        <f>ROUND($AY$6*AZ13/$AZ$5,2)</f>
        <v>1469.68</v>
      </c>
      <c r="AZ13" s="13">
        <f>BA13+BL13</f>
        <v>3931.04</v>
      </c>
      <c r="BA13" s="13">
        <f>SUM(BB13:BK13)</f>
        <v>3931.04</v>
      </c>
      <c r="BB13" s="13">
        <f>IF($D13="是",I13-J13,0)</f>
        <v>3282.54</v>
      </c>
      <c r="BC13" s="13">
        <f>IF($D13="是",K13-L13,0)</f>
        <v>648.5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66" t="s">
        <v>3409</v>
      </c>
      <c r="D14" s="3467" t="s">
        <v>3417</v>
      </c>
      <c r="E14" s="13">
        <f>IF($C$3="是",ROUND($A$3*G14/$B$3,2),ROUND($A$3*(G14-AT14)/$B$3,2))</f>
        <v>1469.68</v>
      </c>
      <c r="F14" s="29"/>
      <c r="G14" s="30">
        <f>H14+AC14+AT14</f>
        <v>3931.04</v>
      </c>
      <c r="H14" s="17">
        <f>SUMIF(I$12:AB$12,"总值",I14:AB14)</f>
        <v>3931.04</v>
      </c>
      <c r="I14" s="3469">
        <v>3282.54</v>
      </c>
      <c r="J14" s="3469"/>
      <c r="K14" s="3469">
        <v>648.5</v>
      </c>
      <c r="L14" s="3469"/>
      <c r="M14" s="3469"/>
      <c r="N14" s="3469"/>
      <c r="O14" s="3469"/>
      <c r="P14" s="3469"/>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3472"/>
      <c r="AO14" s="3472"/>
      <c r="AP14" s="3472"/>
      <c r="AQ14" s="3472"/>
      <c r="AR14" s="3472"/>
      <c r="AS14" s="3472"/>
      <c r="AT14" s="3473"/>
      <c r="AU14" s="1626"/>
      <c r="AV14" s="8">
        <f t="shared" si="6"/>
        <v>0</v>
      </c>
      <c r="AW14" s="8">
        <f t="shared" si="6"/>
        <v>0</v>
      </c>
      <c r="AX14" s="8" t="str">
        <f t="shared" si="6"/>
        <v>A2研发楼</v>
      </c>
      <c r="AY14" s="1348">
        <f>ROUND($AY$6*AZ14/$AZ$5,2)</f>
        <v>1469.68</v>
      </c>
      <c r="AZ14" s="13">
        <f>BA14+BL14</f>
        <v>3931.04</v>
      </c>
      <c r="BA14" s="13">
        <f>SUM(BB14:BK14)</f>
        <v>3931.04</v>
      </c>
      <c r="BB14" s="13">
        <f>IF($D14="是",I14-J14,0)</f>
        <v>3282.54</v>
      </c>
      <c r="BC14" s="13">
        <f>IF($D14="是",K14-L14,0)</f>
        <v>648.5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66" t="s">
        <v>3410</v>
      </c>
      <c r="D15" s="3467" t="s">
        <v>3417</v>
      </c>
      <c r="E15" s="13">
        <f>IF($C$3="是",ROUND($A$3*G15/$B$3,2),ROUND($A$3*(G15-AT15)/$B$3,2))</f>
        <v>1371.51</v>
      </c>
      <c r="F15" s="29"/>
      <c r="G15" s="30">
        <f>H15+AC15+AT15</f>
        <v>3668.45</v>
      </c>
      <c r="H15" s="17">
        <f>SUMIF(I$12:AB$12,"总值",I15:AB15)</f>
        <v>3064.29</v>
      </c>
      <c r="I15" s="3469">
        <v>3064.29</v>
      </c>
      <c r="J15" s="3469"/>
      <c r="K15" s="3469"/>
      <c r="L15" s="3469"/>
      <c r="M15" s="3469"/>
      <c r="N15" s="3469"/>
      <c r="O15" s="3469"/>
      <c r="P15" s="3469"/>
      <c r="Q15" s="1624"/>
      <c r="R15" s="1624"/>
      <c r="S15" s="1624"/>
      <c r="T15" s="1624"/>
      <c r="U15" s="1624"/>
      <c r="V15" s="1624"/>
      <c r="W15" s="1624"/>
      <c r="X15" s="1624"/>
      <c r="Y15" s="1624"/>
      <c r="Z15" s="1624"/>
      <c r="AA15" s="1624"/>
      <c r="AB15" s="1624"/>
      <c r="AC15" s="13">
        <f>SUMIF(AD$12:AS$12,"总值",AD15:AS15)</f>
        <v>604.16</v>
      </c>
      <c r="AD15" s="1625"/>
      <c r="AE15" s="1625"/>
      <c r="AF15" s="1625"/>
      <c r="AG15" s="1625"/>
      <c r="AH15" s="1625"/>
      <c r="AI15" s="1625"/>
      <c r="AJ15" s="1625"/>
      <c r="AK15" s="1625"/>
      <c r="AL15" s="1625"/>
      <c r="AM15" s="1625"/>
      <c r="AN15" s="3479">
        <v>604.16</v>
      </c>
      <c r="AO15" s="3472"/>
      <c r="AP15" s="3472"/>
      <c r="AQ15" s="3472"/>
      <c r="AR15" s="3472"/>
      <c r="AS15" s="3472"/>
      <c r="AT15" s="3473"/>
      <c r="AU15" s="1626"/>
      <c r="AV15" s="8">
        <f t="shared" si="6"/>
        <v>0</v>
      </c>
      <c r="AW15" s="8">
        <f t="shared" si="6"/>
        <v>0</v>
      </c>
      <c r="AX15" s="8" t="str">
        <f t="shared" si="6"/>
        <v>A3研发楼</v>
      </c>
      <c r="AY15" s="1348">
        <f>ROUND($AY$6*AZ15/$AZ$5,2)</f>
        <v>1371.51</v>
      </c>
      <c r="AZ15" s="13">
        <f>BA15+BL15</f>
        <v>3668.45</v>
      </c>
      <c r="BA15" s="13">
        <f>SUM(BB15:BK15)</f>
        <v>3064.29</v>
      </c>
      <c r="BB15" s="13">
        <f>IF($D15="是",I15-J15,0)</f>
        <v>3064.29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8" customFormat="1" ht="12.75">
      <c r="A16" s="1050"/>
      <c r="B16" s="1050"/>
      <c r="C16" s="3466" t="s">
        <v>3411</v>
      </c>
      <c r="D16" s="3467" t="s">
        <v>3417</v>
      </c>
      <c r="E16" s="13">
        <f>IF($C$3="是",ROUND($A$3*G16/$B$3,2),ROUND($A$3*(G16-AT16)/$B$3,2))</f>
        <v>1371.51</v>
      </c>
      <c r="F16" s="29"/>
      <c r="G16" s="30">
        <f>H16+AC16+AT16</f>
        <v>3668.45</v>
      </c>
      <c r="H16" s="17">
        <f>SUMIF(I$12:AB$12,"总值",I16:AB16)</f>
        <v>3668.45</v>
      </c>
      <c r="I16" s="3469">
        <v>3064.29</v>
      </c>
      <c r="J16" s="3469"/>
      <c r="K16" s="3469">
        <v>604.16</v>
      </c>
      <c r="L16" s="3469"/>
      <c r="M16" s="3469"/>
      <c r="N16" s="3469"/>
      <c r="O16" s="3469"/>
      <c r="P16" s="3469"/>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3472"/>
      <c r="AO16" s="3472"/>
      <c r="AP16" s="3472"/>
      <c r="AQ16" s="3472"/>
      <c r="AR16" s="3472"/>
      <c r="AS16" s="3472"/>
      <c r="AT16" s="3473"/>
      <c r="AU16" s="1626"/>
      <c r="AV16" s="8">
        <f t="shared" si="6"/>
        <v>0</v>
      </c>
      <c r="AW16" s="8">
        <f t="shared" si="6"/>
        <v>0</v>
      </c>
      <c r="AX16" s="8" t="str">
        <f t="shared" si="6"/>
        <v>A4研发楼</v>
      </c>
      <c r="AY16" s="1348">
        <f>ROUND($AY$6*AZ16/$AZ$5,2)</f>
        <v>1371.51</v>
      </c>
      <c r="AZ16" s="13">
        <f>BA16+BL16</f>
        <v>3668.45</v>
      </c>
      <c r="BA16" s="13">
        <f>SUM(BB16:BK16)</f>
        <v>3668.45</v>
      </c>
      <c r="BB16" s="13">
        <f>IF($D16="是",I16-J16,0)</f>
        <v>3064.29</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66" t="s">
        <v>3412</v>
      </c>
      <c r="D17" s="3467" t="s">
        <v>3417</v>
      </c>
      <c r="E17" s="13">
        <f>IF($C$3="是",ROUND($A$3*G17/$B$3,2),ROUND($A$3*(G17-AT17)/$B$3,2))</f>
        <v>1476.12</v>
      </c>
      <c r="F17" s="29"/>
      <c r="G17" s="30">
        <f>H17+AC17+AT17</f>
        <v>3948.2599999999998</v>
      </c>
      <c r="H17" s="17">
        <f>SUMIF(I$12:AB$12,"总值",I17:AB17)</f>
        <v>3299.66</v>
      </c>
      <c r="I17" s="3469">
        <v>3299.66</v>
      </c>
      <c r="J17" s="3469"/>
      <c r="K17" s="3469"/>
      <c r="L17" s="3469"/>
      <c r="M17" s="3469"/>
      <c r="N17" s="3469"/>
      <c r="O17" s="3469"/>
      <c r="P17" s="3469"/>
      <c r="Q17" s="1624"/>
      <c r="R17" s="1624"/>
      <c r="S17" s="1624"/>
      <c r="T17" s="1624"/>
      <c r="U17" s="1624"/>
      <c r="V17" s="1624"/>
      <c r="W17" s="1624"/>
      <c r="X17" s="1624"/>
      <c r="Y17" s="1624"/>
      <c r="Z17" s="1624"/>
      <c r="AA17" s="1624"/>
      <c r="AB17" s="1624"/>
      <c r="AC17" s="13">
        <f>SUMIF(AD$12:AS$12,"总值",AD17:AS17)</f>
        <v>648.6</v>
      </c>
      <c r="AD17" s="1625"/>
      <c r="AE17" s="1625"/>
      <c r="AF17" s="1625"/>
      <c r="AG17" s="1625"/>
      <c r="AH17" s="1625"/>
      <c r="AI17" s="1625"/>
      <c r="AJ17" s="1625"/>
      <c r="AK17" s="1625"/>
      <c r="AL17" s="1625"/>
      <c r="AM17" s="1625"/>
      <c r="AN17" s="3479">
        <v>648.6</v>
      </c>
      <c r="AO17" s="3472"/>
      <c r="AP17" s="3472"/>
      <c r="AQ17" s="3472"/>
      <c r="AR17" s="3472"/>
      <c r="AS17" s="3472"/>
      <c r="AT17" s="3473"/>
      <c r="AU17" s="1626"/>
      <c r="AV17" s="8">
        <f t="shared" si="6"/>
        <v>0</v>
      </c>
      <c r="AW17" s="8">
        <f t="shared" si="6"/>
        <v>0</v>
      </c>
      <c r="AX17" s="8" t="str">
        <f t="shared" si="6"/>
        <v>A5研发楼</v>
      </c>
      <c r="AY17" s="1348">
        <f>ROUND($AY$6*AZ17/$AZ$5,2)</f>
        <v>1476.12</v>
      </c>
      <c r="AZ17" s="13">
        <f>BA17+BL17</f>
        <v>3948.2599999999998</v>
      </c>
      <c r="BA17" s="13">
        <f>SUM(BB17:BK17)</f>
        <v>3299.66</v>
      </c>
      <c r="BB17" s="13">
        <f>IF($D17="是",I17-J17,0)</f>
        <v>3299.66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648.6</v>
      </c>
      <c r="BM17" s="13">
        <f>IF($D17="是",AD17-AE17,0)</f>
        <v>0</v>
      </c>
      <c r="BN17" s="13">
        <f>IF($D17="是",AF17-AG17,0)</f>
        <v>0</v>
      </c>
      <c r="BO17" s="13">
        <f>IF($D17="是",AH17-AI17,0)</f>
        <v>0</v>
      </c>
      <c r="BP17" s="13">
        <f>IF($D17="是",AJ17-AK17,0)</f>
        <v>0</v>
      </c>
      <c r="BQ17" s="13">
        <f>IF($D17="是",AL17-AM17,0)</f>
        <v>0</v>
      </c>
      <c r="BR17" s="13">
        <f>IF($D17="是",AN17-AO17,0)</f>
        <v>648.6</v>
      </c>
      <c r="BS17" s="13">
        <f>IF($D17="是",AP17-AQ17,0)</f>
        <v>0</v>
      </c>
      <c r="BT17" s="19">
        <f>IF($D17="是",AR17-AS17,0)</f>
        <v>0</v>
      </c>
    </row>
    <row r="18" spans="1:72">
      <c r="A18" s="6"/>
      <c r="B18" s="31"/>
      <c r="C18" s="3466" t="s">
        <v>3413</v>
      </c>
      <c r="D18" s="3467" t="s">
        <v>3417</v>
      </c>
      <c r="E18" s="32">
        <f t="shared" ref="E18:E112" si="7">IF($C$3="是",ROUND($A$3*G18/$B$3,2),ROUND($A$3*(G18-AT18)/$B$3,2))</f>
        <v>1476.12</v>
      </c>
      <c r="F18" s="33"/>
      <c r="G18" s="34">
        <f t="shared" ref="G18:G109" si="8">H18+AC18+AT18</f>
        <v>3948.2599999999998</v>
      </c>
      <c r="H18" s="35">
        <f t="shared" ref="H18:H109" si="9">SUMIF(I$12:AB$12,"总值",I18:AB18)</f>
        <v>3948.2599999999998</v>
      </c>
      <c r="I18" s="3468">
        <v>3299.66</v>
      </c>
      <c r="J18" s="3468"/>
      <c r="K18" s="3468">
        <v>648.6</v>
      </c>
      <c r="L18" s="3468"/>
      <c r="M18" s="3468"/>
      <c r="N18" s="3468"/>
      <c r="O18" s="3468"/>
      <c r="P18" s="3468"/>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470"/>
      <c r="AO18" s="3470"/>
      <c r="AP18" s="3470"/>
      <c r="AQ18" s="3470"/>
      <c r="AR18" s="3470"/>
      <c r="AS18" s="3470"/>
      <c r="AT18" s="3471"/>
      <c r="AU18" s="1628"/>
      <c r="AV18" s="1342">
        <f t="shared" ref="AV18:AV112" si="11">A18</f>
        <v>0</v>
      </c>
      <c r="AW18" s="1342">
        <f t="shared" ref="AW18:AW112" si="12">B18</f>
        <v>0</v>
      </c>
      <c r="AX18" s="1342" t="str">
        <f t="shared" ref="AX18:AX112" si="13">C18</f>
        <v>A6研发楼</v>
      </c>
      <c r="AY18" s="39">
        <f t="shared" ref="AY18:AY109" si="14">ROUND($AY$6*AZ18/$AZ$5,2)</f>
        <v>1476.12</v>
      </c>
      <c r="AZ18" s="32">
        <f t="shared" ref="AZ18:AZ109" si="15">BA18+BL18</f>
        <v>3948.2599999999998</v>
      </c>
      <c r="BA18" s="32">
        <f t="shared" ref="BA18:BA109" si="16">SUM(BB18:BK18)</f>
        <v>3948.2599999999998</v>
      </c>
      <c r="BB18" s="32">
        <f t="shared" ref="BB18:BB109" si="17">IF($D18="是",I18-J18,0)</f>
        <v>3299.66</v>
      </c>
      <c r="BC18" s="32">
        <f t="shared" ref="BC18:BC109" si="18">IF($D18="是",K18-L18,0)</f>
        <v>648.6</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6" t="s">
        <v>3414</v>
      </c>
      <c r="D19" s="3467" t="s">
        <v>3417</v>
      </c>
      <c r="E19" s="32">
        <f t="shared" si="7"/>
        <v>4949.8999999999996</v>
      </c>
      <c r="F19" s="33"/>
      <c r="G19" s="34">
        <f t="shared" si="8"/>
        <v>13239.779999999999</v>
      </c>
      <c r="H19" s="35">
        <f t="shared" si="9"/>
        <v>13227.98</v>
      </c>
      <c r="I19" s="3468">
        <v>11932.35</v>
      </c>
      <c r="J19" s="3468"/>
      <c r="K19" s="3468">
        <v>1295.6300000000001</v>
      </c>
      <c r="L19" s="3468"/>
      <c r="M19" s="3468"/>
      <c r="N19" s="3468"/>
      <c r="O19" s="3468"/>
      <c r="P19" s="3468"/>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470"/>
      <c r="AO19" s="3470"/>
      <c r="AP19" s="3470"/>
      <c r="AQ19" s="3470"/>
      <c r="AR19" s="3470"/>
      <c r="AS19" s="3470"/>
      <c r="AT19" s="3471">
        <v>11.8</v>
      </c>
      <c r="AU19" s="1628"/>
      <c r="AV19" s="1342">
        <f t="shared" si="11"/>
        <v>0</v>
      </c>
      <c r="AW19" s="1342">
        <f t="shared" si="12"/>
        <v>0</v>
      </c>
      <c r="AX19" s="1342" t="str">
        <f t="shared" si="13"/>
        <v>A7研发楼</v>
      </c>
      <c r="AY19" s="39">
        <f t="shared" si="14"/>
        <v>4945.49</v>
      </c>
      <c r="AZ19" s="32">
        <f t="shared" si="15"/>
        <v>13227.98</v>
      </c>
      <c r="BA19" s="32">
        <f t="shared" si="16"/>
        <v>13227.98</v>
      </c>
      <c r="BB19" s="32">
        <f t="shared" si="17"/>
        <v>11932.35</v>
      </c>
      <c r="BC19" s="32">
        <f t="shared" si="18"/>
        <v>1295.6300000000001</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466" t="s">
        <v>3415</v>
      </c>
      <c r="D20" s="3467" t="s">
        <v>3417</v>
      </c>
      <c r="E20" s="32">
        <f t="shared" si="7"/>
        <v>1586.98</v>
      </c>
      <c r="F20" s="33"/>
      <c r="G20" s="34">
        <f t="shared" si="8"/>
        <v>4244.78</v>
      </c>
      <c r="H20" s="35">
        <f t="shared" si="9"/>
        <v>4244.78</v>
      </c>
      <c r="I20" s="3468">
        <v>3581.67</v>
      </c>
      <c r="J20" s="3468"/>
      <c r="K20" s="3468"/>
      <c r="L20" s="3468"/>
      <c r="M20" s="3468">
        <v>663.11</v>
      </c>
      <c r="N20" s="3468"/>
      <c r="O20" s="3468"/>
      <c r="P20" s="3468"/>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470"/>
      <c r="AO20" s="3470"/>
      <c r="AP20" s="3470"/>
      <c r="AQ20" s="3470"/>
      <c r="AR20" s="3470"/>
      <c r="AS20" s="3470"/>
      <c r="AT20" s="3471"/>
      <c r="AU20" s="1628"/>
      <c r="AV20" s="1342">
        <f t="shared" si="11"/>
        <v>0</v>
      </c>
      <c r="AW20" s="1342">
        <f t="shared" si="12"/>
        <v>0</v>
      </c>
      <c r="AX20" s="1342" t="str">
        <f t="shared" si="13"/>
        <v>A8配套服务楼</v>
      </c>
      <c r="AY20" s="39">
        <f t="shared" si="14"/>
        <v>1586.98</v>
      </c>
      <c r="AZ20" s="32">
        <f t="shared" si="15"/>
        <v>4244.78</v>
      </c>
      <c r="BA20" s="32">
        <f t="shared" si="16"/>
        <v>4244.78</v>
      </c>
      <c r="BB20" s="32">
        <f t="shared" si="17"/>
        <v>3581.67</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6" t="s">
        <v>3416</v>
      </c>
      <c r="D21" s="3467" t="s">
        <v>3417</v>
      </c>
      <c r="E21" s="32">
        <f t="shared" si="7"/>
        <v>4168.51</v>
      </c>
      <c r="F21" s="33"/>
      <c r="G21" s="34">
        <f t="shared" si="8"/>
        <v>11149.77</v>
      </c>
      <c r="H21" s="35">
        <f t="shared" si="9"/>
        <v>5525.68</v>
      </c>
      <c r="I21" s="3468"/>
      <c r="J21" s="3468"/>
      <c r="K21" s="3468"/>
      <c r="L21" s="3468"/>
      <c r="M21" s="3468">
        <v>346.91</v>
      </c>
      <c r="N21" s="3468"/>
      <c r="O21" s="3468">
        <f>8689.5-AT21</f>
        <v>5178.7700000000004</v>
      </c>
      <c r="P21" s="3468"/>
      <c r="Q21" s="36"/>
      <c r="R21" s="36"/>
      <c r="S21" s="36"/>
      <c r="T21" s="36"/>
      <c r="U21" s="36"/>
      <c r="V21" s="36"/>
      <c r="W21" s="36"/>
      <c r="X21" s="36"/>
      <c r="Y21" s="36"/>
      <c r="Z21" s="36"/>
      <c r="AA21" s="36"/>
      <c r="AB21" s="36"/>
      <c r="AC21" s="32">
        <f t="shared" si="10"/>
        <v>2113.36</v>
      </c>
      <c r="AD21" s="37"/>
      <c r="AE21" s="37"/>
      <c r="AF21" s="37"/>
      <c r="AG21" s="37"/>
      <c r="AH21" s="37"/>
      <c r="AI21" s="37"/>
      <c r="AJ21" s="37"/>
      <c r="AK21" s="37"/>
      <c r="AL21" s="37">
        <v>88.16</v>
      </c>
      <c r="AM21" s="37"/>
      <c r="AN21" s="3470">
        <v>2025.2</v>
      </c>
      <c r="AO21" s="3470"/>
      <c r="AP21" s="3470"/>
      <c r="AQ21" s="3470"/>
      <c r="AR21" s="3470"/>
      <c r="AS21" s="3470"/>
      <c r="AT21" s="3471">
        <v>3510.73</v>
      </c>
      <c r="AU21" s="1628"/>
      <c r="AV21" s="1342">
        <f t="shared" si="11"/>
        <v>0</v>
      </c>
      <c r="AW21" s="1342">
        <f t="shared" si="12"/>
        <v>0</v>
      </c>
      <c r="AX21" s="1342" t="str">
        <f t="shared" si="13"/>
        <v>地下车库</v>
      </c>
      <c r="AY21" s="39">
        <f t="shared" si="14"/>
        <v>2855.97</v>
      </c>
      <c r="AZ21" s="32">
        <f t="shared" si="15"/>
        <v>7639.0400000000009</v>
      </c>
      <c r="BA21" s="32">
        <f t="shared" si="16"/>
        <v>5525.68</v>
      </c>
      <c r="BB21" s="32">
        <f t="shared" si="17"/>
        <v>0</v>
      </c>
      <c r="BC21" s="32">
        <f t="shared" si="18"/>
        <v>0</v>
      </c>
      <c r="BD21" s="32">
        <f t="shared" si="19"/>
        <v>346.91</v>
      </c>
      <c r="BE21" s="32">
        <f t="shared" si="20"/>
        <v>5178.7700000000004</v>
      </c>
      <c r="BF21" s="32">
        <f t="shared" si="21"/>
        <v>0</v>
      </c>
      <c r="BG21" s="32">
        <f t="shared" si="22"/>
        <v>0</v>
      </c>
      <c r="BH21" s="32">
        <f t="shared" si="23"/>
        <v>0</v>
      </c>
      <c r="BI21" s="32">
        <f t="shared" si="24"/>
        <v>0</v>
      </c>
      <c r="BJ21" s="32">
        <f t="shared" si="25"/>
        <v>0</v>
      </c>
      <c r="BK21" s="32">
        <f t="shared" si="26"/>
        <v>0</v>
      </c>
      <c r="BL21" s="32">
        <f t="shared" si="27"/>
        <v>2113.36</v>
      </c>
      <c r="BM21" s="32">
        <f t="shared" si="28"/>
        <v>0</v>
      </c>
      <c r="BN21" s="32">
        <f t="shared" si="29"/>
        <v>0</v>
      </c>
      <c r="BO21" s="32">
        <f t="shared" si="30"/>
        <v>0</v>
      </c>
      <c r="BP21" s="32">
        <f t="shared" si="31"/>
        <v>0</v>
      </c>
      <c r="BQ21" s="32">
        <f t="shared" si="32"/>
        <v>88.16</v>
      </c>
      <c r="BR21" s="32">
        <f t="shared" si="33"/>
        <v>2025.2</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1" sqref="F3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8"/>
      <c r="C1" s="1138"/>
      <c r="D1" s="1138"/>
      <c r="E1" s="1138"/>
      <c r="F1" s="1138"/>
      <c r="G1" s="1138"/>
      <c r="H1" s="1138"/>
      <c r="I1" s="1138"/>
      <c r="J1" s="1138"/>
      <c r="K1" s="1138"/>
      <c r="L1" s="1138"/>
      <c r="M1" s="1138"/>
      <c r="N1" s="1138"/>
      <c r="O1" s="1138"/>
      <c r="P1" s="1138"/>
    </row>
    <row r="2" spans="1:16" ht="15">
      <c r="A2" s="3586" t="s">
        <v>1130</v>
      </c>
      <c r="B2" s="3586"/>
      <c r="C2" s="3586"/>
      <c r="D2" s="795" t="s">
        <v>1106</v>
      </c>
      <c r="E2" s="1636" t="s">
        <v>1107</v>
      </c>
      <c r="F2" s="2656"/>
      <c r="G2" s="2647"/>
      <c r="H2" s="2648"/>
      <c r="I2" s="2322" t="s">
        <v>1131</v>
      </c>
      <c r="J2" s="2656"/>
      <c r="K2" s="2656"/>
      <c r="L2" s="2656"/>
      <c r="M2" s="2656"/>
      <c r="N2" s="2658"/>
      <c r="O2" s="2656"/>
      <c r="P2" s="2656"/>
    </row>
    <row r="3" spans="1:16" ht="15.75" thickBot="1">
      <c r="A3" s="3587" t="s">
        <v>1104</v>
      </c>
      <c r="B3" s="3587"/>
      <c r="C3" s="3587"/>
      <c r="D3" s="43">
        <f>'数据-基础表'!AY6</f>
        <v>18023.05</v>
      </c>
      <c r="E3" s="43">
        <f>'数据-基础表'!AZ5</f>
        <v>48207.299999999996</v>
      </c>
      <c r="F3" s="2656"/>
      <c r="G3" s="1144"/>
      <c r="H3" s="1025" t="s">
        <v>1105</v>
      </c>
      <c r="I3" s="854">
        <f>ROUND('数据-基础表'!B3/'数据-基础表'!A3,2)</f>
        <v>2.67</v>
      </c>
      <c r="J3" s="2656"/>
      <c r="K3" s="2656"/>
      <c r="L3" s="2656"/>
      <c r="M3" s="2656"/>
      <c r="N3" s="2658"/>
      <c r="O3" s="2656"/>
      <c r="P3" s="2656"/>
    </row>
    <row r="4" spans="1:16" ht="15">
      <c r="A4" s="3588"/>
      <c r="B4" s="3589"/>
      <c r="C4" s="3590"/>
      <c r="D4" s="1638" t="s">
        <v>1106</v>
      </c>
      <c r="E4" s="1639" t="s">
        <v>1107</v>
      </c>
      <c r="F4" s="2656"/>
      <c r="G4" s="2649" t="s">
        <v>1132</v>
      </c>
      <c r="H4" s="1025" t="s">
        <v>1112</v>
      </c>
      <c r="I4" s="854">
        <f>ROUND(SUMIF('数据-基础表'!I9:AS9,"地上",'数据-基础表'!I5:AS5)/'数据-基础表'!A3,2)</f>
        <v>1.8</v>
      </c>
      <c r="J4" s="2656"/>
      <c r="K4" s="2656"/>
      <c r="L4" s="2656"/>
      <c r="M4" s="2656"/>
      <c r="N4" s="2658"/>
      <c r="O4" s="2656"/>
      <c r="P4" s="2656"/>
    </row>
    <row r="5" spans="1:16">
      <c r="A5" s="44" t="s">
        <v>1108</v>
      </c>
      <c r="B5" s="3591" t="s">
        <v>1109</v>
      </c>
      <c r="C5" s="3591"/>
      <c r="D5" s="45">
        <f>ROUND($D$3*E5/$E$3,2)</f>
        <v>0</v>
      </c>
      <c r="E5" s="46">
        <f>SUMIF('数据-基础表'!$11:$11,"住宅",'数据-基础表'!$5:$5)</f>
        <v>0</v>
      </c>
      <c r="F5" s="2656"/>
      <c r="G5" s="1144"/>
      <c r="H5" s="1025" t="s">
        <v>1105</v>
      </c>
      <c r="I5" s="854">
        <f>ROUND(E31/D31,2)</f>
        <v>2.67</v>
      </c>
      <c r="J5" s="2656"/>
      <c r="K5" s="2656"/>
      <c r="L5" s="2656"/>
      <c r="M5" s="2656"/>
      <c r="N5" s="2656"/>
      <c r="O5" s="2656"/>
      <c r="P5" s="2656"/>
    </row>
    <row r="6" spans="1:16" ht="15" thickBot="1">
      <c r="A6" s="1641"/>
      <c r="B6" s="3591" t="s">
        <v>1110</v>
      </c>
      <c r="C6" s="3591"/>
      <c r="D6" s="45">
        <f>ROUND($D$3*E6/$E$3,2)</f>
        <v>18023.05</v>
      </c>
      <c r="E6" s="46">
        <f>E3-E5</f>
        <v>48207.299999999996</v>
      </c>
      <c r="F6" s="2656"/>
      <c r="G6" s="2650" t="s">
        <v>1111</v>
      </c>
      <c r="H6" s="1145" t="s">
        <v>1112</v>
      </c>
      <c r="I6" s="2651">
        <f>ROUND(F31/D31,2)</f>
        <v>1.94</v>
      </c>
      <c r="J6" s="2656"/>
      <c r="K6" s="2656"/>
      <c r="L6" s="2656"/>
      <c r="M6" s="2656"/>
      <c r="N6" s="2656"/>
      <c r="O6" s="2656"/>
      <c r="P6" s="2656"/>
    </row>
    <row r="7" spans="1:16" ht="15.75" thickBot="1">
      <c r="A7" s="3583"/>
      <c r="B7" s="3584"/>
      <c r="C7" s="3585"/>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13013.14</v>
      </c>
      <c r="E8" s="48">
        <f>SUMIF('数据-基础表'!BB10:BK10,"地上",'数据-基础表'!BB5:BK5)</f>
        <v>34807</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377.61</v>
      </c>
      <c r="E12" s="48">
        <f>SUMPRODUCT(('数据-基础表'!BB10:BK10="地下")*('数据-基础表'!BB11:BK11="仓储")*('数据-基础表'!BB5:BK5))</f>
        <v>1010.02</v>
      </c>
      <c r="F12" s="2656"/>
      <c r="G12" s="2657"/>
      <c r="H12" s="2657"/>
      <c r="I12" s="2656"/>
      <c r="J12" s="2656"/>
      <c r="K12" s="2656"/>
      <c r="L12" s="2656"/>
      <c r="M12" s="2656"/>
      <c r="N12" s="2656"/>
      <c r="O12" s="2656"/>
      <c r="P12" s="2656"/>
    </row>
    <row r="13" spans="1:16">
      <c r="A13" s="1643"/>
      <c r="B13" s="1644"/>
      <c r="C13" s="45" t="s">
        <v>1121</v>
      </c>
      <c r="D13" s="45">
        <f t="shared" si="0"/>
        <v>1936.16</v>
      </c>
      <c r="E13" s="48">
        <f>SUMPRODUCT(('数据-基础表'!BB10:BK10="地下")*('数据-基础表'!BB11:BK11="车库")*('数据-基础表'!BB5:BK5))</f>
        <v>5178.7700000000004</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15326.91</v>
      </c>
      <c r="E16" s="50">
        <f>SUM(E8:E15)</f>
        <v>40995.789999999994</v>
      </c>
      <c r="F16" s="2656"/>
      <c r="G16" s="2657"/>
      <c r="H16" s="1645" t="s">
        <v>1134</v>
      </c>
      <c r="I16" s="1646"/>
      <c r="J16" s="1138"/>
      <c r="K16" s="3580" t="s">
        <v>1134</v>
      </c>
      <c r="L16" s="3581"/>
      <c r="M16" s="3581"/>
      <c r="N16" s="3581"/>
      <c r="O16" s="3581"/>
      <c r="P16" s="3582"/>
    </row>
    <row r="17" spans="1:19" ht="15">
      <c r="A17" s="1647" t="s">
        <v>1135</v>
      </c>
      <c r="B17" s="1648" t="s">
        <v>1136</v>
      </c>
      <c r="C17" s="1649" t="s">
        <v>1137</v>
      </c>
      <c r="D17" s="1650" t="s">
        <v>1125</v>
      </c>
      <c r="E17" s="1651" t="s">
        <v>1126</v>
      </c>
      <c r="F17" s="1652"/>
      <c r="G17" s="1653"/>
      <c r="H17" s="1654" t="s">
        <v>1138</v>
      </c>
      <c r="I17" s="1655" t="s">
        <v>1123</v>
      </c>
      <c r="J17" s="1138"/>
      <c r="K17" s="3577" t="s">
        <v>1139</v>
      </c>
      <c r="L17" s="3578"/>
      <c r="M17" s="3579"/>
      <c r="N17" s="3577" t="s">
        <v>1140</v>
      </c>
      <c r="O17" s="3578"/>
      <c r="P17" s="3579"/>
      <c r="R17" s="1637" t="s">
        <v>1141</v>
      </c>
      <c r="S17" s="56"/>
    </row>
    <row r="18" spans="1:19" ht="15">
      <c r="A18" s="1643"/>
      <c r="B18" s="1656"/>
      <c r="C18" s="1657"/>
      <c r="D18" s="1658"/>
      <c r="E18" s="1659" t="s">
        <v>1142</v>
      </c>
      <c r="F18" s="1660" t="s">
        <v>1143</v>
      </c>
      <c r="G18" s="1661" t="s">
        <v>1144</v>
      </c>
      <c r="H18" s="1040" t="s">
        <v>1145</v>
      </c>
      <c r="I18" s="1662" t="s">
        <v>1146</v>
      </c>
      <c r="J18" s="1138"/>
      <c r="K18" s="1040" t="s">
        <v>1147</v>
      </c>
      <c r="L18" s="1663" t="s">
        <v>1148</v>
      </c>
      <c r="M18" s="854" t="s">
        <v>1149</v>
      </c>
      <c r="N18" s="1040" t="s">
        <v>1147</v>
      </c>
      <c r="O18" s="1663" t="s">
        <v>1148</v>
      </c>
      <c r="P18" s="854" t="s">
        <v>1149</v>
      </c>
      <c r="R18" s="1025" t="s">
        <v>1150</v>
      </c>
      <c r="S18" s="1025" t="s">
        <v>1151</v>
      </c>
    </row>
    <row r="19" spans="1:19">
      <c r="A19" s="1664"/>
      <c r="B19" s="47" t="s">
        <v>1124</v>
      </c>
      <c r="C19" s="3414" t="s">
        <v>3418</v>
      </c>
      <c r="D19" s="45">
        <f>ROUND($D$3*E19/$E$3,2)</f>
        <v>14450.8</v>
      </c>
      <c r="E19" s="53">
        <f t="shared" ref="E19:E26" si="1">SUM(F19:G19)</f>
        <v>38652.39</v>
      </c>
      <c r="F19" s="2792">
        <f>'数据-基础表'!I5</f>
        <v>34807</v>
      </c>
      <c r="G19" s="2793">
        <f>'数据-基础表'!K5</f>
        <v>3845.39</v>
      </c>
      <c r="H19" s="670">
        <f>ROUND($D$3*I19/$E$3,2)</f>
        <v>1084.79</v>
      </c>
      <c r="I19" s="48">
        <f t="shared" ref="I19:I26" si="2">IF($I$17="自定义",P19,M19)</f>
        <v>2901.54</v>
      </c>
      <c r="J19" s="1138"/>
      <c r="K19" s="1137">
        <f t="shared" ref="K19:K26" si="3">ROUND(E$28*E19/E$27,2)</f>
        <v>2901.54</v>
      </c>
      <c r="L19" s="1025">
        <f t="shared" ref="L19:L26" si="4">ROUND(IF(COUNTIF(C19,"*住宅*")&gt;0,E$29*E19/E$32,0),2)</f>
        <v>0</v>
      </c>
      <c r="M19" s="1149">
        <f>K19+L19</f>
        <v>2901.54</v>
      </c>
      <c r="N19" s="1665"/>
      <c r="O19" s="1666"/>
      <c r="P19" s="1149">
        <f>N19+O19</f>
        <v>0</v>
      </c>
      <c r="R19" s="1025">
        <f t="shared" ref="R19:S26" si="5">D19+H19</f>
        <v>15535.59</v>
      </c>
      <c r="S19" s="1026">
        <f t="shared" si="5"/>
        <v>41553.93</v>
      </c>
    </row>
    <row r="20" spans="1:19">
      <c r="A20" s="1667"/>
      <c r="B20" s="47" t="s">
        <v>1152</v>
      </c>
      <c r="C20" s="3414" t="s">
        <v>3419</v>
      </c>
      <c r="D20" s="45">
        <f t="shared" ref="D20:D26" si="6">ROUND($D$3*E20/$E$3,2)</f>
        <v>377.61</v>
      </c>
      <c r="E20" s="53">
        <f t="shared" si="1"/>
        <v>1010.02</v>
      </c>
      <c r="F20" s="2792"/>
      <c r="G20" s="2793">
        <f>'数据-基础表'!M5</f>
        <v>1010.02</v>
      </c>
      <c r="H20" s="670">
        <f t="shared" ref="H20:H26" si="7">ROUND($D$3*I20/$E$3,2)</f>
        <v>28.35</v>
      </c>
      <c r="I20" s="48">
        <f t="shared" si="2"/>
        <v>75.819999999999993</v>
      </c>
      <c r="J20" s="1138"/>
      <c r="K20" s="1137">
        <f t="shared" si="3"/>
        <v>75.819999999999993</v>
      </c>
      <c r="L20" s="1025">
        <f t="shared" si="4"/>
        <v>0</v>
      </c>
      <c r="M20" s="1149">
        <f t="shared" ref="M20:M26" si="8">K20+L20</f>
        <v>75.819999999999993</v>
      </c>
      <c r="N20" s="1665"/>
      <c r="O20" s="1666"/>
      <c r="P20" s="1149">
        <f t="shared" ref="P20:P26" si="9">N20+O20</f>
        <v>0</v>
      </c>
      <c r="R20" s="1025">
        <f t="shared" si="5"/>
        <v>405.96000000000004</v>
      </c>
      <c r="S20" s="1026">
        <f t="shared" si="5"/>
        <v>1085.8399999999999</v>
      </c>
    </row>
    <row r="21" spans="1:19">
      <c r="A21" s="1667"/>
      <c r="B21" s="47" t="s">
        <v>1152</v>
      </c>
      <c r="C21" s="3414" t="s">
        <v>3420</v>
      </c>
      <c r="D21" s="45">
        <f t="shared" si="6"/>
        <v>1936.16</v>
      </c>
      <c r="E21" s="53">
        <f t="shared" si="1"/>
        <v>5178.7700000000004</v>
      </c>
      <c r="F21" s="2792"/>
      <c r="G21" s="2793">
        <f>'数据-基础表'!O5</f>
        <v>5178.7700000000004</v>
      </c>
      <c r="H21" s="670">
        <f t="shared" si="7"/>
        <v>145.34</v>
      </c>
      <c r="I21" s="48">
        <f t="shared" si="2"/>
        <v>388.76</v>
      </c>
      <c r="J21" s="1138"/>
      <c r="K21" s="1137">
        <f t="shared" si="3"/>
        <v>388.76</v>
      </c>
      <c r="L21" s="1025">
        <f t="shared" si="4"/>
        <v>0</v>
      </c>
      <c r="M21" s="1149">
        <f t="shared" si="8"/>
        <v>388.76</v>
      </c>
      <c r="N21" s="1665"/>
      <c r="O21" s="1666"/>
      <c r="P21" s="1149">
        <f t="shared" si="9"/>
        <v>0</v>
      </c>
      <c r="R21" s="1025">
        <f t="shared" si="5"/>
        <v>2081.5</v>
      </c>
      <c r="S21" s="1026">
        <f t="shared" si="5"/>
        <v>5567.5300000000007</v>
      </c>
    </row>
    <row r="22" spans="1:19">
      <c r="A22" s="1667"/>
      <c r="B22" s="47" t="s">
        <v>1152</v>
      </c>
      <c r="C22" s="3415"/>
      <c r="D22" s="45">
        <f t="shared" si="6"/>
        <v>0</v>
      </c>
      <c r="E22" s="53">
        <f t="shared" si="1"/>
        <v>0</v>
      </c>
      <c r="F22" s="2794"/>
      <c r="G22" s="2795"/>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1152</v>
      </c>
      <c r="C23" s="3415"/>
      <c r="D23" s="45">
        <f>ROUND($D$3*E23/$E$3,2)</f>
        <v>0</v>
      </c>
      <c r="E23" s="53">
        <f>SUM(F23:G23)</f>
        <v>0</v>
      </c>
      <c r="F23" s="2794"/>
      <c r="G23" s="2795"/>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1152</v>
      </c>
      <c r="C24" s="3415"/>
      <c r="D24" s="45">
        <f>ROUND($D$3*E24/$E$3,2)</f>
        <v>0</v>
      </c>
      <c r="E24" s="53">
        <f>SUM(F24:G24)</f>
        <v>0</v>
      </c>
      <c r="F24" s="2794"/>
      <c r="G24" s="2795"/>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1153</v>
      </c>
      <c r="D27" s="1139">
        <f>SUM(D19:D26)</f>
        <v>16764.57</v>
      </c>
      <c r="E27" s="1140">
        <f>IF(SUM(E19:E26)='数据-基础表'!BA5,SUM(E19:E26),IF(F27="地上面积有误","面积有误","地下面积有误"))</f>
        <v>44841.179999999993</v>
      </c>
      <c r="F27" s="1139">
        <f>IF(SUM(F19:F26)=E8,SUM(F19:F26),"地上面积有误")</f>
        <v>34807</v>
      </c>
      <c r="G27" s="1141">
        <f>SUM(G19:G26)</f>
        <v>10034.18</v>
      </c>
      <c r="H27" s="1142">
        <f>SUM(H19:H26)</f>
        <v>1258.4799999999998</v>
      </c>
      <c r="I27" s="1143">
        <f>SUM(I19:I26)</f>
        <v>3366.12</v>
      </c>
      <c r="J27" s="1138"/>
      <c r="K27" s="1146">
        <f>SUM(K19:K26)</f>
        <v>3366.12</v>
      </c>
      <c r="L27" s="1147">
        <f>SUM(L19:L26)</f>
        <v>0</v>
      </c>
      <c r="M27" s="1150">
        <f>SUM(M19:M26)</f>
        <v>3366.12</v>
      </c>
      <c r="N27" s="1146">
        <f t="shared" ref="N27:O27" si="10">SUM(N19:N26)</f>
        <v>0</v>
      </c>
      <c r="O27" s="1147">
        <f t="shared" si="10"/>
        <v>0</v>
      </c>
      <c r="P27" s="1148">
        <f>SUM(P19:P26)</f>
        <v>0</v>
      </c>
      <c r="R27" s="1027">
        <f>IF(SUM(R19:R26)=$D$3,SUM(R19:R26),SUM(R19:R26)&amp;"误差"&amp;ROUND(SUM(R19:R26)-$D$3,2))</f>
        <v>18023.05</v>
      </c>
      <c r="S27" s="1025">
        <f>IF(SUM(S19:S26)=$E$3,SUM(S19:S26),SUM(S19:S26)&amp;"误差"&amp;ROUND(SUM(S19:S26)-E3,2))</f>
        <v>48207.299999999996</v>
      </c>
    </row>
    <row r="28" spans="1:19">
      <c r="A28" s="1667"/>
      <c r="B28" s="47" t="s">
        <v>1154</v>
      </c>
      <c r="C28" s="1037" t="s">
        <v>1155</v>
      </c>
      <c r="D28" s="45">
        <f>ROUND($D$3*E28/$E$3,2)</f>
        <v>1258.48</v>
      </c>
      <c r="E28" s="53">
        <f>SUM(F28:G28)</f>
        <v>3366.12</v>
      </c>
      <c r="F28" s="56">
        <f>'数据-基础表'!BQ5+'数据-基础表'!BS5</f>
        <v>88.16</v>
      </c>
      <c r="G28" s="57">
        <f>'数据-基础表'!BR5+'数据-基础表'!BT5</f>
        <v>3277.96</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9">
        <f>SUM(D28:D29)</f>
        <v>1258.48</v>
      </c>
      <c r="E30" s="1139">
        <f>SUM(E28:E29)</f>
        <v>3366.12</v>
      </c>
      <c r="F30" s="1139">
        <f>SUM(F28:F29)</f>
        <v>88.16</v>
      </c>
      <c r="G30" s="1141">
        <f>SUM(G28:G29)</f>
        <v>3277.96</v>
      </c>
      <c r="H30" s="2656"/>
      <c r="I30" s="2656"/>
      <c r="J30" s="2656"/>
      <c r="K30" s="2656"/>
      <c r="L30" s="2656"/>
      <c r="M30" s="2656"/>
      <c r="N30" s="2656"/>
      <c r="O30" s="2656"/>
      <c r="P30" s="2656"/>
    </row>
    <row r="31" spans="1:19" ht="15.75" thickBot="1">
      <c r="A31" s="1673"/>
      <c r="B31" s="1674"/>
      <c r="C31" s="834" t="s">
        <v>1157</v>
      </c>
      <c r="D31" s="676">
        <f>D27+D30</f>
        <v>18023.05</v>
      </c>
      <c r="E31" s="676">
        <f>E27+E30</f>
        <v>48207.299999999996</v>
      </c>
      <c r="F31" s="677">
        <f>F27+F30</f>
        <v>34895.160000000003</v>
      </c>
      <c r="G31" s="678">
        <f>G27+G30</f>
        <v>13312.14</v>
      </c>
      <c r="H31" s="2656"/>
      <c r="I31" s="2656"/>
      <c r="J31" s="2656"/>
      <c r="K31" s="2656"/>
      <c r="L31" s="2656"/>
      <c r="M31" s="2656"/>
      <c r="N31" s="2656"/>
      <c r="O31" s="2656"/>
      <c r="P31" s="2656"/>
    </row>
    <row r="32" spans="1:19">
      <c r="A32" s="1640"/>
      <c r="B32" s="1640" t="s">
        <v>1158</v>
      </c>
      <c r="C32" s="1640"/>
      <c r="D32" s="1640"/>
      <c r="E32" s="1052">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V9" sqref="V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600"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90"/>
      <c r="D1" s="1677"/>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0" t="s">
        <v>1160</v>
      </c>
      <c r="B2" s="1044">
        <f>项目基本情况!D3</f>
        <v>45722</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8" customFormat="1" ht="15" thickBot="1">
      <c r="A3" s="1556"/>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8"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9" customFormat="1" ht="42">
      <c r="A5" s="1692" t="s">
        <v>1167</v>
      </c>
      <c r="B5" s="1693" t="s">
        <v>1168</v>
      </c>
      <c r="C5" s="1694" t="s">
        <v>1169</v>
      </c>
      <c r="D5" s="1695" t="s">
        <v>1170</v>
      </c>
      <c r="E5" s="1046" t="s">
        <v>1171</v>
      </c>
      <c r="F5" s="1696" t="s">
        <v>1172</v>
      </c>
      <c r="G5" s="1046" t="s">
        <v>1173</v>
      </c>
      <c r="H5" s="1046" t="s">
        <v>1174</v>
      </c>
      <c r="I5" s="1046" t="s">
        <v>1175</v>
      </c>
      <c r="J5" s="1697" t="s">
        <v>1176</v>
      </c>
      <c r="K5" s="1698" t="s">
        <v>1177</v>
      </c>
      <c r="L5" s="1699" t="s">
        <v>1178</v>
      </c>
      <c r="M5" s="1700" t="s">
        <v>1179</v>
      </c>
      <c r="N5" s="1701" t="s">
        <v>3454</v>
      </c>
      <c r="O5" s="1699" t="s">
        <v>1180</v>
      </c>
      <c r="P5" s="1702" t="s">
        <v>1181</v>
      </c>
      <c r="Q5" s="61" t="s">
        <v>1182</v>
      </c>
      <c r="R5" s="1703" t="s">
        <v>1183</v>
      </c>
      <c r="S5" s="1704" t="s">
        <v>1184</v>
      </c>
      <c r="T5" s="1705" t="s">
        <v>1185</v>
      </c>
      <c r="U5" s="1045" t="s">
        <v>1186</v>
      </c>
      <c r="V5" s="1046" t="s">
        <v>1187</v>
      </c>
      <c r="W5" s="1046" t="s">
        <v>1188</v>
      </c>
      <c r="X5" s="63"/>
      <c r="Y5" s="62" t="s">
        <v>1189</v>
      </c>
      <c r="Z5" s="1706" t="s">
        <v>1186</v>
      </c>
      <c r="AA5" s="1046" t="s">
        <v>1187</v>
      </c>
      <c r="AB5" s="1046" t="s">
        <v>1188</v>
      </c>
      <c r="AC5" s="63"/>
      <c r="AD5" s="63" t="s">
        <v>1189</v>
      </c>
      <c r="AE5" s="1045" t="s">
        <v>1190</v>
      </c>
      <c r="AF5" s="1046" t="s">
        <v>1191</v>
      </c>
      <c r="AG5" s="62" t="s">
        <v>1192</v>
      </c>
      <c r="AH5" s="1045" t="s">
        <v>1193</v>
      </c>
      <c r="AI5" s="1706" t="s">
        <v>1194</v>
      </c>
      <c r="AJ5" s="1706" t="s">
        <v>1195</v>
      </c>
      <c r="AK5" s="1046" t="s">
        <v>1196</v>
      </c>
      <c r="AL5" s="1046" t="s">
        <v>1197</v>
      </c>
      <c r="AM5" s="62" t="s">
        <v>1198</v>
      </c>
      <c r="AN5" s="1707" t="s">
        <v>1199</v>
      </c>
      <c r="AO5" s="1561" t="s">
        <v>1200</v>
      </c>
      <c r="AP5" s="1027" t="s">
        <v>1201</v>
      </c>
      <c r="AQ5" s="1708" t="s">
        <v>1202</v>
      </c>
      <c r="AR5" s="1708"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09" t="str">
        <f>'数据-汇总表'!C19</f>
        <v>工业</v>
      </c>
      <c r="B6" s="1710" t="str">
        <f>IF(A6=0,"","经营性")</f>
        <v>经营性</v>
      </c>
      <c r="C6" s="1711" t="s">
        <v>3</v>
      </c>
      <c r="D6" s="857">
        <f>SUMIF(项目基本情况!C$12:I$12,C6,项目基本情况!C$14:I$14)</f>
        <v>20</v>
      </c>
      <c r="E6" s="856">
        <f>IF(B6="","",SUMIF(项目基本情况!C$12:I$12,C6,项目基本情况!C$13:I$13))</f>
        <v>51226</v>
      </c>
      <c r="F6" s="64">
        <f>SUMIF(项目基本情况!C$12:I$12,C6,项目基本情况!C$15:I$15)</f>
        <v>15.07</v>
      </c>
      <c r="G6" s="65">
        <f>IF(ISERROR(ROUND(POWER(1+H6,D6-F6)*(POWER(1+H6,F6)-1)/(POWER(1+H6,D6)-1),3)),0,ROUND(POWER(1+H6,D6-F6)*(POWER(1+H6,F6)-1)/(POWER(1+H6,D6)-1),3))</f>
        <v>0.82799999999999996</v>
      </c>
      <c r="H6" s="732">
        <v>4.4999999999999998E-2</v>
      </c>
      <c r="I6" s="732">
        <v>5.5E-2</v>
      </c>
      <c r="J6" s="66">
        <v>7.0000000000000007E-2</v>
      </c>
      <c r="K6" s="1029">
        <f>SUMIF('数据-汇总表'!C$19:C$33,A6,'数据-汇总表'!E$19:E$33)</f>
        <v>38652.39</v>
      </c>
      <c r="L6" s="3481">
        <v>4700</v>
      </c>
      <c r="M6" s="67">
        <f t="shared" ref="M6:M14" si="0">ROUND(K6*L6/10000,0)</f>
        <v>18167</v>
      </c>
      <c r="N6" s="731">
        <v>0.99</v>
      </c>
      <c r="O6" s="67">
        <f>IF($N$5="成新度","——",ROUND(M6*N6,0))</f>
        <v>17985</v>
      </c>
      <c r="P6" s="68">
        <f>IF($N$5="成新度","——",M6-O6)</f>
        <v>182</v>
      </c>
      <c r="Q6" s="734">
        <v>0.12</v>
      </c>
      <c r="R6" s="69">
        <f ca="1">SUMIF('数据-汇总表'!C$19:C$33,A6,'数据-汇总表'!R$19:R$27)</f>
        <v>15535.59</v>
      </c>
      <c r="S6" s="51">
        <f>IF('数据-汇总表'!$I$17="按面积比例",SUMIF('数据-汇总表'!C$19:C$33,A6,'数据-汇总表'!K$19:K$33),SUMIF('数据-汇总表'!C$19:C$33,A6,'数据-汇总表'!N$19:N$33))</f>
        <v>2901.54</v>
      </c>
      <c r="T6" s="1171">
        <f>ROUND($L$14*S6/10000,0)</f>
        <v>1364</v>
      </c>
      <c r="U6" s="3480">
        <v>2</v>
      </c>
      <c r="V6" s="70">
        <v>0.02</v>
      </c>
      <c r="W6" s="70">
        <v>0.1</v>
      </c>
      <c r="X6" s="1039"/>
      <c r="Y6" s="71">
        <v>1</v>
      </c>
      <c r="Z6" s="72"/>
      <c r="AA6" s="66"/>
      <c r="AB6" s="66"/>
      <c r="AC6" s="1039"/>
      <c r="AD6" s="73"/>
      <c r="AE6" s="1040">
        <f ca="1">IF(AN6="",0,SUMIF(INDIRECT("'"&amp;AN6&amp;"'"&amp;"!E:E"),$AE$5,INDIRECT("'"&amp;AN6&amp;"'"&amp;"!F:F")))</f>
        <v>15.045</v>
      </c>
      <c r="AF6" s="1347"/>
      <c r="AG6" s="138">
        <f>IF(AF6="",0,AE6-AF6)</f>
        <v>0</v>
      </c>
      <c r="AH6" s="74"/>
      <c r="AI6" s="76">
        <v>365</v>
      </c>
      <c r="AJ6" s="77"/>
      <c r="AK6" s="78">
        <v>3.0000000000000001E-3</v>
      </c>
      <c r="AL6" s="79">
        <v>1E-3</v>
      </c>
      <c r="AM6" s="80">
        <v>5.0000000000000001E-3</v>
      </c>
      <c r="AN6" s="1712" t="s">
        <v>3445</v>
      </c>
      <c r="AO6" s="52">
        <f ca="1">SUMIF(INDIRECT("'"&amp;AN6&amp;"'"&amp;"!A:A"),"总价",INDIRECT("'"&amp;AN6&amp;"'"&amp;"!B:B"))</f>
        <v>29625</v>
      </c>
      <c r="AP6" s="1713">
        <f>IF(C6="住宅",K6*L6,0)</f>
        <v>0</v>
      </c>
      <c r="AQ6" s="52">
        <f>ROUND($L$14*$N$14*S6/10000,0)</f>
        <v>1350</v>
      </c>
      <c r="AR6" s="52">
        <f>ROUND($L$14*(1-$N$14)*S6/10000,0)</f>
        <v>14</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8" customFormat="1" ht="14.25">
      <c r="A7" s="1709" t="str">
        <f>'数据-汇总表'!C20</f>
        <v>仓储</v>
      </c>
      <c r="B7" s="1710" t="str">
        <f t="shared" ref="B7:B13" si="1">IF(A7=0,"","经营性")</f>
        <v>经营性</v>
      </c>
      <c r="C7" s="1711" t="s">
        <v>3333</v>
      </c>
      <c r="D7" s="857">
        <f>SUMIF(项目基本情况!C$12:I$12,C7,项目基本情况!C$14:I$14)</f>
        <v>20</v>
      </c>
      <c r="E7" s="856">
        <f>IF(B7="","",SUMIF(项目基本情况!C$12:I$12,C7,项目基本情况!C$13:I$13))</f>
        <v>51226</v>
      </c>
      <c r="F7" s="64">
        <f>SUMIF(项目基本情况!C$12:I$12,C7,项目基本情况!C$15:I$15)</f>
        <v>15.07</v>
      </c>
      <c r="G7" s="65">
        <f t="shared" ref="G7:G11" si="2">IF(ISERROR(ROUND(POWER(1+H7,D7-F7)*(POWER(1+H7,F7)-1)/(POWER(1+H7,D7)-1),3)),0,ROUND(POWER(1+H7,D7-F7)*(POWER(1+H7,F7)-1)/(POWER(1+H7,D7)-1),3))</f>
        <v>0.82799999999999996</v>
      </c>
      <c r="H7" s="732">
        <f>H6</f>
        <v>4.4999999999999998E-2</v>
      </c>
      <c r="I7" s="732">
        <f>I6</f>
        <v>5.5E-2</v>
      </c>
      <c r="J7" s="66">
        <f>J6</f>
        <v>7.0000000000000007E-2</v>
      </c>
      <c r="K7" s="1029">
        <f>SUMIF('数据-汇总表'!C$19:C$33,A7,'数据-汇总表'!E$19:E$33)</f>
        <v>1010.02</v>
      </c>
      <c r="L7" s="733">
        <f>L6</f>
        <v>4700</v>
      </c>
      <c r="M7" s="67">
        <f t="shared" si="0"/>
        <v>475</v>
      </c>
      <c r="N7" s="731">
        <f>N6</f>
        <v>0.99</v>
      </c>
      <c r="O7" s="67">
        <f t="shared" ref="O7:O14" si="3">IF($N$5="成新度","——",ROUND(M7*N7,0))</f>
        <v>470</v>
      </c>
      <c r="P7" s="68">
        <f t="shared" ref="P7:P14" si="4">IF($N$5="成新度","——",M7-O7)</f>
        <v>5</v>
      </c>
      <c r="Q7" s="734">
        <v>0.05</v>
      </c>
      <c r="R7" s="69">
        <f ca="1">SUMIF('数据-汇总表'!C$19:C$33,A7,'数据-汇总表'!R$19:R$27)</f>
        <v>405.96000000000004</v>
      </c>
      <c r="S7" s="51">
        <f>IF('数据-汇总表'!$I$17="按面积比例",SUMIF('数据-汇总表'!C$19:C$33,A7,'数据-汇总表'!K$19:K$33),SUMIF('数据-汇总表'!C$19:C$33,A7,'数据-汇总表'!N$19:N$33))</f>
        <v>75.819999999999993</v>
      </c>
      <c r="T7" s="1171">
        <f t="shared" ref="T7:T13" si="5">ROUND($L$14*S7/10000,0)</f>
        <v>36</v>
      </c>
      <c r="U7" s="3425">
        <v>0.8</v>
      </c>
      <c r="V7" s="70">
        <v>0.02</v>
      </c>
      <c r="W7" s="70">
        <v>0.1</v>
      </c>
      <c r="X7" s="1039"/>
      <c r="Y7" s="71">
        <v>1</v>
      </c>
      <c r="Z7" s="72"/>
      <c r="AA7" s="66"/>
      <c r="AB7" s="66"/>
      <c r="AC7" s="1039"/>
      <c r="AD7" s="73"/>
      <c r="AE7" s="1040">
        <f t="shared" ref="AE7:AE13" ca="1" si="6">IF(AN7="",0,SUMIF(INDIRECT("'"&amp;AN7&amp;"'"&amp;"!E:E"),$AE$5,INDIRECT("'"&amp;AN7&amp;"'"&amp;"!F:F")))</f>
        <v>15.045</v>
      </c>
      <c r="AF7" s="1347"/>
      <c r="AG7" s="138">
        <f t="shared" ref="AG7:AG13" si="7">IF(AF7="",0,AE7-AF7)</f>
        <v>0</v>
      </c>
      <c r="AH7" s="74"/>
      <c r="AI7" s="76">
        <v>365</v>
      </c>
      <c r="AJ7" s="77"/>
      <c r="AK7" s="78">
        <f>AK6</f>
        <v>3.0000000000000001E-3</v>
      </c>
      <c r="AL7" s="79">
        <f>AL6</f>
        <v>1E-3</v>
      </c>
      <c r="AM7" s="80">
        <f>AM6</f>
        <v>5.0000000000000001E-3</v>
      </c>
      <c r="AN7" s="1712" t="s">
        <v>3446</v>
      </c>
      <c r="AO7" s="52">
        <f t="shared" ref="AO7:AO13" ca="1" si="8">SUMIF(INDIRECT("'"&amp;AN7&amp;"'"&amp;"!A:A"),"总价",INDIRECT("'"&amp;AN7&amp;"'"&amp;"!B:B"))</f>
        <v>398</v>
      </c>
      <c r="AP7" s="1713">
        <f t="shared" ref="AP7:AP13" si="9">IF(C7="住宅",K7*L7,0)</f>
        <v>0</v>
      </c>
      <c r="AQ7" s="52">
        <f t="shared" ref="AQ7:AQ13" si="10">ROUND($L$14*$N$14*S7/10000,0)</f>
        <v>35</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8" customFormat="1" ht="14.25">
      <c r="A8" s="1709" t="str">
        <f>'数据-汇总表'!C21</f>
        <v>车库</v>
      </c>
      <c r="B8" s="1710" t="str">
        <f t="shared" si="1"/>
        <v>经营性</v>
      </c>
      <c r="C8" s="1711" t="s">
        <v>3332</v>
      </c>
      <c r="D8" s="857">
        <f>SUMIF(项目基本情况!C$12:I$12,C8,项目基本情况!C$14:I$14)</f>
        <v>20</v>
      </c>
      <c r="E8" s="856">
        <f>IF(B8="","",SUMIF(项目基本情况!C$12:I$12,C8,项目基本情况!C$13:I$13))</f>
        <v>51226</v>
      </c>
      <c r="F8" s="64">
        <f>SUMIF(项目基本情况!C$12:I$12,C8,项目基本情况!C$15:I$15)</f>
        <v>15.07</v>
      </c>
      <c r="G8" s="65">
        <f t="shared" si="2"/>
        <v>0.82799999999999996</v>
      </c>
      <c r="H8" s="732">
        <f>H6</f>
        <v>4.4999999999999998E-2</v>
      </c>
      <c r="I8" s="732">
        <f>I6</f>
        <v>5.5E-2</v>
      </c>
      <c r="J8" s="66">
        <f>J6</f>
        <v>7.0000000000000007E-2</v>
      </c>
      <c r="K8" s="1029">
        <f>SUMIF('数据-汇总表'!C$19:C$33,A8,'数据-汇总表'!E$19:E$33)</f>
        <v>5178.7700000000004</v>
      </c>
      <c r="L8" s="733">
        <f>L6</f>
        <v>4700</v>
      </c>
      <c r="M8" s="67">
        <f>ROUND(K8*L8/10000,0)</f>
        <v>2434</v>
      </c>
      <c r="N8" s="731">
        <f>N6</f>
        <v>0.99</v>
      </c>
      <c r="O8" s="67">
        <f t="shared" si="3"/>
        <v>2410</v>
      </c>
      <c r="P8" s="68">
        <f t="shared" si="4"/>
        <v>24</v>
      </c>
      <c r="Q8" s="734">
        <v>0.05</v>
      </c>
      <c r="R8" s="69">
        <f ca="1">SUMIF('数据-汇总表'!C$19:C$33,A8,'数据-汇总表'!R$19:R$27)</f>
        <v>2081.5</v>
      </c>
      <c r="S8" s="51">
        <f>IF('数据-汇总表'!$I$17="按面积比例",SUMIF('数据-汇总表'!C$19:C$33,A8,'数据-汇总表'!K$19:K$33),SUMIF('数据-汇总表'!C$19:C$33,A8,'数据-汇总表'!N$19:N$33))</f>
        <v>388.76</v>
      </c>
      <c r="T8" s="1171">
        <f t="shared" si="5"/>
        <v>183</v>
      </c>
      <c r="U8" s="3426">
        <v>300</v>
      </c>
      <c r="V8" s="735">
        <v>0.02</v>
      </c>
      <c r="W8" s="735">
        <v>0.1</v>
      </c>
      <c r="X8" s="1039"/>
      <c r="Y8" s="71">
        <v>1</v>
      </c>
      <c r="Z8" s="72"/>
      <c r="AA8" s="66"/>
      <c r="AB8" s="66"/>
      <c r="AC8" s="1039"/>
      <c r="AD8" s="73"/>
      <c r="AE8" s="1040">
        <f t="shared" ca="1" si="6"/>
        <v>15.045</v>
      </c>
      <c r="AF8" s="1347"/>
      <c r="AG8" s="138">
        <f t="shared" si="7"/>
        <v>0</v>
      </c>
      <c r="AH8" s="736">
        <f>ROUNDDOWN('数据-汇总表'!G21/40,0)</f>
        <v>129</v>
      </c>
      <c r="AI8" s="76">
        <v>12</v>
      </c>
      <c r="AJ8" s="77"/>
      <c r="AK8" s="737">
        <f>AK6</f>
        <v>3.0000000000000001E-3</v>
      </c>
      <c r="AL8" s="738">
        <f>AL6</f>
        <v>1E-3</v>
      </c>
      <c r="AM8" s="739">
        <f>AM6</f>
        <v>5.0000000000000001E-3</v>
      </c>
      <c r="AN8" s="1712" t="s">
        <v>3448</v>
      </c>
      <c r="AO8" s="52">
        <f t="shared" ca="1" si="8"/>
        <v>1104</v>
      </c>
      <c r="AP8" s="1713">
        <f t="shared" si="9"/>
        <v>0</v>
      </c>
      <c r="AQ8" s="52">
        <f t="shared" si="10"/>
        <v>181</v>
      </c>
      <c r="AR8" s="52">
        <f t="shared" si="11"/>
        <v>2</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8"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8"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8"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8"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8"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8" customFormat="1" ht="14.25">
      <c r="A14" s="1714" t="s">
        <v>1204</v>
      </c>
      <c r="B14" s="1710" t="s">
        <v>1205</v>
      </c>
      <c r="C14" s="1715" t="s">
        <v>1204</v>
      </c>
      <c r="D14" s="857"/>
      <c r="E14" s="856"/>
      <c r="F14" s="64"/>
      <c r="G14" s="65"/>
      <c r="H14" s="1028"/>
      <c r="I14" s="1028"/>
      <c r="J14" s="1028"/>
      <c r="K14" s="1029">
        <f>SUMIF('数据-汇总表'!C$19:C$33,A14,'数据-汇总表'!E$19:E$33)</f>
        <v>3366.12</v>
      </c>
      <c r="L14" s="82">
        <f>L6</f>
        <v>4700</v>
      </c>
      <c r="M14" s="67">
        <f t="shared" si="0"/>
        <v>1582</v>
      </c>
      <c r="N14" s="83">
        <f>N6</f>
        <v>0.99</v>
      </c>
      <c r="O14" s="67">
        <f t="shared" si="3"/>
        <v>1566</v>
      </c>
      <c r="P14" s="68">
        <f t="shared" si="4"/>
        <v>16</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8" customFormat="1" ht="27">
      <c r="A15" s="1714" t="s">
        <v>1206</v>
      </c>
      <c r="B15" s="1710" t="s">
        <v>1205</v>
      </c>
      <c r="C15" s="1715"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8" customFormat="1" ht="15.75" thickBot="1">
      <c r="A16" s="1716" t="s">
        <v>1208</v>
      </c>
      <c r="B16" s="88"/>
      <c r="C16" s="832"/>
      <c r="D16" s="1717"/>
      <c r="E16" s="88"/>
      <c r="F16" s="88"/>
      <c r="G16" s="89">
        <f>ROUND(SUMPRODUCT(G6:G13,K6:K13)/SUMPRODUCT((G6:G13&gt;0)*(K6:K13)),3)</f>
        <v>0.82799999999999996</v>
      </c>
      <c r="H16" s="90">
        <f>ROUND(SUMPRODUCT(H6:H13,K6:K13)/SUMPRODUCT((H6:H13&gt;0)*(K6:K13)),3)</f>
        <v>4.4999999999999998E-2</v>
      </c>
      <c r="I16" s="91"/>
      <c r="J16" s="91"/>
      <c r="K16" s="92">
        <f>SUM(K6:K15)</f>
        <v>48207.299999999996</v>
      </c>
      <c r="L16" s="93">
        <f>ROUND(M16*10000/SUM(K6:K14),0)</f>
        <v>4700</v>
      </c>
      <c r="M16" s="93">
        <f>SUM(M6:M14)</f>
        <v>22658</v>
      </c>
      <c r="N16" s="94">
        <f>ROUND(SUMPRODUCT(M6:M14,N6:N14)/M16,3)</f>
        <v>0.99</v>
      </c>
      <c r="O16" s="93">
        <f>SUM(O6:O14)</f>
        <v>22431</v>
      </c>
      <c r="P16" s="93">
        <f>SUM(P6:P14)</f>
        <v>227</v>
      </c>
      <c r="Q16" s="95">
        <f>ROUND(SUMPRODUCT(Q6:Q13,K6:K13)/SUMPRODUCT((Q6:Q13&gt;0)*(K6:K13)),2)</f>
        <v>0.11</v>
      </c>
      <c r="R16" s="1033">
        <f ca="1">SUM(R6:R13)</f>
        <v>18023.05</v>
      </c>
      <c r="S16" s="96">
        <f>SUM(S6:S13)</f>
        <v>3366.12</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v>0</v>
      </c>
      <c r="C19" s="2796" t="s">
        <v>2301</v>
      </c>
      <c r="D19" s="2673"/>
      <c r="E19" s="2670"/>
      <c r="F19" s="2670"/>
      <c r="G19" s="2670"/>
      <c r="H19" s="2670"/>
      <c r="I19" s="2670"/>
      <c r="J19" s="2670"/>
      <c r="K19" s="2669"/>
      <c r="L19" s="2669"/>
      <c r="M19" s="2668"/>
      <c r="N19" s="2668"/>
      <c r="O19" s="2668"/>
      <c r="P19" s="2668"/>
      <c r="Q19" s="2668"/>
      <c r="R19" s="2668"/>
      <c r="S19" s="3477" t="s">
        <v>3450</v>
      </c>
      <c r="T19" s="2668">
        <f>'数据-汇总表'!F19</f>
        <v>34807</v>
      </c>
      <c r="U19" s="2668">
        <v>2.1</v>
      </c>
      <c r="V19" s="2668">
        <f>U19*T19</f>
        <v>73094.7</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2.5</v>
      </c>
      <c r="C20" s="2797" t="s">
        <v>2299</v>
      </c>
      <c r="D20" s="2673"/>
      <c r="E20" s="2670"/>
      <c r="F20" s="2670"/>
      <c r="G20" s="2670"/>
      <c r="H20" s="2670"/>
      <c r="I20" s="2670"/>
      <c r="J20" s="2669"/>
      <c r="K20" s="3482"/>
      <c r="L20" s="3483"/>
      <c r="M20" s="3483"/>
      <c r="N20" s="3484"/>
      <c r="O20" s="2668"/>
      <c r="P20" s="2668"/>
      <c r="Q20" s="2668"/>
      <c r="R20" s="2668"/>
      <c r="S20" s="3477" t="s">
        <v>3451</v>
      </c>
      <c r="T20" s="2668">
        <f>'数据-汇总表'!G19</f>
        <v>3845.39</v>
      </c>
      <c r="U20" s="2668">
        <v>1.5</v>
      </c>
      <c r="V20" s="2668">
        <f>U20*T20</f>
        <v>5768.085</v>
      </c>
      <c r="W20" s="2668"/>
      <c r="X20" s="2668"/>
      <c r="Y20" s="2668"/>
      <c r="Z20" s="2668">
        <f>'数据-基础表'!K13+'数据-基础表'!K14+'数据-基础表'!K16+'数据-基础表'!K18+'数据-基础表'!AN15+'数据-基础表'!AN17</f>
        <v>3802.5199999999995</v>
      </c>
      <c r="AA20" s="2668">
        <v>2</v>
      </c>
      <c r="AB20" s="2668">
        <f>AA20*Z20</f>
        <v>7605.0399999999991</v>
      </c>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f>B20*N16</f>
        <v>2.4750000000000001</v>
      </c>
      <c r="C21" s="2670"/>
      <c r="D21" s="2673"/>
      <c r="E21" s="2670"/>
      <c r="F21" s="2670"/>
      <c r="G21" s="2670"/>
      <c r="H21" s="2670"/>
      <c r="I21" s="2670"/>
      <c r="J21" s="3485" t="s">
        <v>3460</v>
      </c>
      <c r="K21" s="3485" t="s">
        <v>3468</v>
      </c>
      <c r="L21" s="3501" t="s">
        <v>3469</v>
      </c>
      <c r="M21" s="3485" t="s">
        <v>3470</v>
      </c>
      <c r="N21" s="3483" t="s">
        <v>3461</v>
      </c>
      <c r="O21" s="2668"/>
      <c r="P21" s="2668"/>
      <c r="Q21" s="2668"/>
      <c r="R21" s="2668"/>
      <c r="S21" s="2668"/>
      <c r="T21" s="2668">
        <f>T19+T20</f>
        <v>38652.39</v>
      </c>
      <c r="U21" s="2668">
        <f>V21/T21</f>
        <v>2.0403081154878135</v>
      </c>
      <c r="V21" s="2668">
        <f>V19+V20</f>
        <v>78862.785000000003</v>
      </c>
      <c r="W21" s="2668"/>
      <c r="X21" s="2668"/>
      <c r="Y21" s="2668"/>
      <c r="Z21" s="2668">
        <f>'数据-基础表'!K19</f>
        <v>1295.6300000000001</v>
      </c>
      <c r="AA21" s="2668">
        <v>1.2</v>
      </c>
      <c r="AB21" s="2668">
        <f>AA21*Z21</f>
        <v>1554.7560000000001</v>
      </c>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2.5</v>
      </c>
      <c r="C22" s="2670"/>
      <c r="D22" s="2673"/>
      <c r="E22" s="2670"/>
      <c r="F22" s="2670"/>
      <c r="G22" s="2670"/>
      <c r="H22" s="2670"/>
      <c r="I22" s="2670"/>
      <c r="J22" s="3487" t="s">
        <v>3462</v>
      </c>
      <c r="K22" s="3488">
        <f>K23+K24</f>
        <v>44841.18</v>
      </c>
      <c r="L22" s="3489">
        <f>M22/K22</f>
        <v>2602.78877585291</v>
      </c>
      <c r="M22" s="3490">
        <f>M23+M24</f>
        <v>116712120</v>
      </c>
      <c r="N22" s="3491">
        <f>M22/M28</f>
        <v>0.52931452596715656</v>
      </c>
      <c r="O22" s="2668"/>
      <c r="P22" s="2668"/>
      <c r="Q22" s="2668"/>
      <c r="R22" s="2668"/>
      <c r="S22" s="2668"/>
      <c r="T22" s="2668"/>
      <c r="U22" s="2668"/>
      <c r="V22" s="2668"/>
      <c r="W22" s="2668"/>
      <c r="X22" s="2668"/>
      <c r="Y22" s="2668"/>
      <c r="Z22" s="1679">
        <f>T19</f>
        <v>34807</v>
      </c>
      <c r="AA22" s="1679">
        <v>2</v>
      </c>
      <c r="AB22" s="1679">
        <f>AA22*Z22</f>
        <v>69614</v>
      </c>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2.4750000000000001</v>
      </c>
      <c r="C23" s="2670"/>
      <c r="D23" s="2673"/>
      <c r="E23" s="2670"/>
      <c r="F23" s="2670"/>
      <c r="G23" s="2670"/>
      <c r="H23" s="2670"/>
      <c r="I23" s="2670"/>
      <c r="J23" s="3492" t="s">
        <v>3421</v>
      </c>
      <c r="K23" s="3493">
        <f>'数据-汇总表'!F19</f>
        <v>34807</v>
      </c>
      <c r="L23" s="3494">
        <v>2200</v>
      </c>
      <c r="M23" s="3494">
        <f>L23*K23</f>
        <v>76575400</v>
      </c>
      <c r="N23" s="3495">
        <f>M23/M22</f>
        <v>0.65610495293890647</v>
      </c>
      <c r="O23" s="2668"/>
      <c r="P23" s="2668"/>
      <c r="Q23" s="2668"/>
      <c r="R23" s="2668"/>
      <c r="S23" s="3477" t="s">
        <v>3456</v>
      </c>
      <c r="T23" s="2668">
        <f>'数据-汇总表'!G20</f>
        <v>1010.02</v>
      </c>
      <c r="U23" s="2672">
        <f>U7</f>
        <v>0.8</v>
      </c>
      <c r="V23" s="2668">
        <f>U23*T23</f>
        <v>808.01600000000008</v>
      </c>
      <c r="W23" s="2668"/>
      <c r="X23" s="2668"/>
      <c r="Y23" s="2668"/>
      <c r="Z23" s="1679">
        <f>Z20+Z21+Z22</f>
        <v>39905.15</v>
      </c>
      <c r="AA23" s="1679">
        <f>AB23/Z23</f>
        <v>1.9740258086988771</v>
      </c>
      <c r="AB23" s="1679">
        <f>AB20+AB21+AB22</f>
        <v>78773.796000000002</v>
      </c>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2.4999999999999911E-2</v>
      </c>
      <c r="C24" s="2670"/>
      <c r="D24" s="2673"/>
      <c r="E24" s="2670"/>
      <c r="F24" s="2670"/>
      <c r="G24" s="2670"/>
      <c r="H24" s="2670"/>
      <c r="I24" s="2670"/>
      <c r="J24" s="3492" t="s">
        <v>3422</v>
      </c>
      <c r="K24" s="3493">
        <f>'数据-汇总表'!G27</f>
        <v>10034.18</v>
      </c>
      <c r="L24" s="54">
        <v>4000</v>
      </c>
      <c r="M24" s="3494">
        <f t="shared" ref="M24:M27" si="12">L24*K24</f>
        <v>40136720</v>
      </c>
      <c r="N24" s="3495">
        <f>M24/M22</f>
        <v>0.34389504706109358</v>
      </c>
      <c r="O24" s="2668"/>
      <c r="P24" s="2668"/>
      <c r="Q24" s="2668"/>
      <c r="R24" s="2668"/>
      <c r="S24" s="3477" t="s">
        <v>3457</v>
      </c>
      <c r="T24" s="2668">
        <f>'数据-汇总表'!G21</f>
        <v>5178.7700000000004</v>
      </c>
      <c r="U24" s="2668">
        <v>0.25</v>
      </c>
      <c r="V24" s="2668">
        <f>U24*T24</f>
        <v>1294.6925000000001</v>
      </c>
      <c r="W24" s="2668"/>
      <c r="X24" s="2668">
        <f>U24*T24*30/AH8</f>
        <v>301.09127906976744</v>
      </c>
      <c r="Y24" s="2668"/>
      <c r="Z24" s="2668">
        <f>T21+'数据-基础表'!AN15+'数据-基础表'!AN17</f>
        <v>39905.15</v>
      </c>
      <c r="AA24" s="2668">
        <v>2</v>
      </c>
      <c r="AB24" s="2668">
        <f>AA24*Z24</f>
        <v>79810.3</v>
      </c>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4"/>
      <c r="C25" s="2670"/>
      <c r="D25" s="2673"/>
      <c r="E25" s="2670"/>
      <c r="F25" s="2670"/>
      <c r="G25" s="2670"/>
      <c r="H25" s="2670"/>
      <c r="I25" s="2670"/>
      <c r="J25" s="3487" t="s">
        <v>3463</v>
      </c>
      <c r="K25" s="3488">
        <f>K22</f>
        <v>44841.18</v>
      </c>
      <c r="L25" s="2420">
        <v>500</v>
      </c>
      <c r="M25" s="3494">
        <f t="shared" si="12"/>
        <v>22420590</v>
      </c>
      <c r="N25" s="3491">
        <f>M25/M28</f>
        <v>0.10168219005664511</v>
      </c>
      <c r="O25" s="2668"/>
      <c r="P25" s="2668"/>
      <c r="Q25" s="2668"/>
      <c r="R25" s="2668"/>
      <c r="S25" s="2668"/>
      <c r="T25" s="2668"/>
      <c r="U25" s="2668"/>
      <c r="V25" s="2668"/>
      <c r="W25" s="2668"/>
      <c r="X25" s="2668"/>
      <c r="Y25" s="2668"/>
      <c r="Z25" s="2668"/>
      <c r="AA25" s="2668">
        <f>AB24/T21</f>
        <v>2.0648218648316443</v>
      </c>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3487" t="s">
        <v>3464</v>
      </c>
      <c r="K26" s="3488">
        <f>K22</f>
        <v>44841.18</v>
      </c>
      <c r="L26" s="2420">
        <v>1200</v>
      </c>
      <c r="M26" s="3494">
        <f t="shared" si="12"/>
        <v>53809416</v>
      </c>
      <c r="N26" s="3491">
        <f>M26/M28</f>
        <v>0.24403725613594826</v>
      </c>
      <c r="O26" s="2668"/>
      <c r="P26" s="2668"/>
      <c r="Q26" s="2668"/>
      <c r="R26" s="2668"/>
      <c r="S26" s="3477" t="s">
        <v>3458</v>
      </c>
      <c r="T26" s="2668"/>
      <c r="U26" s="3504">
        <f>V26/T21</f>
        <v>2.0947085936988636</v>
      </c>
      <c r="V26" s="2668">
        <f>V21+V23+V24</f>
        <v>80965.493500000011</v>
      </c>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2303</v>
      </c>
      <c r="D27" s="2676"/>
      <c r="E27" s="2658"/>
      <c r="F27" s="2658"/>
      <c r="G27" s="2670"/>
      <c r="H27" s="2670"/>
      <c r="I27" s="2670"/>
      <c r="J27" s="3485" t="s">
        <v>3465</v>
      </c>
      <c r="K27" s="3490">
        <f>'数据-汇总表'!E30+'数据-基础表'!AT5</f>
        <v>6888.65</v>
      </c>
      <c r="L27" s="3489">
        <f>L24</f>
        <v>4000</v>
      </c>
      <c r="M27" s="3489">
        <f t="shared" si="12"/>
        <v>27554600</v>
      </c>
      <c r="N27" s="3496">
        <f>M27/M28</f>
        <v>0.12496602784025011</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1220</v>
      </c>
      <c r="B28" s="110">
        <v>190</v>
      </c>
      <c r="C28" s="2677"/>
      <c r="D28" s="2676"/>
      <c r="E28" s="2658"/>
      <c r="F28" s="2658"/>
      <c r="G28" s="2670"/>
      <c r="H28" s="2670"/>
      <c r="I28" s="2670"/>
      <c r="J28" s="3485" t="s">
        <v>3466</v>
      </c>
      <c r="K28" s="3497">
        <f>K22+K27</f>
        <v>51729.83</v>
      </c>
      <c r="L28" s="3498">
        <f>M28/K28</f>
        <v>4262.4676323119556</v>
      </c>
      <c r="M28" s="3486">
        <f>M22+M25+M26+M27</f>
        <v>220496726</v>
      </c>
      <c r="N28" s="3499">
        <f>N22+N25+N26+N27</f>
        <v>1</v>
      </c>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1221</v>
      </c>
      <c r="B29" s="112">
        <f ca="1">成本法!C10</f>
        <v>916</v>
      </c>
      <c r="C29" s="2799" t="s">
        <v>2293</v>
      </c>
      <c r="D29" s="2676"/>
      <c r="E29" s="2658"/>
      <c r="F29" s="2658"/>
      <c r="G29" s="2670"/>
      <c r="H29" s="2670"/>
      <c r="I29" s="2670"/>
      <c r="J29" s="3482" t="s">
        <v>3467</v>
      </c>
      <c r="K29" s="3500">
        <v>0.03</v>
      </c>
      <c r="L29" s="3484"/>
      <c r="M29" s="3484">
        <f>M28*K29</f>
        <v>6614901.7799999993</v>
      </c>
      <c r="N29" s="3484"/>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1222</v>
      </c>
      <c r="B30" s="671">
        <v>200</v>
      </c>
      <c r="C30" s="2677"/>
      <c r="D30" s="2676"/>
      <c r="E30" s="2658"/>
      <c r="F30" s="2658"/>
      <c r="G30" s="2670"/>
      <c r="H30" s="2670"/>
      <c r="I30" s="2670"/>
      <c r="J30" s="2670"/>
      <c r="K30" s="3503">
        <f>K16</f>
        <v>48207.299999999996</v>
      </c>
      <c r="L30" s="2669">
        <f>ROUND(M30/K30,0)</f>
        <v>4711</v>
      </c>
      <c r="M30" s="3502">
        <f>M28+M29</f>
        <v>227111627.78</v>
      </c>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1225</v>
      </c>
      <c r="B33" s="673">
        <v>0.05</v>
      </c>
      <c r="C33" s="2800" t="s">
        <v>3385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1226</v>
      </c>
      <c r="B34" s="113">
        <v>0</v>
      </c>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1228</v>
      </c>
      <c r="B36" s="114">
        <v>0.03</v>
      </c>
      <c r="C36" s="2800" t="s">
        <v>3403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0.03</v>
      </c>
      <c r="C37" s="2800" t="s">
        <v>3386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3387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0.05</v>
      </c>
      <c r="C44" s="2800" t="s">
        <v>3388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3"/>
  </cols>
  <sheetData>
    <row r="1" spans="1:29" s="2454" customFormat="1" ht="18.75" thickBot="1">
      <c r="A1" s="3592" t="s">
        <v>2285</v>
      </c>
      <c r="B1" s="3593"/>
      <c r="C1" s="3593"/>
      <c r="D1" s="3593"/>
      <c r="E1" s="3593"/>
      <c r="F1" s="3593"/>
      <c r="G1" s="359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8"/>
      <c r="I2" s="798"/>
      <c r="J2" s="798"/>
      <c r="K2" s="798"/>
      <c r="L2" s="798"/>
      <c r="M2" s="798"/>
      <c r="N2" s="798"/>
      <c r="O2" s="798"/>
      <c r="P2" s="798"/>
      <c r="Q2" s="798"/>
      <c r="R2" s="798"/>
    </row>
    <row r="3" spans="1:29" ht="48">
      <c r="A3" s="2438" t="s">
        <v>2282</v>
      </c>
      <c r="B3" s="2460" t="s">
        <v>2251</v>
      </c>
      <c r="C3" s="2461" t="s">
        <v>2283</v>
      </c>
      <c r="D3" s="2462"/>
      <c r="E3" s="2439" t="s">
        <v>2282</v>
      </c>
      <c r="F3" s="2463" t="s">
        <v>2252</v>
      </c>
      <c r="G3" s="2464" t="s">
        <v>2284</v>
      </c>
      <c r="H3" s="798"/>
      <c r="I3" s="798"/>
      <c r="J3" s="798"/>
      <c r="K3" s="798"/>
      <c r="L3" s="798"/>
      <c r="M3" s="798"/>
      <c r="N3" s="798"/>
      <c r="O3" s="798"/>
      <c r="P3" s="798"/>
      <c r="Q3" s="798"/>
      <c r="R3" s="798"/>
    </row>
    <row r="4" spans="1:29" ht="36.75">
      <c r="A4" s="2439"/>
      <c r="B4" s="323" t="s">
        <v>2253</v>
      </c>
      <c r="C4" s="2465" t="s">
        <v>2254</v>
      </c>
      <c r="D4" s="2462"/>
      <c r="E4" s="2466"/>
      <c r="F4" s="1372" t="s">
        <v>2255</v>
      </c>
      <c r="G4" s="2467" t="s">
        <v>2256</v>
      </c>
      <c r="H4" s="798"/>
      <c r="I4" s="798"/>
      <c r="J4" s="798"/>
      <c r="K4" s="798"/>
      <c r="L4" s="798"/>
      <c r="M4" s="798"/>
      <c r="N4" s="798"/>
      <c r="O4" s="798"/>
      <c r="P4" s="798"/>
      <c r="Q4" s="798"/>
      <c r="R4" s="798"/>
    </row>
    <row r="5" spans="1:29" ht="36.75">
      <c r="A5" s="2439"/>
      <c r="B5" s="323" t="s">
        <v>2257</v>
      </c>
      <c r="C5" s="2465" t="s">
        <v>2258</v>
      </c>
      <c r="D5" s="2462"/>
      <c r="E5" s="2466"/>
      <c r="F5" s="323" t="s">
        <v>2259</v>
      </c>
      <c r="G5" s="2467" t="s">
        <v>2260</v>
      </c>
      <c r="H5" s="798"/>
      <c r="I5" s="798"/>
      <c r="J5" s="798"/>
      <c r="K5" s="798"/>
      <c r="L5" s="798"/>
      <c r="M5" s="798"/>
      <c r="N5" s="798"/>
      <c r="O5" s="798"/>
      <c r="P5" s="798"/>
      <c r="Q5" s="798"/>
      <c r="R5" s="798"/>
    </row>
    <row r="6" spans="1:29" ht="36">
      <c r="A6" s="2439"/>
      <c r="B6" s="323" t="s">
        <v>2261</v>
      </c>
      <c r="C6" s="2467" t="s">
        <v>2256</v>
      </c>
      <c r="D6" s="2462"/>
      <c r="E6" s="2466"/>
      <c r="F6" s="323" t="s">
        <v>2262</v>
      </c>
      <c r="G6" s="2467" t="s">
        <v>2263</v>
      </c>
      <c r="H6" s="798"/>
      <c r="I6" s="798"/>
      <c r="J6" s="798"/>
      <c r="K6" s="798"/>
      <c r="L6" s="798"/>
      <c r="M6" s="798"/>
      <c r="N6" s="798"/>
      <c r="O6" s="798"/>
      <c r="P6" s="798"/>
      <c r="Q6" s="798"/>
      <c r="R6" s="798"/>
    </row>
    <row r="7" spans="1:29" ht="24.75" thickBot="1">
      <c r="A7" s="2439"/>
      <c r="B7" s="323" t="s">
        <v>2259</v>
      </c>
      <c r="C7" s="2467" t="s">
        <v>2260</v>
      </c>
      <c r="D7" s="2468"/>
      <c r="E7" s="2469"/>
      <c r="F7" s="2470" t="s">
        <v>2264</v>
      </c>
      <c r="G7" s="2471" t="s">
        <v>2265</v>
      </c>
      <c r="H7" s="798"/>
      <c r="I7" s="798"/>
      <c r="J7" s="798"/>
      <c r="K7" s="798"/>
      <c r="L7" s="798"/>
      <c r="M7" s="798"/>
      <c r="N7" s="798"/>
      <c r="O7" s="798"/>
      <c r="P7" s="798"/>
      <c r="Q7" s="798"/>
      <c r="R7" s="798"/>
    </row>
    <row r="8" spans="1:29">
      <c r="A8" s="2439"/>
      <c r="B8" s="323" t="s">
        <v>2262</v>
      </c>
      <c r="C8" s="2467" t="s">
        <v>2263</v>
      </c>
      <c r="D8" s="2468"/>
      <c r="E8" s="2468"/>
      <c r="F8" s="2472"/>
      <c r="G8" s="2472"/>
      <c r="H8" s="798"/>
      <c r="I8" s="798"/>
      <c r="J8" s="798"/>
      <c r="K8" s="798"/>
      <c r="L8" s="798"/>
      <c r="M8" s="798"/>
      <c r="N8" s="798"/>
      <c r="O8" s="798"/>
      <c r="P8" s="798"/>
      <c r="Q8" s="798"/>
      <c r="R8" s="798"/>
    </row>
    <row r="9" spans="1:29" ht="24">
      <c r="A9" s="2439"/>
      <c r="B9" s="323" t="s">
        <v>2266</v>
      </c>
      <c r="C9" s="2465" t="s">
        <v>2267</v>
      </c>
      <c r="D9" s="2462"/>
      <c r="E9" s="2468"/>
      <c r="F9" s="2472"/>
      <c r="G9" s="2472"/>
      <c r="H9" s="798"/>
      <c r="I9" s="798"/>
      <c r="J9" s="798"/>
      <c r="K9" s="798"/>
      <c r="L9" s="798"/>
      <c r="M9" s="798"/>
      <c r="N9" s="798"/>
      <c r="O9" s="798"/>
      <c r="P9" s="798"/>
      <c r="Q9" s="798"/>
      <c r="R9" s="798"/>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8" customFormat="1" ht="15" thickBot="1">
      <c r="A23" s="2443"/>
      <c r="B23" s="2499" t="s">
        <v>2277</v>
      </c>
      <c r="C23" s="2502"/>
      <c r="D23" s="1738"/>
      <c r="E23" s="2445"/>
      <c r="F23" s="2503" t="s">
        <v>2278</v>
      </c>
      <c r="G23" s="2504"/>
      <c r="H23" s="2488"/>
      <c r="I23" s="2489"/>
      <c r="J23" s="2488"/>
      <c r="K23" s="2488"/>
      <c r="L23" s="2489"/>
      <c r="M23" s="2488"/>
      <c r="N23" s="2488"/>
      <c r="O23" s="2489"/>
      <c r="P23" s="2488"/>
      <c r="Q23" s="2488"/>
      <c r="R23" s="2490"/>
    </row>
    <row r="24" spans="1:18" s="798" customFormat="1" ht="15" thickBot="1">
      <c r="A24" s="2446"/>
      <c r="B24" s="2503" t="s">
        <v>2279</v>
      </c>
      <c r="C24" s="2505">
        <f>C10</f>
        <v>0</v>
      </c>
      <c r="D24" s="1738"/>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29" sqref="F29"/>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48207.299999999996</v>
      </c>
      <c r="C1" s="2683"/>
      <c r="D1" s="2683"/>
      <c r="E1" s="2683"/>
      <c r="F1" s="2683"/>
      <c r="G1" s="2684"/>
      <c r="H1" s="2685"/>
      <c r="I1" s="2685"/>
      <c r="J1" s="2685"/>
      <c r="K1" s="2685"/>
    </row>
    <row r="2" spans="1:11" ht="16.5">
      <c r="A2" s="2509" t="s">
        <v>653</v>
      </c>
      <c r="B2" s="2509">
        <f>SUM(C14:C23)</f>
        <v>18023.05</v>
      </c>
      <c r="C2" s="2683"/>
      <c r="D2" s="2683"/>
      <c r="E2" s="2683"/>
      <c r="F2" s="2683"/>
      <c r="G2" s="2684"/>
      <c r="H2" s="2685"/>
      <c r="I2" s="2685"/>
      <c r="J2" s="2685"/>
      <c r="K2" s="2685"/>
    </row>
    <row r="3" spans="1:11" ht="16.5">
      <c r="A3" s="2509" t="s">
        <v>662</v>
      </c>
      <c r="B3" s="2511">
        <f>项目基本情况!D3</f>
        <v>45722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35274</v>
      </c>
      <c r="C5" s="2509">
        <f ca="1">IF(B5=D14,结果表!H102,ROUND(B5*10000/$B$1,0))</f>
        <v>7317</v>
      </c>
      <c r="D5" s="2509">
        <f ca="1">ROUND(B5*10000/$B$2,0)</f>
        <v>19572</v>
      </c>
      <c r="E5" s="2683"/>
      <c r="F5" s="2684"/>
      <c r="G5" s="2684"/>
      <c r="H5" s="2685"/>
      <c r="I5" s="2685"/>
      <c r="J5" s="2685"/>
      <c r="K5" s="2685"/>
    </row>
    <row r="6" spans="1:11" ht="16.5">
      <c r="A6" s="2509" t="s">
        <v>656</v>
      </c>
      <c r="B6" s="2509">
        <f ca="1">SUM(G14:G23)</f>
        <v>35274</v>
      </c>
      <c r="C6" s="2509">
        <f ca="1">IF(B6=G14,结果表!H108,ROUND(B6*10000/$B$1,0))</f>
        <v>7317</v>
      </c>
      <c r="D6" s="2509">
        <f ca="1">ROUND(B6*10000/$B$2,0)</f>
        <v>19572</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3355</v>
      </c>
      <c r="D10" s="2509" t="s">
        <v>3356</v>
      </c>
      <c r="E10" s="3438"/>
      <c r="F10" s="3442" t="s">
        <v>3357</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48207.299999999996</v>
      </c>
      <c r="C14" s="2515">
        <f>结果表!C118</f>
        <v>18023.05</v>
      </c>
      <c r="D14" s="2515">
        <f ca="1">结果表!H118</f>
        <v>35274</v>
      </c>
      <c r="E14" s="2515">
        <f ca="1">ROUND(D14*10000/B14,0)</f>
        <v>7317</v>
      </c>
      <c r="F14" s="2515">
        <f ca="1">ROUND(D14*10000/C14,0)</f>
        <v>19572</v>
      </c>
      <c r="G14" s="2515">
        <f ca="1">D14</f>
        <v>35274</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6.5">
      <c r="A16" s="2514" t="s">
        <v>648</v>
      </c>
      <c r="B16" s="2516"/>
      <c r="C16" s="2516"/>
      <c r="D16" s="2516"/>
      <c r="E16" s="2515" t="e">
        <f t="shared" si="0"/>
        <v>#DIV/0!</v>
      </c>
      <c r="F16" s="2515" t="e">
        <f t="shared" si="1"/>
        <v>#DIV/0!</v>
      </c>
      <c r="G16" s="1330"/>
      <c r="H16" s="1330"/>
      <c r="I16" s="2516"/>
      <c r="J16" s="2685"/>
      <c r="K16" s="2685"/>
    </row>
    <row r="17" spans="1:11" ht="16.5">
      <c r="A17" s="2514" t="s">
        <v>647</v>
      </c>
      <c r="B17" s="2516"/>
      <c r="C17" s="2516"/>
      <c r="D17" s="2516"/>
      <c r="E17" s="2515" t="e">
        <f t="shared" si="0"/>
        <v>#DIV/0!</v>
      </c>
      <c r="F17" s="2515" t="e">
        <f t="shared" si="1"/>
        <v>#DIV/0!</v>
      </c>
      <c r="G17" s="1330"/>
      <c r="H17" s="1330"/>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11" sqref="C111"/>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60"/>
      <c r="H1" s="1747" t="str">
        <f>IF(G1="现房","——","估价对象范围")</f>
        <v>估价对象范围</v>
      </c>
      <c r="I1" s="1748"/>
    </row>
    <row r="2" spans="1:12" ht="21.75" customHeight="1" thickBot="1">
      <c r="A2" s="3661" t="str">
        <f>项目基本情况!S2</f>
        <v>北京市房地产</v>
      </c>
      <c r="B2" s="3662"/>
      <c r="C2" s="3662"/>
      <c r="D2" s="3662"/>
      <c r="E2" s="3662"/>
      <c r="F2" s="3662"/>
      <c r="G2" s="3662"/>
      <c r="H2" s="3662"/>
      <c r="I2" s="3663"/>
    </row>
    <row r="3" spans="1:12" ht="12.75">
      <c r="A3" s="3665" t="s">
        <v>1263</v>
      </c>
      <c r="B3" s="3666"/>
      <c r="C3" s="3666"/>
      <c r="D3" s="3666"/>
      <c r="E3" s="3666"/>
      <c r="F3" s="3666"/>
      <c r="G3" s="3666"/>
      <c r="H3" s="3666"/>
      <c r="I3" s="3666"/>
    </row>
    <row r="4" spans="1:12" ht="14.25">
      <c r="A4" s="1751" t="s">
        <v>1264</v>
      </c>
      <c r="B4" s="1752" t="s">
        <v>1265</v>
      </c>
      <c r="C4" s="1753" t="s">
        <v>3423</v>
      </c>
      <c r="D4" s="1753" t="s">
        <v>3455</v>
      </c>
      <c r="E4" s="3670" t="s">
        <v>1266</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9" t="s">
        <v>1267</v>
      </c>
      <c r="B5" s="3664">
        <v>25</v>
      </c>
      <c r="C5" s="3667"/>
      <c r="D5" s="3655"/>
      <c r="E5" s="131" t="s">
        <v>1268</v>
      </c>
      <c r="F5" s="1754"/>
      <c r="G5" s="1754"/>
      <c r="H5" s="1754"/>
      <c r="I5" s="1372"/>
    </row>
    <row r="6" spans="1:12" ht="12.75">
      <c r="A6" s="3609"/>
      <c r="B6" s="3664"/>
      <c r="C6" s="3669"/>
      <c r="D6" s="3655"/>
      <c r="E6" s="131" t="s">
        <v>1269</v>
      </c>
      <c r="F6" s="1754"/>
      <c r="G6" s="1754"/>
      <c r="H6" s="1754"/>
      <c r="I6" s="1372"/>
    </row>
    <row r="7" spans="1:12" ht="12.75">
      <c r="A7" s="3609"/>
      <c r="B7" s="3664"/>
      <c r="C7" s="3668"/>
      <c r="D7" s="3655"/>
      <c r="E7" s="131" t="s">
        <v>1270</v>
      </c>
      <c r="F7" s="1754"/>
      <c r="G7" s="1754"/>
      <c r="H7" s="1754"/>
      <c r="I7" s="1372"/>
    </row>
    <row r="8" spans="1:12" ht="12.75">
      <c r="A8" s="3609" t="s">
        <v>1271</v>
      </c>
      <c r="B8" s="3664">
        <v>15</v>
      </c>
      <c r="C8" s="3667"/>
      <c r="D8" s="3655"/>
      <c r="E8" s="131" t="s">
        <v>1272</v>
      </c>
      <c r="F8" s="1754"/>
      <c r="G8" s="1754"/>
      <c r="H8" s="1754"/>
      <c r="I8" s="1372"/>
    </row>
    <row r="9" spans="1:12" ht="12.75">
      <c r="A9" s="3609"/>
      <c r="B9" s="3664"/>
      <c r="C9" s="3668"/>
      <c r="D9" s="3655"/>
      <c r="E9" s="131" t="s">
        <v>1273</v>
      </c>
      <c r="F9" s="1754"/>
      <c r="G9" s="1754"/>
      <c r="H9" s="1754"/>
      <c r="I9" s="1372"/>
    </row>
    <row r="10" spans="1:12" ht="12.75">
      <c r="A10" s="3609" t="s">
        <v>1274</v>
      </c>
      <c r="B10" s="3664">
        <v>15</v>
      </c>
      <c r="C10" s="3667"/>
      <c r="D10" s="3655"/>
      <c r="E10" s="131" t="s">
        <v>1275</v>
      </c>
      <c r="F10" s="1754"/>
      <c r="G10" s="1754"/>
      <c r="H10" s="1754"/>
      <c r="I10" s="1372"/>
    </row>
    <row r="11" spans="1:12" ht="12.75">
      <c r="A11" s="3609"/>
      <c r="B11" s="3664"/>
      <c r="C11" s="3668"/>
      <c r="D11" s="3655"/>
      <c r="E11" s="131" t="s">
        <v>1276</v>
      </c>
      <c r="F11" s="1754"/>
      <c r="G11" s="1754"/>
      <c r="H11" s="1754"/>
      <c r="I11" s="1372"/>
    </row>
    <row r="12" spans="1:12" ht="12.75">
      <c r="A12" s="3609" t="s">
        <v>1277</v>
      </c>
      <c r="B12" s="3664">
        <v>15</v>
      </c>
      <c r="C12" s="3667"/>
      <c r="D12" s="3655"/>
      <c r="E12" s="131" t="s">
        <v>1278</v>
      </c>
      <c r="F12" s="1754"/>
      <c r="G12" s="1754"/>
      <c r="H12" s="1754"/>
      <c r="I12" s="1372"/>
    </row>
    <row r="13" spans="1:12" ht="12.75">
      <c r="A13" s="3609"/>
      <c r="B13" s="3664"/>
      <c r="C13" s="3668"/>
      <c r="D13" s="3655"/>
      <c r="E13" s="131" t="s">
        <v>1279</v>
      </c>
      <c r="F13" s="1754"/>
      <c r="G13" s="1754"/>
      <c r="H13" s="1754"/>
      <c r="I13" s="1372"/>
    </row>
    <row r="14" spans="1:12" ht="12.75">
      <c r="A14" s="3609" t="s">
        <v>1280</v>
      </c>
      <c r="B14" s="3664">
        <v>30</v>
      </c>
      <c r="C14" s="3667">
        <v>6</v>
      </c>
      <c r="D14" s="3655">
        <v>4</v>
      </c>
      <c r="E14" s="131" t="s">
        <v>1281</v>
      </c>
      <c r="F14" s="1754"/>
      <c r="G14" s="1754"/>
      <c r="H14" s="1754"/>
      <c r="I14" s="1372"/>
    </row>
    <row r="15" spans="1:12" ht="12.75">
      <c r="A15" s="3609"/>
      <c r="B15" s="3664"/>
      <c r="C15" s="3669"/>
      <c r="D15" s="3655"/>
      <c r="E15" s="131" t="s">
        <v>1282</v>
      </c>
      <c r="F15" s="1754"/>
      <c r="G15" s="1754"/>
      <c r="H15" s="1754"/>
      <c r="I15" s="1372"/>
    </row>
    <row r="16" spans="1:12" ht="12.75">
      <c r="A16" s="3609"/>
      <c r="B16" s="3664"/>
      <c r="C16" s="3668"/>
      <c r="D16" s="3655"/>
      <c r="E16" s="131" t="s">
        <v>1283</v>
      </c>
      <c r="F16" s="1754"/>
      <c r="G16" s="1754"/>
      <c r="H16" s="1754"/>
      <c r="I16" s="1372"/>
    </row>
    <row r="17" spans="1:36" ht="15">
      <c r="A17" s="1755" t="s">
        <v>1284</v>
      </c>
      <c r="B17" s="56"/>
      <c r="C17" s="132">
        <f>SUM(C5:C16)</f>
        <v>6</v>
      </c>
      <c r="D17" s="132">
        <f>SUM(D5:D16)</f>
        <v>4</v>
      </c>
      <c r="E17" s="129"/>
      <c r="F17" s="129"/>
      <c r="G17" s="129"/>
      <c r="H17" s="129"/>
      <c r="I17" s="129"/>
      <c r="K17" s="302"/>
      <c r="L17" s="302" t="s">
        <v>1285</v>
      </c>
      <c r="M17" s="302" t="s">
        <v>1286</v>
      </c>
    </row>
    <row r="18" spans="1:36" ht="31.9" customHeight="1" thickBot="1">
      <c r="A18" s="1756" t="s">
        <v>1287</v>
      </c>
      <c r="B18" s="1757"/>
      <c r="C18" s="133">
        <f>ROUND(C17/SUM(C17:D17),2)</f>
        <v>0.6</v>
      </c>
      <c r="D18" s="133">
        <f>1-C18</f>
        <v>0.4</v>
      </c>
      <c r="E18" s="3686" t="s">
        <v>2130</v>
      </c>
      <c r="F18" s="3687"/>
      <c r="G18" s="3687"/>
      <c r="H18" s="3687"/>
      <c r="I18" s="3687"/>
      <c r="K18" s="302" t="s">
        <v>1288</v>
      </c>
      <c r="L18" s="302">
        <f>IF(C1="",'数据-汇总表'!E3,SUMIF(项目类型,C1,'数据-汇总表'!E17:E26)+SUMIF(项目类型,C1,'数据-汇总表'!I17:I26))</f>
        <v>48207.299999999996</v>
      </c>
      <c r="M18" s="302">
        <f>IF(C1="",'数据-汇总表'!E3,SUMIF(项目类型,C1,'数据-汇总表'!E17:E26))</f>
        <v>48207.299999999996</v>
      </c>
    </row>
    <row r="19" spans="1:36" ht="15">
      <c r="A19" s="1758" t="s">
        <v>1289</v>
      </c>
      <c r="B19" s="1759" t="s">
        <v>1290</v>
      </c>
      <c r="C19" s="134">
        <f ca="1">SUMIF(INDIRECT("'"&amp;C4&amp;"'"&amp;"!A:A"),结果表!B19,INDIRECT("'"&amp;C4&amp;"'"&amp;"!B:B"))</f>
        <v>39908</v>
      </c>
      <c r="D19" s="135">
        <f ca="1">SUMIF(INDIRECT("'"&amp;D4&amp;"'"&amp;"!A:A"),结果表!B19,INDIRECT("'"&amp;D4&amp;"'"&amp;"!B:B"))</f>
        <v>28323</v>
      </c>
      <c r="E19" s="1758" t="s">
        <v>1291</v>
      </c>
      <c r="F19" s="1759" t="s">
        <v>1290</v>
      </c>
      <c r="G19" s="136">
        <f ca="1">ROUND(C19*$C$18+D19*$D$18,0)</f>
        <v>35274</v>
      </c>
      <c r="H19" s="1760" t="s">
        <v>1292</v>
      </c>
      <c r="I19" s="129"/>
      <c r="K19" s="302" t="s">
        <v>1293</v>
      </c>
      <c r="L19" s="302">
        <f>IF(C1="",'数据-汇总表'!D3,SUMIF(项目类型,C1,'数据-汇总表'!D17:D26)+SUMIF(项目类型,C1,'数据-汇总表'!H17:H27))</f>
        <v>18023.05</v>
      </c>
      <c r="M19" s="302">
        <f>IF(C1="",'数据-汇总表'!D3,SUMIF(项目类型,C1,'数据-汇总表'!D17:D26))</f>
        <v>18023.05</v>
      </c>
    </row>
    <row r="20" spans="1:36" ht="15">
      <c r="A20" s="1761"/>
      <c r="B20" s="1025" t="s">
        <v>1294</v>
      </c>
      <c r="C20" s="137">
        <f ca="1">SUMIF(INDIRECT("'"&amp;C4&amp;"'"&amp;"!A:A"),结果表!B20,INDIRECT("'"&amp;C4&amp;"'"&amp;"!B:B"))</f>
        <v>8278</v>
      </c>
      <c r="D20" s="138">
        <f ca="1">SUMIF(INDIRECT("'"&amp;D4&amp;"'"&amp;"!A:A"),结果表!B20,INDIRECT("'"&amp;D4&amp;"'"&amp;"!B:B"))</f>
        <v>5875</v>
      </c>
      <c r="E20" s="1761"/>
      <c r="F20" s="1025" t="s">
        <v>1294</v>
      </c>
      <c r="G20" s="139">
        <f ca="1">ROUND(C20*$C$18+D20*$D$18,0)</f>
        <v>7317</v>
      </c>
      <c r="H20" s="807" t="s">
        <v>1295</v>
      </c>
      <c r="I20" s="129"/>
    </row>
    <row r="21" spans="1:36" ht="15" customHeight="1" thickBot="1">
      <c r="A21" s="827"/>
      <c r="B21" s="1762" t="s">
        <v>1296</v>
      </c>
      <c r="C21" s="719">
        <f ca="1">ROUND(C19*10000/L19,0)</f>
        <v>22143</v>
      </c>
      <c r="D21" s="720">
        <f ca="1">ROUND(D19*10000/L19,0)</f>
        <v>15715</v>
      </c>
      <c r="E21" s="827"/>
      <c r="F21" s="1762" t="s">
        <v>1296</v>
      </c>
      <c r="G21" s="140">
        <f ca="1">ROUND(G19*10000/L19,0)</f>
        <v>19572</v>
      </c>
      <c r="H21" s="1763" t="s">
        <v>1295</v>
      </c>
      <c r="I21" s="129"/>
    </row>
    <row r="22" spans="1:36" ht="15" thickBot="1">
      <c r="A22" s="1685" t="s">
        <v>1297</v>
      </c>
      <c r="B22" s="1764"/>
      <c r="C22" s="1765"/>
      <c r="D22" s="721">
        <f ca="1">IF(C19&lt;D19,D19/C19-1,C19/D19-1)</f>
        <v>0.40903152914592389</v>
      </c>
      <c r="E22" s="129"/>
      <c r="F22" s="129"/>
      <c r="G22" s="129"/>
      <c r="H22" s="129"/>
      <c r="I22" s="129"/>
    </row>
    <row r="23" spans="1:36" ht="13.5" thickBot="1">
      <c r="A23" s="1744"/>
      <c r="B23" s="1744"/>
      <c r="C23" s="1744"/>
      <c r="D23" s="1744"/>
      <c r="E23" s="129"/>
      <c r="F23" s="129"/>
      <c r="G23" s="129"/>
      <c r="H23" s="129"/>
      <c r="I23" s="129"/>
    </row>
    <row r="24" spans="1:36" ht="14.25">
      <c r="A24" s="3679" t="s">
        <v>1298</v>
      </c>
      <c r="B24" s="1759" t="s">
        <v>1290</v>
      </c>
      <c r="C24" s="136">
        <f>IF(B30=0,0,D30)</f>
        <v>0</v>
      </c>
      <c r="D24" s="1766"/>
      <c r="E24" s="129"/>
      <c r="F24" s="129"/>
      <c r="G24" s="129"/>
      <c r="H24" s="129"/>
      <c r="I24" s="129"/>
    </row>
    <row r="25" spans="1:36" ht="14.25">
      <c r="A25" s="3680"/>
      <c r="B25" s="1025"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35274</v>
      </c>
      <c r="D32" s="1772" t="s">
        <v>3452</v>
      </c>
      <c r="E32" s="129"/>
      <c r="F32" s="129"/>
      <c r="G32" s="129"/>
      <c r="H32" s="129"/>
      <c r="I32" s="129"/>
    </row>
    <row r="33" spans="1:15" ht="15">
      <c r="A33" s="785" t="s">
        <v>1305</v>
      </c>
      <c r="B33" s="1773"/>
      <c r="C33" s="1774" t="s">
        <v>3453</v>
      </c>
      <c r="D33" s="1775" t="s">
        <v>3423</v>
      </c>
      <c r="E33" s="1776" t="s">
        <v>1306</v>
      </c>
      <c r="F33" s="1777" t="str">
        <f>IF(D32="楼面单价","取值（单价）","取值（总价）")</f>
        <v>取值（总价）</v>
      </c>
      <c r="G33" s="129"/>
      <c r="H33" s="129"/>
      <c r="I33" s="129"/>
    </row>
    <row r="34" spans="1:15" ht="15">
      <c r="A34" s="1778"/>
      <c r="B34" s="1779" t="s">
        <v>1307</v>
      </c>
      <c r="C34" s="148">
        <f ca="1">IF(C33="自定义",F34,C32-C35)</f>
        <v>6808</v>
      </c>
      <c r="D34" s="860">
        <f ca="1">IF(C33="自定义",ROUND(C34/C32,3),IF(C33="收益比率",SUMIF(INDIRECT("'"&amp;D33&amp;"'"&amp;"!b:b"),"土地收益比率",INDIRECT("'"&amp;D33&amp;"'"&amp;"!c:c")),SUMIF(INDIRECT("'"&amp;D33&amp;"'"&amp;"!b:b"),"土地成本比率",INDIRECT("'"&amp;D33&amp;"'"&amp;"!c:c"))))</f>
        <v>0.19299999999999995</v>
      </c>
      <c r="E34" s="1780" t="s">
        <v>1308</v>
      </c>
      <c r="F34" s="1329"/>
      <c r="G34" s="129"/>
      <c r="H34" s="129"/>
      <c r="I34" s="129"/>
    </row>
    <row r="35" spans="1:15" ht="15.75" thickBot="1">
      <c r="A35" s="1781"/>
      <c r="B35" s="1782" t="s">
        <v>1309</v>
      </c>
      <c r="C35" s="1169">
        <f ca="1">IF(C33="自定义",F35,ROUND(C32*D35,0))</f>
        <v>28466</v>
      </c>
      <c r="D35" s="1170">
        <f ca="1">IF(C33="自定义",ROUND(C35/C32,3),IF(C33="收益比率",SUMIF(INDIRECT("'"&amp;D33&amp;"'"&amp;"!b:b"),"建筑物收益比率",INDIRECT("'"&amp;D33&amp;"'"&amp;"!c:c")),SUMIF(INDIRECT("'"&amp;D33&amp;"'"&amp;"!b:b"),"建筑物成本比率",INDIRECT("'"&amp;D33&amp;"'"&amp;"!c:c"))))</f>
        <v>0.80700000000000005</v>
      </c>
      <c r="E35" s="1783" t="s">
        <v>1310</v>
      </c>
      <c r="F35" s="154"/>
      <c r="G35" s="129"/>
      <c r="H35" s="129"/>
      <c r="I35" s="129"/>
    </row>
    <row r="36" spans="1:15" ht="15.75" thickBot="1">
      <c r="A36" s="3656" t="s">
        <v>1311</v>
      </c>
      <c r="B36" s="1784" t="s">
        <v>1312</v>
      </c>
      <c r="C36" s="145"/>
      <c r="D36" s="1785"/>
      <c r="E36" s="1786"/>
      <c r="F36" s="1787"/>
      <c r="G36" s="129"/>
      <c r="H36" s="129"/>
      <c r="I36" s="129"/>
    </row>
    <row r="37" spans="1:15" ht="15.75" thickBot="1">
      <c r="A37" s="3657"/>
      <c r="B37" s="1671" t="s">
        <v>1313</v>
      </c>
      <c r="C37" s="147"/>
      <c r="D37" s="1138"/>
      <c r="E37" s="1138"/>
      <c r="F37" s="1787"/>
      <c r="G37" s="129"/>
      <c r="H37" s="129"/>
      <c r="I37" s="129"/>
    </row>
    <row r="38" spans="1:15" ht="15.75" thickBot="1">
      <c r="A38" s="3658"/>
      <c r="B38" s="1788" t="s">
        <v>1314</v>
      </c>
      <c r="C38" s="674"/>
      <c r="D38" s="1789" t="s">
        <v>1315</v>
      </c>
      <c r="E38" s="1138"/>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6"/>
      <c r="B43" s="1576"/>
      <c r="C43" s="1576"/>
      <c r="D43" s="1576"/>
      <c r="E43" s="1576"/>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76" t="s">
        <v>1325</v>
      </c>
      <c r="B45" s="3677"/>
      <c r="C45" s="3678"/>
      <c r="D45" s="155">
        <f ca="1">ROUND(H101*F45,0)</f>
        <v>35274</v>
      </c>
      <c r="E45" s="156" t="s">
        <v>1326</v>
      </c>
      <c r="F45" s="157">
        <v>1</v>
      </c>
      <c r="G45" s="158" t="s">
        <v>1327</v>
      </c>
      <c r="H45" s="129"/>
      <c r="I45" s="129"/>
      <c r="J45" s="3596" t="s">
        <v>1328</v>
      </c>
      <c r="K45" s="3596"/>
      <c r="L45" s="3596"/>
      <c r="M45" s="3596"/>
      <c r="N45" s="3596"/>
      <c r="O45" s="3596"/>
    </row>
    <row r="46" spans="1:15" ht="14.25" customHeight="1">
      <c r="A46" s="3673" t="s">
        <v>1329</v>
      </c>
      <c r="B46" s="3674"/>
      <c r="C46" s="3674"/>
      <c r="D46" s="3674"/>
      <c r="E46" s="3674"/>
      <c r="F46" s="3674"/>
      <c r="G46" s="3675"/>
      <c r="H46" s="1803"/>
      <c r="I46" s="159"/>
      <c r="J46" s="2520">
        <v>1</v>
      </c>
      <c r="K46" s="3597" t="s">
        <v>1330</v>
      </c>
      <c r="L46" s="3597"/>
      <c r="M46" s="3598"/>
      <c r="N46" s="3598"/>
      <c r="O46" s="3598"/>
    </row>
    <row r="47" spans="1:15" ht="12" customHeight="1">
      <c r="A47" s="160" t="s">
        <v>1331</v>
      </c>
      <c r="B47" s="161"/>
      <c r="C47" s="162"/>
      <c r="D47" s="1086" t="s">
        <v>1332</v>
      </c>
      <c r="E47" s="302" t="s">
        <v>1333</v>
      </c>
      <c r="F47" s="163" t="s">
        <v>1334</v>
      </c>
      <c r="G47" s="2543" t="s">
        <v>1335</v>
      </c>
      <c r="H47" s="2544"/>
      <c r="I47" s="159"/>
      <c r="J47" s="2520">
        <v>2</v>
      </c>
      <c r="K47" s="3597" t="s">
        <v>1336</v>
      </c>
      <c r="L47" s="3597"/>
      <c r="M47" s="3599">
        <f>'数据-取费表'!B2</f>
        <v>45722</v>
      </c>
      <c r="N47" s="3599"/>
      <c r="O47" s="3599"/>
    </row>
    <row r="48" spans="1:15" ht="25.5">
      <c r="A48" s="3659" t="s">
        <v>1337</v>
      </c>
      <c r="B48" s="3660"/>
      <c r="C48" s="3660"/>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1338</v>
      </c>
      <c r="H48" s="2547"/>
      <c r="I48" s="1803"/>
      <c r="J48" s="2520">
        <v>3</v>
      </c>
      <c r="K48" s="3597" t="s">
        <v>1339</v>
      </c>
      <c r="L48" s="3597"/>
      <c r="M48" s="3600">
        <f ca="1">H101</f>
        <v>35274</v>
      </c>
      <c r="N48" s="3600"/>
      <c r="O48" s="3600"/>
    </row>
    <row r="49" spans="1:35" ht="25.5" customHeight="1">
      <c r="A49" s="2330" t="s">
        <v>1340</v>
      </c>
      <c r="B49" s="3645" t="s">
        <v>1341</v>
      </c>
      <c r="C49" s="3645"/>
      <c r="D49" s="1589">
        <v>0</v>
      </c>
      <c r="E49" s="324" t="s">
        <v>1342</v>
      </c>
      <c r="F49" s="2421" t="s">
        <v>28</v>
      </c>
      <c r="G49" s="3628"/>
      <c r="H49" s="2307" t="s">
        <v>2133</v>
      </c>
      <c r="I49" s="2308"/>
      <c r="J49" s="2520">
        <v>4</v>
      </c>
      <c r="K49" s="3597" t="str">
        <f>IF(项目基本情况!E8="房地产抵押价值","房地产抵押价值","抵押担保权已注销时的房地产抵押价值")</f>
        <v>房地产抵押价值</v>
      </c>
      <c r="L49" s="3597"/>
      <c r="M49" s="3600">
        <f ca="1">IF(项目基本情况!E8="房地产抵押价值",H107,H109)</f>
        <v>35274</v>
      </c>
      <c r="N49" s="3600"/>
      <c r="O49" s="3600"/>
    </row>
    <row r="50" spans="1:35" ht="25.5" customHeight="1">
      <c r="A50" s="2548"/>
      <c r="B50" s="3645" t="s">
        <v>1343</v>
      </c>
      <c r="C50" s="3645"/>
      <c r="D50" s="2549"/>
      <c r="E50" s="332"/>
      <c r="F50" s="2421"/>
      <c r="G50" s="3629"/>
      <c r="H50" s="2309" t="s">
        <v>2134</v>
      </c>
      <c r="I50" s="2308"/>
      <c r="J50" s="3596" t="s">
        <v>1344</v>
      </c>
      <c r="K50" s="3596"/>
      <c r="L50" s="3596"/>
      <c r="M50" s="3596"/>
      <c r="N50" s="3596"/>
      <c r="O50" s="3596"/>
    </row>
    <row r="51" spans="1:35" ht="20.45" customHeight="1">
      <c r="A51" s="2550"/>
      <c r="B51" s="3645" t="s">
        <v>1345</v>
      </c>
      <c r="C51" s="3645"/>
      <c r="D51" s="1086"/>
      <c r="E51" s="327"/>
      <c r="F51" s="2421"/>
      <c r="G51" s="3630"/>
      <c r="H51" s="2309" t="s">
        <v>2135</v>
      </c>
      <c r="I51" s="2308"/>
      <c r="J51" s="2521" t="s">
        <v>1346</v>
      </c>
      <c r="K51" s="3597" t="s">
        <v>1347</v>
      </c>
      <c r="L51" s="3597"/>
      <c r="M51" s="2521" t="s">
        <v>1348</v>
      </c>
      <c r="N51" s="2521" t="s">
        <v>1349</v>
      </c>
      <c r="O51" s="2521" t="s">
        <v>1350</v>
      </c>
    </row>
    <row r="52" spans="1:35" ht="24" customHeight="1">
      <c r="A52" s="2332" t="s">
        <v>1351</v>
      </c>
      <c r="B52" s="3645" t="s">
        <v>1352</v>
      </c>
      <c r="C52" s="3645"/>
      <c r="D52" s="1086">
        <f ca="1">ROUND(D45*'数据-取费表'!B41/(1+'数据-取费表'!C42),0)</f>
        <v>1848</v>
      </c>
      <c r="E52" s="2331" t="s">
        <v>1353</v>
      </c>
      <c r="F52" s="2551">
        <f>'数据-取费表'!B41</f>
        <v>5.5000000000000007E-2</v>
      </c>
      <c r="G52" s="2552"/>
      <c r="H52" s="2541"/>
      <c r="I52" s="1804"/>
      <c r="J52" s="2520">
        <v>1</v>
      </c>
      <c r="K52" s="3622" t="s">
        <v>1354</v>
      </c>
      <c r="L52" s="3622"/>
      <c r="M52" s="2522" t="b">
        <f>D48</f>
        <v>0</v>
      </c>
      <c r="N52" s="2520" t="str">
        <f>E48</f>
        <v>销售额×税（费）率</v>
      </c>
      <c r="O52" s="2523">
        <f>F48</f>
        <v>5.5000000000000007E-2</v>
      </c>
    </row>
    <row r="53" spans="1:35" ht="12" customHeight="1">
      <c r="A53" s="2332" t="s">
        <v>1355</v>
      </c>
      <c r="B53" s="3646" t="s">
        <v>2290</v>
      </c>
      <c r="C53" s="3647"/>
      <c r="D53" s="1086">
        <f ca="1">ROUND(D45*'数据-取费表'!B41/(1+'数据-取费表'!C42),0)</f>
        <v>1848</v>
      </c>
      <c r="E53" s="2331" t="s">
        <v>1353</v>
      </c>
      <c r="F53" s="2551">
        <f>'数据-取费表'!B41</f>
        <v>5.5000000000000007E-2</v>
      </c>
      <c r="G53" s="2552"/>
      <c r="H53" s="2541"/>
      <c r="I53" s="1804"/>
      <c r="J53" s="2520">
        <v>2</v>
      </c>
      <c r="K53" s="3622" t="s">
        <v>1356</v>
      </c>
      <c r="L53" s="3622"/>
      <c r="M53" s="2522">
        <f t="shared" ref="M53:O54" ca="1" si="0">D55</f>
        <v>18</v>
      </c>
      <c r="N53" s="2520" t="str">
        <f t="shared" si="0"/>
        <v>销售额×税（费）率</v>
      </c>
      <c r="O53" s="2523" t="str">
        <f t="shared" si="0"/>
        <v>免征</v>
      </c>
    </row>
    <row r="54" spans="1:35" ht="12" customHeight="1">
      <c r="A54" s="2332" t="s">
        <v>1357</v>
      </c>
      <c r="B54" s="3646" t="s">
        <v>2291</v>
      </c>
      <c r="C54" s="3647"/>
      <c r="D54" s="1086">
        <f ca="1">C68</f>
        <v>1848</v>
      </c>
      <c r="E54" s="327" t="s">
        <v>1358</v>
      </c>
      <c r="F54" s="2551">
        <f>'数据-取费表'!B41</f>
        <v>5.5000000000000007E-2</v>
      </c>
      <c r="G54" s="2552"/>
      <c r="H54" s="2553"/>
      <c r="I54" s="1804"/>
      <c r="J54" s="2520">
        <v>3</v>
      </c>
      <c r="K54" s="3622" t="s">
        <v>1359</v>
      </c>
      <c r="L54" s="3622"/>
      <c r="M54" s="2522">
        <f t="shared" ca="1" si="0"/>
        <v>19997</v>
      </c>
      <c r="N54" s="2520" t="str">
        <f t="shared" si="0"/>
        <v>增值额×税（费）率</v>
      </c>
      <c r="O54" s="2524" t="str">
        <f t="shared" si="0"/>
        <v>免征</v>
      </c>
    </row>
    <row r="55" spans="1:35" ht="24" customHeight="1">
      <c r="A55" s="3682" t="s">
        <v>1360</v>
      </c>
      <c r="B55" s="3660"/>
      <c r="C55" s="3660"/>
      <c r="D55" s="2321">
        <f ca="1">IF(H55="个人住宅",0,ROUND(D45*I55,0))</f>
        <v>18</v>
      </c>
      <c r="E55" s="2331" t="s">
        <v>1361</v>
      </c>
      <c r="F55" s="2551" t="str">
        <f>IF(H55="正常",I55,"免征")</f>
        <v>免征</v>
      </c>
      <c r="G55" s="2552"/>
      <c r="H55" s="2547"/>
      <c r="I55" s="165">
        <f>'数据-取费表'!B49</f>
        <v>5.0000000000000001E-4</v>
      </c>
      <c r="J55" s="2520">
        <f>IF(H59="非个人房产","",4)</f>
        <v>4</v>
      </c>
      <c r="K55" s="3622" t="str">
        <f>IF(H59="非个人房产","——","个人所得税")</f>
        <v>个人所得税</v>
      </c>
      <c r="L55" s="3622"/>
      <c r="M55" s="2525">
        <f ca="1">D59</f>
        <v>336</v>
      </c>
      <c r="N55" s="2037" t="str">
        <f>E59</f>
        <v>差额计税</v>
      </c>
      <c r="O55" s="2526">
        <f>F59</f>
        <v>0.01</v>
      </c>
    </row>
    <row r="56" spans="1:35" ht="24.75">
      <c r="A56" s="3682" t="s">
        <v>1362</v>
      </c>
      <c r="B56" s="3660"/>
      <c r="C56" s="3660"/>
      <c r="D56" s="2321">
        <f ca="1">IF(H56="个人住宅",D57,D58)</f>
        <v>19997</v>
      </c>
      <c r="E56" s="2331" t="s">
        <v>1363</v>
      </c>
      <c r="F56" s="2551" t="str">
        <f>IF(H56="正常",F58,"免征")</f>
        <v>免征</v>
      </c>
      <c r="G56" s="2554" t="s">
        <v>1364</v>
      </c>
      <c r="H56" s="2555"/>
      <c r="I56" s="1805"/>
      <c r="J56" s="2520" t="str">
        <f>IF(项目基本情况!K6="上海银行",IF(J55="",4,J55+1),"")</f>
        <v/>
      </c>
      <c r="K56" s="3603" t="str">
        <f>IF(项目基本情况!K6="上海银行","其他处置费用","")</f>
        <v/>
      </c>
      <c r="L56" s="3604"/>
      <c r="M56" s="2522" t="str">
        <f>IF(项目基本情况!K6="上海银行",M69,"")</f>
        <v/>
      </c>
      <c r="N56" s="3603" t="str">
        <f>IF(项目基本情况!K6="上海银行","包含处置中涉及的律师、诉讼、拍卖、评估等费用","")</f>
        <v/>
      </c>
      <c r="O56" s="3606"/>
    </row>
    <row r="57" spans="1:35" ht="12.75">
      <c r="A57" s="2332" t="s">
        <v>1340</v>
      </c>
      <c r="B57" s="3646" t="s">
        <v>1365</v>
      </c>
      <c r="C57" s="3647"/>
      <c r="D57" s="1589">
        <v>0</v>
      </c>
      <c r="E57" s="324" t="s">
        <v>1342</v>
      </c>
      <c r="F57" s="302"/>
      <c r="G57" s="2552"/>
      <c r="H57" s="2556"/>
      <c r="I57" s="1805"/>
      <c r="J57" s="3622">
        <f>IF(AND(J55="",J56=""),4,IF(项目基本情况!K6="上海银行",结果表!J56+1,结果表!J55+1))</f>
        <v>5</v>
      </c>
      <c r="K57" s="3622" t="s">
        <v>1366</v>
      </c>
      <c r="L57" s="2527" t="s">
        <v>1367</v>
      </c>
      <c r="M57" s="2528"/>
      <c r="N57" s="2529">
        <f ca="1">SUMIF(M52:M56,"&lt;9e307")</f>
        <v>20351</v>
      </c>
      <c r="O57" s="2530"/>
      <c r="P57" s="2687">
        <f ca="1">N57/M49</f>
        <v>0.57694052276464247</v>
      </c>
    </row>
    <row r="58" spans="1:35" ht="24.75">
      <c r="A58" s="2332" t="s">
        <v>1351</v>
      </c>
      <c r="B58" s="3646" t="s">
        <v>1368</v>
      </c>
      <c r="C58" s="3645"/>
      <c r="D58" s="2321">
        <f ca="1">IF(H58="转让取得",C81,C97)</f>
        <v>19997</v>
      </c>
      <c r="E58" s="2331" t="s">
        <v>1363</v>
      </c>
      <c r="F58" s="302" t="s">
        <v>28</v>
      </c>
      <c r="G58" s="2552"/>
      <c r="H58" s="2555"/>
      <c r="I58" s="1805"/>
      <c r="J58" s="3622"/>
      <c r="K58" s="3622"/>
      <c r="L58" s="2527" t="s">
        <v>1369</v>
      </c>
      <c r="M58" s="2531"/>
      <c r="N58" s="2532" t="str">
        <f ca="1">NUMBERSTRING(INT(N57*10000),2)&amp;"元整"</f>
        <v>贰亿零叁佰伍拾壹万元整</v>
      </c>
      <c r="O58" s="2533"/>
    </row>
    <row r="59" spans="1:35" ht="24.75" thickBot="1">
      <c r="A59" s="3626" t="s">
        <v>1370</v>
      </c>
      <c r="B59" s="3627"/>
      <c r="C59" s="3627"/>
      <c r="D59" s="2557">
        <f ca="1">IF(H59="非个人房产","——",IF(H59="个人住宅（满五唯一有凭证）",0,IF(H59="个人其他（无凭证）",ROUND(D45*F59,0),ROUND(C67*F59,0))))</f>
        <v>336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624">
        <f>J57+1</f>
        <v>6</v>
      </c>
      <c r="K59" s="3622" t="s">
        <v>1371</v>
      </c>
      <c r="L59" s="2520" t="s">
        <v>1367</v>
      </c>
      <c r="M59" s="2534"/>
      <c r="N59" s="2535">
        <f ca="1">M49-N57</f>
        <v>14923</v>
      </c>
      <c r="O59" s="2536"/>
    </row>
    <row r="60" spans="1:35" ht="12" customHeight="1">
      <c r="A60" s="1806"/>
      <c r="B60" s="1744"/>
      <c r="C60" s="1744"/>
      <c r="D60" s="1744"/>
      <c r="E60" s="1577"/>
      <c r="F60" s="1805"/>
      <c r="G60" s="1805"/>
      <c r="H60" s="1807"/>
      <c r="I60" s="129"/>
      <c r="J60" s="3625"/>
      <c r="K60" s="3622"/>
      <c r="L60" s="2527" t="s">
        <v>1369</v>
      </c>
      <c r="M60" s="2531"/>
      <c r="N60" s="2532" t="str">
        <f ca="1">NUMBERSTRING(INT(N59*10000),2)&amp;"元整"</f>
        <v>壹亿肆仟玖佰贰拾叁万元整</v>
      </c>
      <c r="O60" s="2533"/>
    </row>
    <row r="61" spans="1:35" ht="13.5" thickBot="1">
      <c r="A61" s="3681" t="s">
        <v>1372</v>
      </c>
      <c r="B61" s="3681"/>
      <c r="C61" s="3681"/>
      <c r="D61" s="3681"/>
      <c r="E61" s="3681"/>
      <c r="F61" s="1805"/>
      <c r="G61" s="1805"/>
      <c r="H61" s="1807"/>
      <c r="I61" s="129"/>
      <c r="J61" s="2520">
        <f>J59+1</f>
        <v>7</v>
      </c>
      <c r="K61" s="3622" t="s">
        <v>1373</v>
      </c>
      <c r="L61" s="3622"/>
      <c r="M61" s="2537"/>
      <c r="N61" s="2538">
        <f ca="1">ROUND(N59*10000/'数据-汇总表'!E3,0)</f>
        <v>3096</v>
      </c>
      <c r="O61" s="2539"/>
    </row>
    <row r="62" spans="1:35" ht="12.75">
      <c r="A62" s="3641" t="s">
        <v>1374</v>
      </c>
      <c r="B62" s="3642"/>
      <c r="C62" s="2018"/>
      <c r="D62" s="2018" t="s">
        <v>1375</v>
      </c>
      <c r="E62" s="166" t="s">
        <v>1376</v>
      </c>
      <c r="F62" s="1805"/>
      <c r="G62" s="1805"/>
      <c r="H62" s="1807"/>
      <c r="I62" s="129"/>
    </row>
    <row r="63" spans="1:35" ht="12.75">
      <c r="A63" s="173" t="s">
        <v>330</v>
      </c>
      <c r="B63" s="167" t="s">
        <v>1377</v>
      </c>
      <c r="C63" s="2561">
        <f ca="1">ROUND((C64+C65)/(1+'数据-取费表'!C42),0)</f>
        <v>33594</v>
      </c>
      <c r="D63" s="167"/>
      <c r="E63" s="168"/>
      <c r="F63" s="1805"/>
      <c r="G63" s="1805"/>
      <c r="H63" s="1807"/>
      <c r="I63" s="129"/>
      <c r="J63" s="3605" t="s">
        <v>1378</v>
      </c>
      <c r="K63" s="1331" t="s">
        <v>1379</v>
      </c>
      <c r="L63" s="1331">
        <f ca="1">IF(M49&gt;10000,M49*0.5%,IF(AND(M49&gt;1000,M49&lt;=10000),M49*1%,IF(AND(M49&gt;100,M49&lt;=1000),M49*3%,IF(AND(M49&gt;10,M49&lt;=100),M49*5%,M49*8%))))</f>
        <v>176.37</v>
      </c>
      <c r="M63" s="302">
        <f ca="1">ROUND(L63,1)</f>
        <v>176.4</v>
      </c>
      <c r="N63" s="2540"/>
      <c r="Z63" s="1749"/>
      <c r="AI63" s="1750"/>
    </row>
    <row r="64" spans="1:35" ht="14.25" customHeight="1">
      <c r="A64" s="169" t="s">
        <v>325</v>
      </c>
      <c r="B64" s="170" t="s">
        <v>1380</v>
      </c>
      <c r="C64" s="2562">
        <f ca="1">D45</f>
        <v>35274</v>
      </c>
      <c r="D64" s="170" t="s">
        <v>26</v>
      </c>
      <c r="E64" s="172"/>
      <c r="F64" s="1805"/>
      <c r="G64" s="1805"/>
      <c r="H64" s="1807"/>
      <c r="I64" s="129"/>
      <c r="J64" s="3605"/>
      <c r="K64" s="1331" t="s">
        <v>1381</v>
      </c>
      <c r="L64" s="1331">
        <f ca="1">IF(M49&gt;2000,M49*0.5%,IF(AND(M49&gt;1000,M49&lt;=2000),M49*0.6%,IF(AND(M49&gt;500,M49&lt;=1000),M49*0.7%,IF(AND(M49&gt;200,M49&lt;=500),M49*0.8%,IF(AND(M49&gt;100,M49&lt;=200),M49*0.9%,IF(AND(M49&gt;50,M49&lt;=100),M49*1%,IF(AND(M49&gt;20,M49&lt;=50),M49*1.5%,IF(AND(M49&gt;10,M49&lt;=20),M49*2%,IF(AND(M49&gt;1,M49&lt;=10),M49*2.5%)))))))))</f>
        <v>176.37</v>
      </c>
      <c r="M64" s="302">
        <f t="shared" ref="M64:M65" ca="1" si="1">ROUND(L64,1)</f>
        <v>176.4</v>
      </c>
      <c r="N64" s="2541" t="s">
        <v>1382</v>
      </c>
      <c r="Z64" s="1749"/>
      <c r="AI64" s="1750"/>
    </row>
    <row r="65" spans="1:35" ht="14.25" customHeight="1">
      <c r="A65" s="169" t="s">
        <v>326</v>
      </c>
      <c r="B65" s="170" t="s">
        <v>1383</v>
      </c>
      <c r="C65" s="2563"/>
      <c r="D65" s="170"/>
      <c r="E65" s="172"/>
      <c r="F65" s="1805"/>
      <c r="G65" s="1805"/>
      <c r="H65" s="1807"/>
      <c r="I65" s="129"/>
      <c r="J65" s="3605"/>
      <c r="K65" s="1331" t="s">
        <v>1384</v>
      </c>
      <c r="L65" s="1331">
        <f ca="1">IF(M49&gt;1000,M49*0.1%,IF(AND(M49&gt;500,M49&lt;=1000),M49*0.5%,IF(AND(M49&gt;50,M49&lt;=500),M49*1%,IF(AND(M49&gt;1,M49&lt;=50),M49*1.5%))))</f>
        <v>35.274000000000001</v>
      </c>
      <c r="M65" s="302">
        <f t="shared" ca="1" si="1"/>
        <v>35.299999999999997</v>
      </c>
      <c r="N65" s="2541" t="s">
        <v>1382</v>
      </c>
      <c r="Z65" s="1749"/>
      <c r="AI65" s="1750"/>
    </row>
    <row r="66" spans="1:35" ht="14.25" customHeight="1">
      <c r="A66" s="173" t="s">
        <v>327</v>
      </c>
      <c r="B66" s="174" t="s">
        <v>1385</v>
      </c>
      <c r="C66" s="2564"/>
      <c r="D66" s="174" t="s">
        <v>26</v>
      </c>
      <c r="E66" s="1337" t="s">
        <v>671</v>
      </c>
      <c r="F66" s="1805"/>
      <c r="G66" s="1805"/>
      <c r="H66" s="1807"/>
      <c r="I66" s="129"/>
      <c r="J66" s="3605"/>
      <c r="K66" s="1331" t="s">
        <v>1386</v>
      </c>
      <c r="L66" s="1331">
        <f ca="1">M49*0.5%</f>
        <v>176.37</v>
      </c>
      <c r="M66" s="302">
        <f ca="1">IF(L66&gt;0.5,0.5,ROUND(L66,0))</f>
        <v>0.5</v>
      </c>
      <c r="N66" s="2541" t="s">
        <v>1387</v>
      </c>
      <c r="Z66" s="1749"/>
      <c r="AI66" s="1750"/>
    </row>
    <row r="67" spans="1:35" ht="14.25" customHeight="1">
      <c r="A67" s="173" t="s">
        <v>328</v>
      </c>
      <c r="B67" s="174" t="s">
        <v>1388</v>
      </c>
      <c r="C67" s="2565">
        <f ca="1">C63-C66</f>
        <v>33594</v>
      </c>
      <c r="D67" s="170" t="s">
        <v>26</v>
      </c>
      <c r="E67" s="172"/>
      <c r="F67" s="1805"/>
      <c r="G67" s="1805"/>
      <c r="H67" s="1807"/>
      <c r="I67" s="129"/>
      <c r="J67" s="3605"/>
      <c r="K67" s="1331" t="s">
        <v>1389</v>
      </c>
      <c r="L67" s="1331">
        <f ca="1">IF(M49&gt;=10000,(8.25+(M49-10000)*0.01%),IF(AND(M49&gt;=8000,M49&lt;10000),(7.85+(M49-8000)*0.02%),IF(AND(M49&gt;=5000,M49&lt;8000),(6.65+(M49-5000)*0.04%),IF(AND(M49&gt;=2000,M49&lt;5000),(4.25+(PM49-2000)*0.08%),IF(AND(M49&gt;=1000,M49&lt;2000),(2.75+(M49-1000)*0.15%),IF(AND(M49&gt;=100,M49&lt;1000),(0.5+(M49-100)*0.25%),IF(AND(M49&gt;0,M49&lt;100),M49*0.5%)))))))</f>
        <v>10.7774</v>
      </c>
      <c r="M67" s="302">
        <f ca="1">ROUND(L67*0.9,1)</f>
        <v>9.6999999999999993</v>
      </c>
      <c r="N67" s="2540"/>
      <c r="Z67" s="1749"/>
      <c r="AI67" s="1750"/>
    </row>
    <row r="68" spans="1:35" ht="14.25" customHeight="1" thickBot="1">
      <c r="A68" s="176" t="s">
        <v>329</v>
      </c>
      <c r="B68" s="177" t="s">
        <v>1390</v>
      </c>
      <c r="C68" s="2566">
        <f ca="1">IF(C67&lt;=0,0,ROUND(C67*D68,0))</f>
        <v>1848</v>
      </c>
      <c r="D68" s="2567">
        <f>'数据-取费表'!B41</f>
        <v>5.5000000000000007E-2</v>
      </c>
      <c r="E68" s="178"/>
      <c r="F68" s="1805"/>
      <c r="G68" s="1805"/>
      <c r="H68" s="1807"/>
      <c r="I68" s="129"/>
      <c r="J68" s="3605"/>
      <c r="K68" s="1331" t="s">
        <v>1391</v>
      </c>
      <c r="L68" s="1331">
        <f ca="1">IF(M49&gt;10000,M49*0.5%,IF(AND(M49&gt;5000,M49&lt;=10000),M49*1%,IF(AND(M49&gt;1000,M49&lt;=5000),M49*2%,IF(AND(M49&gt;200,M49&lt;=1000),M49*3%,M49*5%))))</f>
        <v>176.37</v>
      </c>
      <c r="M68" s="302">
        <f ca="1">ROUND(L68,1)</f>
        <v>176.4</v>
      </c>
      <c r="N68" s="2540"/>
      <c r="Z68" s="1749"/>
      <c r="AI68" s="1750"/>
    </row>
    <row r="69" spans="1:35" s="1769" customFormat="1" ht="16.5" customHeight="1">
      <c r="A69" s="1808"/>
      <c r="B69" s="1809"/>
      <c r="C69" s="1810"/>
      <c r="D69" s="1811"/>
      <c r="E69" s="1812"/>
      <c r="F69" s="1577"/>
      <c r="G69" s="1577"/>
      <c r="H69" s="1576"/>
      <c r="I69" s="1744"/>
      <c r="J69" s="3605"/>
      <c r="K69" s="1331" t="s">
        <v>1392</v>
      </c>
      <c r="L69" s="1331"/>
      <c r="M69" s="302">
        <f ca="1">ROUND(SUM(M63:M68),0)</f>
        <v>575</v>
      </c>
      <c r="N69" s="2542">
        <f ca="1">M69/M49</f>
        <v>1.630095821284799E-2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49" t="s">
        <v>1393</v>
      </c>
      <c r="B70" s="3650"/>
      <c r="C70" s="3650"/>
      <c r="D70" s="3650"/>
      <c r="E70" s="3650"/>
      <c r="F70" s="3650"/>
      <c r="G70" s="3650"/>
      <c r="H70" s="3650"/>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41" t="s">
        <v>1374</v>
      </c>
      <c r="B71" s="3642"/>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33594</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168</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646" t="s">
        <v>1401</v>
      </c>
      <c r="F76" s="3645"/>
      <c r="G76" s="3645"/>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168</v>
      </c>
      <c r="D78" s="2574">
        <f>'数据-取费表'!B43</f>
        <v>5.000000000000001E-3</v>
      </c>
      <c r="E78" s="3638" t="s">
        <v>1405</v>
      </c>
      <c r="F78" s="3639"/>
      <c r="G78" s="3639"/>
      <c r="H78" s="364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33426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198.96428571428572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19997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1409</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41" t="s">
        <v>1374</v>
      </c>
      <c r="B84" s="3642"/>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33594</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168</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07" t="s">
        <v>2128</v>
      </c>
      <c r="H90" s="3608"/>
      <c r="I90" s="1818"/>
      <c r="J90" s="2518"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638" t="s">
        <v>1418</v>
      </c>
      <c r="F91" s="3639"/>
      <c r="G91" s="3639"/>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638" t="s">
        <v>1421</v>
      </c>
      <c r="F92" s="3639"/>
      <c r="G92" s="3639"/>
      <c r="H92" s="3640"/>
      <c r="I92" s="1818"/>
      <c r="J92" s="2519"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168</v>
      </c>
      <c r="D93" s="2574">
        <f>'数据-取费表'!B43</f>
        <v>5.000000000000001E-3</v>
      </c>
      <c r="E93" s="3638" t="s">
        <v>1405</v>
      </c>
      <c r="F93" s="3639"/>
      <c r="G93" s="3639"/>
      <c r="H93" s="364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683" t="s">
        <v>1425</v>
      </c>
      <c r="F94" s="3684"/>
      <c r="G94" s="3684"/>
      <c r="H94" s="36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33426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198.96428571428572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19997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7"/>
      <c r="F98" s="1577"/>
      <c r="G98" s="1577"/>
      <c r="H98" s="1576"/>
      <c r="I98" s="129"/>
    </row>
    <row r="99" spans="1:35" ht="21.75" customHeight="1" thickBot="1">
      <c r="A99" s="1797" t="s">
        <v>1426</v>
      </c>
      <c r="B99" s="1744"/>
      <c r="C99" s="1744"/>
      <c r="D99" s="1744"/>
      <c r="E99" s="1577"/>
      <c r="F99" s="1577"/>
      <c r="G99" s="1577"/>
      <c r="H99" s="1576"/>
      <c r="I99" s="129"/>
    </row>
    <row r="100" spans="1:35" ht="18.75" customHeight="1">
      <c r="A100" s="3588" t="s">
        <v>1427</v>
      </c>
      <c r="B100" s="3589"/>
      <c r="C100" s="3589"/>
      <c r="D100" s="3623"/>
      <c r="E100" s="3589" t="s">
        <v>1428</v>
      </c>
      <c r="F100" s="3589"/>
      <c r="G100" s="3589"/>
      <c r="H100" s="3623"/>
      <c r="I100" s="129"/>
    </row>
    <row r="101" spans="1:35" ht="18.75" customHeight="1">
      <c r="A101" s="3631" t="s">
        <v>1429</v>
      </c>
      <c r="B101" s="3632"/>
      <c r="C101" s="2582" t="str">
        <f>C4</f>
        <v>成本法</v>
      </c>
      <c r="D101" s="2583" t="str">
        <f>D4</f>
        <v>假设开发法</v>
      </c>
      <c r="E101" s="3601" t="s">
        <v>1430</v>
      </c>
      <c r="F101" s="3602"/>
      <c r="G101" s="1824" t="s">
        <v>1431</v>
      </c>
      <c r="H101" s="2592">
        <f ca="1">H118</f>
        <v>35274</v>
      </c>
      <c r="I101" s="129"/>
    </row>
    <row r="102" spans="1:35" ht="18.75" customHeight="1">
      <c r="A102" s="3633" t="s">
        <v>1432</v>
      </c>
      <c r="B102" s="2581" t="s">
        <v>1431</v>
      </c>
      <c r="C102" s="2582">
        <f ca="1">IF(D32="楼面单价",ROUND(C19,0),C19)</f>
        <v>39908</v>
      </c>
      <c r="D102" s="2583">
        <f ca="1">IF(D32="楼面单价",ROUND(D19,0),D19)</f>
        <v>28323</v>
      </c>
      <c r="E102" s="3601"/>
      <c r="F102" s="3602"/>
      <c r="G102" s="1824" t="s">
        <v>1433</v>
      </c>
      <c r="H102" s="2552">
        <f ca="1">I118</f>
        <v>7317</v>
      </c>
      <c r="I102" s="129"/>
    </row>
    <row r="103" spans="1:35" ht="42.75" customHeight="1">
      <c r="A103" s="3633"/>
      <c r="B103" s="2581" t="s">
        <v>1433</v>
      </c>
      <c r="C103" s="2584">
        <f ca="1">C20</f>
        <v>8278</v>
      </c>
      <c r="D103" s="2585">
        <f ca="1">D20</f>
        <v>5875</v>
      </c>
      <c r="E103" s="3594" t="s">
        <v>1434</v>
      </c>
      <c r="F103" s="3595"/>
      <c r="G103" s="1825" t="s">
        <v>1435</v>
      </c>
      <c r="H103" s="2592">
        <f>IF(D36="正常操作",H104+H105+H106,H105+H106)</f>
        <v>0</v>
      </c>
      <c r="I103" s="129"/>
    </row>
    <row r="104" spans="1:35" ht="18.75" customHeight="1">
      <c r="A104" s="3633" t="s">
        <v>1436</v>
      </c>
      <c r="B104" s="2586" t="s">
        <v>1431</v>
      </c>
      <c r="C104" s="2587">
        <f ca="1">H118</f>
        <v>35274</v>
      </c>
      <c r="D104" s="2588"/>
      <c r="E104" s="1671" t="s">
        <v>1437</v>
      </c>
      <c r="F104" s="1663"/>
      <c r="G104" s="1825" t="s">
        <v>1435</v>
      </c>
      <c r="H104" s="2593">
        <f>IF(D36="同一抵押权人同一抵押物续贷",C36&amp;"（续贷，未扣减，详见特别提示）",C36)</f>
        <v>0</v>
      </c>
      <c r="I104" s="129"/>
    </row>
    <row r="105" spans="1:35" ht="18.75" customHeight="1" thickBot="1">
      <c r="A105" s="3643"/>
      <c r="B105" s="2589" t="s">
        <v>1433</v>
      </c>
      <c r="C105" s="2590">
        <f ca="1">I118</f>
        <v>7317</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34" t="str">
        <f>IF(项目基本情况!E8="已注销","——","3.房地产抵押价值")</f>
        <v>3.房地产抵押价值</v>
      </c>
      <c r="F107" s="3602"/>
      <c r="G107" s="1824" t="s">
        <v>1431</v>
      </c>
      <c r="H107" s="2592">
        <f ca="1">IF(E107="——","——",H101-H103)</f>
        <v>35274</v>
      </c>
      <c r="I107" s="129"/>
    </row>
    <row r="108" spans="1:35" ht="18.75" customHeight="1">
      <c r="A108" s="129"/>
      <c r="B108" s="129"/>
      <c r="C108" s="129"/>
      <c r="D108" s="129"/>
      <c r="E108" s="3634"/>
      <c r="F108" s="3602"/>
      <c r="G108" s="1824" t="s">
        <v>1433</v>
      </c>
      <c r="H108" s="2552">
        <f ca="1">IF(H107=H101,H102,ROUND(H107*10000/'数据-汇总表'!E3,0))</f>
        <v>7317</v>
      </c>
      <c r="I108" s="129"/>
    </row>
    <row r="109" spans="1:35" ht="18.75" customHeight="1">
      <c r="A109" s="129"/>
      <c r="B109" s="129"/>
      <c r="C109" s="129"/>
      <c r="D109" s="129"/>
      <c r="E109" s="3634" t="str">
        <f>IF(项目基本情况!E8="已注销及未注销","4.抵押担保权已注销时的房地产抵押价值",IF(项目基本情况!E8="已注销","3.抵押担保权已注销时的房地产抵押价值","——"))</f>
        <v>——</v>
      </c>
      <c r="F109" s="3602"/>
      <c r="G109" s="1824" t="s">
        <v>1431</v>
      </c>
      <c r="H109" s="2595" t="str">
        <f>IF(E109="——","——",H101-H105-H106)</f>
        <v>——</v>
      </c>
      <c r="I109" s="129"/>
    </row>
    <row r="110" spans="1:35" ht="18.75" customHeight="1">
      <c r="A110" s="129"/>
      <c r="B110" s="129"/>
      <c r="C110" s="129"/>
      <c r="D110" s="129"/>
      <c r="E110" s="3634"/>
      <c r="F110" s="3602"/>
      <c r="G110" s="1824" t="s">
        <v>1433</v>
      </c>
      <c r="H110" s="2552"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21"/>
      <c r="G111" s="1824" t="s">
        <v>1431</v>
      </c>
      <c r="H111" s="2592" t="str">
        <f>IF(E111="——","——",N59)</f>
        <v>——</v>
      </c>
      <c r="I111" s="129"/>
    </row>
    <row r="112" spans="1:35" ht="18.75" customHeight="1" thickBot="1">
      <c r="A112" s="129"/>
      <c r="B112" s="129"/>
      <c r="C112" s="129"/>
      <c r="D112" s="129"/>
      <c r="E112" s="3636"/>
      <c r="F112" s="3637"/>
      <c r="G112" s="1827" t="s">
        <v>1433</v>
      </c>
      <c r="H112" s="2596" t="str">
        <f>IF(E111="——","——",N61)</f>
        <v>——</v>
      </c>
      <c r="I112" s="129"/>
    </row>
    <row r="113" spans="1:27" ht="18.75" customHeight="1">
      <c r="A113" s="129"/>
      <c r="B113" s="129"/>
      <c r="C113" s="129"/>
      <c r="D113" s="129"/>
      <c r="E113" s="3644" t="s">
        <v>1439</v>
      </c>
      <c r="F113" s="3644"/>
      <c r="G113" s="3644"/>
      <c r="H113" s="3644"/>
      <c r="I113" s="129"/>
    </row>
    <row r="114" spans="1:27" ht="3.75" customHeight="1">
      <c r="A114" s="1744"/>
      <c r="B114" s="1744"/>
      <c r="C114" s="1744"/>
      <c r="D114" s="1744"/>
      <c r="E114" s="1806"/>
      <c r="F114" s="1806"/>
      <c r="G114" s="1806"/>
      <c r="H114" s="1806"/>
      <c r="I114" s="1744"/>
    </row>
    <row r="115" spans="1:27" ht="18.75" customHeight="1">
      <c r="A115" s="3652" t="s">
        <v>1441</v>
      </c>
      <c r="B115" s="3653"/>
      <c r="C115" s="3653"/>
      <c r="D115" s="3653"/>
      <c r="E115" s="3653"/>
      <c r="F115" s="3653"/>
      <c r="G115" s="3653"/>
      <c r="H115" s="3653"/>
      <c r="I115" s="3654"/>
    </row>
    <row r="116" spans="1:27" ht="27" customHeight="1">
      <c r="A116" s="3609" t="s">
        <v>1442</v>
      </c>
      <c r="B116" s="3613" t="s">
        <v>1443</v>
      </c>
      <c r="C116" s="3613" t="s">
        <v>1444</v>
      </c>
      <c r="D116" s="3619" t="s">
        <v>1445</v>
      </c>
      <c r="E116" s="3620"/>
      <c r="F116" s="3651" t="s">
        <v>1446</v>
      </c>
      <c r="G116" s="3651"/>
      <c r="H116" s="3609" t="s">
        <v>1447</v>
      </c>
      <c r="I116" s="3609"/>
    </row>
    <row r="117" spans="1:27" ht="18.75" customHeight="1">
      <c r="A117" s="3609"/>
      <c r="B117" s="3614"/>
      <c r="C117" s="361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48207.299999999996</v>
      </c>
      <c r="C118" s="2326">
        <f>M19</f>
        <v>18023.05</v>
      </c>
      <c r="D118" s="2326">
        <f ca="1">ROUND(IF(D32="总价",C34,E118*B118/10000),0)</f>
        <v>6808</v>
      </c>
      <c r="E118" s="2326">
        <f ca="1">ROUND(IF(C33="自定义",IF(D32="楼面单价",C34,D118*10000/B118),I118-G118),0)</f>
        <v>1412</v>
      </c>
      <c r="F118" s="2326">
        <f ca="1">ROUND(IF(D32="总价",C35,G118*B118/10000),0)</f>
        <v>28466</v>
      </c>
      <c r="G118" s="2326">
        <f ca="1">ROUND(IF(D32="楼面单价",C35,F118*10000/B118),0)</f>
        <v>5905</v>
      </c>
      <c r="H118" s="2326">
        <f ca="1">ROUND(IF(D32="总价",C32,I118*B118/10000),0)</f>
        <v>35274</v>
      </c>
      <c r="I118" s="2326">
        <f ca="1">ROUND(IF(D32="楼面单价",C32,H118*10000/B118),0)</f>
        <v>7317</v>
      </c>
    </row>
    <row r="119" spans="1:27" ht="18.75" customHeight="1">
      <c r="A119" s="3609" t="s">
        <v>1451</v>
      </c>
      <c r="B119" s="3609"/>
      <c r="C119" s="3609"/>
      <c r="D119" s="3615" t="str">
        <f ca="1">NUMBERSTRING(INT(D118*10000),2)&amp;"元整"</f>
        <v>陆仟捌佰零捌万元整</v>
      </c>
      <c r="E119" s="3616"/>
      <c r="F119" s="3615" t="str">
        <f ca="1">NUMBERSTRING(INT(F118*10000),2)&amp;"元整"</f>
        <v>贰亿捌仟肆佰陆拾陆万元整</v>
      </c>
      <c r="G119" s="3616"/>
      <c r="H119" s="3615" t="str">
        <f ca="1">NUMBERSTRING(INT(H118*10000),2)&amp;"元整"</f>
        <v>叁亿伍仟贰佰柒拾肆万元整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5" t="s">
        <v>1451</v>
      </c>
      <c r="B121" s="3617"/>
      <c r="C121" s="3616"/>
      <c r="D121" s="3615" t="str">
        <f>IF(D120=0,"零元整",NUMBERSTRING(INT(D120*10000),2)&amp;"元整")</f>
        <v>零元整</v>
      </c>
      <c r="E121" s="3617"/>
      <c r="F121" s="3617"/>
      <c r="G121" s="3617"/>
      <c r="H121" s="3617"/>
      <c r="I121" s="3616"/>
      <c r="AA121" s="725"/>
    </row>
    <row r="122" spans="1:27" ht="18.75" customHeight="1">
      <c r="A122" s="3621" t="str">
        <f>IF(项目基本情况!B9="房地产市场价值","",MID(E107,3,LEN(E107)-2))</f>
        <v>房地产抵押价值</v>
      </c>
      <c r="B122" s="3621"/>
      <c r="C122" s="3621"/>
      <c r="D122" s="3610">
        <f ca="1">H107</f>
        <v>35274</v>
      </c>
      <c r="E122" s="3611"/>
      <c r="F122" s="3611"/>
      <c r="G122" s="3611"/>
      <c r="H122" s="3611"/>
      <c r="I122" s="3612"/>
      <c r="AA122" s="725"/>
    </row>
    <row r="123" spans="1:27" ht="18.75" customHeight="1">
      <c r="A123" s="3609" t="s">
        <v>1451</v>
      </c>
      <c r="B123" s="3609"/>
      <c r="C123" s="3609"/>
      <c r="D123" s="3615" t="str">
        <f ca="1">NUMBERSTRING(INT(D122*10000),2)&amp;"元整"</f>
        <v>叁亿伍仟贰佰柒拾肆万元整</v>
      </c>
      <c r="E123" s="3617"/>
      <c r="F123" s="3617"/>
      <c r="G123" s="3617"/>
      <c r="H123" s="3617"/>
      <c r="I123" s="3616"/>
      <c r="AA123" s="725"/>
    </row>
    <row r="124" spans="1:27" ht="18.75" customHeight="1">
      <c r="A124" s="3621" t="str">
        <f>IF(项目基本情况!B9="房地产市场价值","",MID(E109,3,LEN(E109)-2))</f>
        <v/>
      </c>
      <c r="B124" s="3621"/>
      <c r="C124" s="3621"/>
      <c r="D124" s="3610" t="str">
        <f>H109</f>
        <v>——</v>
      </c>
      <c r="E124" s="3611"/>
      <c r="F124" s="3611"/>
      <c r="G124" s="3611"/>
      <c r="H124" s="3611"/>
      <c r="I124" s="3612"/>
      <c r="AA124" s="725"/>
    </row>
    <row r="125" spans="1:27" ht="18.75" customHeight="1">
      <c r="A125" s="3609" t="s">
        <v>1451</v>
      </c>
      <c r="B125" s="3609"/>
      <c r="C125" s="3609"/>
      <c r="D125" s="3615" t="e">
        <f>NUMBERSTRING(INT(D124*10000),2)&amp;"元整"</f>
        <v>#VALUE!</v>
      </c>
      <c r="E125" s="3617"/>
      <c r="F125" s="3617"/>
      <c r="G125" s="3617"/>
      <c r="H125" s="3617"/>
      <c r="I125" s="3616"/>
      <c r="AA125" s="725"/>
    </row>
    <row r="126" spans="1:27" ht="18.75" customHeight="1">
      <c r="A126" s="3621" t="str">
        <f>IF(项目基本情况!B9="房地产市场价值","",MID(E111,3,LEN(E111)-2))</f>
        <v/>
      </c>
      <c r="B126" s="3621"/>
      <c r="C126" s="3621"/>
      <c r="D126" s="3610" t="str">
        <f>H111</f>
        <v>——</v>
      </c>
      <c r="E126" s="3611"/>
      <c r="F126" s="3611"/>
      <c r="G126" s="3611"/>
      <c r="H126" s="3611"/>
      <c r="I126" s="3612"/>
      <c r="AA126" s="725"/>
    </row>
    <row r="127" spans="1:27" ht="18.75" customHeight="1">
      <c r="A127" s="3609" t="s">
        <v>1451</v>
      </c>
      <c r="B127" s="3609"/>
      <c r="C127" s="3609"/>
      <c r="D127" s="3615" t="e">
        <f>NUMBERSTRING(INT(D126*10000),2)&amp;"元整"</f>
        <v>#VALUE!</v>
      </c>
      <c r="E127" s="3617"/>
      <c r="F127" s="3617"/>
      <c r="G127" s="3617"/>
      <c r="H127" s="3617"/>
      <c r="I127" s="3616"/>
      <c r="AA127" s="725"/>
    </row>
    <row r="128" spans="1:27" ht="21.75" customHeight="1">
      <c r="A128" s="3618" t="s">
        <v>1452</v>
      </c>
      <c r="B128" s="3618"/>
      <c r="C128" s="3618"/>
      <c r="D128" s="3618"/>
      <c r="E128" s="3618"/>
      <c r="F128" s="3618"/>
      <c r="G128" s="3618"/>
      <c r="H128" s="3618"/>
      <c r="I128" s="3618"/>
      <c r="AA128" s="725"/>
    </row>
    <row r="129" spans="1:35" ht="21.75" customHeight="1">
      <c r="A129" s="1828" t="s">
        <v>1453</v>
      </c>
      <c r="B129" s="1829"/>
      <c r="C129" s="1830" t="s">
        <v>1454</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1455</v>
      </c>
      <c r="G135" s="1845"/>
      <c r="H135" s="1845"/>
      <c r="I135" s="1846" t="s">
        <v>1456</v>
      </c>
    </row>
    <row r="136" spans="1:35" ht="21.75" customHeight="1">
      <c r="A136" s="725"/>
      <c r="B136" s="1847"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1458</v>
      </c>
    </row>
    <row r="139" spans="1:35" ht="21.75" customHeight="1">
      <c r="A139" s="725"/>
      <c r="B139" s="1847" t="s">
        <v>1459</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1458</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7" sqref="C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9</v>
      </c>
    </row>
    <row r="2" spans="1:9" s="200" customFormat="1" ht="18" customHeight="1">
      <c r="A2" s="201" t="s">
        <v>1461</v>
      </c>
      <c r="B2" s="202">
        <f ca="1">IF(D2="——",C52,C52-E2)</f>
        <v>39908</v>
      </c>
      <c r="C2" s="199" t="s">
        <v>1462</v>
      </c>
      <c r="D2" s="1850" t="s">
        <v>43</v>
      </c>
      <c r="E2" s="1168"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8278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5819</v>
      </c>
      <c r="D5" s="211" t="s">
        <v>1468</v>
      </c>
      <c r="E5" s="212" t="s">
        <v>1469</v>
      </c>
      <c r="F5" s="212" t="s">
        <v>1470</v>
      </c>
      <c r="G5" s="213"/>
    </row>
    <row r="6" spans="1:9" s="214" customFormat="1" ht="13.5" customHeight="1">
      <c r="A6" s="777" t="s">
        <v>1471</v>
      </c>
      <c r="B6" s="215" t="s">
        <v>1472</v>
      </c>
      <c r="C6" s="216">
        <f>基准地价修正!B2</f>
        <v>4758</v>
      </c>
      <c r="D6" s="217"/>
      <c r="E6" s="218"/>
      <c r="F6" s="218"/>
      <c r="G6" s="219"/>
    </row>
    <row r="7" spans="1:9" s="214" customFormat="1" ht="13.5" customHeight="1">
      <c r="A7" s="777" t="s">
        <v>1473</v>
      </c>
      <c r="B7" s="215" t="s">
        <v>1474</v>
      </c>
      <c r="C7" s="220">
        <f>ROUND(C6*F7,0)</f>
        <v>145</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916</v>
      </c>
      <c r="D8" s="222"/>
      <c r="E8" s="220"/>
      <c r="F8" s="221"/>
      <c r="G8" s="1853" t="s">
        <v>3438</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4" t="s">
        <v>3439</v>
      </c>
      <c r="H9" s="1136"/>
      <c r="I9" s="1855" t="s">
        <v>1478</v>
      </c>
    </row>
    <row r="10" spans="1:9" s="214" customFormat="1" ht="13.5" customHeight="1">
      <c r="A10" s="778" t="s">
        <v>356</v>
      </c>
      <c r="B10" s="224" t="s">
        <v>1479</v>
      </c>
      <c r="C10" s="225">
        <f ca="1">ROUND(D10*E10/10000,0)</f>
        <v>916</v>
      </c>
      <c r="D10" s="844">
        <f ca="1">IF(B1="",'数据-汇总表'!E6,IF(INDIRECT("'数据-取费表'!c"&amp;$G$1)="住宅",INDIRECT("'数据-取费表'!s"&amp;$G$1),INDIRECT("'数据-取费表'!k"&amp;$G$1)+INDIRECT("'数据-取费表'!s"&amp;$G$1)))</f>
        <v>48207.299999999996</v>
      </c>
      <c r="E10" s="225">
        <f>'数据-取费表'!B28</f>
        <v>190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48207.299999999996</v>
      </c>
      <c r="E19" s="211">
        <f>'数据-取费表'!B31</f>
        <v>200</v>
      </c>
      <c r="F19" s="231"/>
      <c r="G19" s="1853" t="s">
        <v>3440</v>
      </c>
    </row>
    <row r="20" spans="1:7" s="214" customFormat="1" ht="13.5" customHeight="1">
      <c r="A20" s="255" t="s">
        <v>1492</v>
      </c>
      <c r="B20" s="210" t="s">
        <v>1493</v>
      </c>
      <c r="C20" s="232">
        <f ca="1">ROUND((C5+C19)*F20,0)</f>
        <v>175</v>
      </c>
      <c r="D20" s="232"/>
      <c r="E20" s="232"/>
      <c r="F20" s="233">
        <f>'数据-取费表'!B37</f>
        <v>0.03</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464</v>
      </c>
      <c r="D22" s="235">
        <f ca="1">C26</f>
        <v>8.0000000000000004E-4</v>
      </c>
      <c r="E22" s="236" t="s">
        <v>1497</v>
      </c>
      <c r="F22" s="237">
        <f ca="1">'数据-取费表'!B40</f>
        <v>3.1E-2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457</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7</v>
      </c>
      <c r="D25" s="238"/>
      <c r="E25" s="241"/>
      <c r="F25" s="239"/>
      <c r="G25" s="242" t="s">
        <v>1509</v>
      </c>
    </row>
    <row r="26" spans="1:7" s="214" customFormat="1">
      <c r="A26" s="779"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653</v>
      </c>
      <c r="D27" s="235">
        <f ca="1">C29</f>
        <v>2.2000000000000001E-3</v>
      </c>
      <c r="E27" s="236" t="s">
        <v>1513</v>
      </c>
      <c r="F27" s="246">
        <f ca="1">IF(B1="",'数据-取费表'!Q16,INDIRECT("'数据-取费表'!q"&amp;$G$1))</f>
        <v>0.11</v>
      </c>
      <c r="G27" s="247" t="s">
        <v>1514</v>
      </c>
    </row>
    <row r="28" spans="1:7" s="214" customFormat="1" ht="13.5" customHeight="1">
      <c r="A28" s="779" t="s">
        <v>346</v>
      </c>
      <c r="B28" s="248" t="s">
        <v>1515</v>
      </c>
      <c r="C28" s="249">
        <f ca="1">ROUND((C5+C19+C20)*F27*'数据-取费表'!B21/'数据-取费表'!B20,0)</f>
        <v>653</v>
      </c>
      <c r="D28" s="235"/>
      <c r="E28" s="236"/>
      <c r="F28" s="246"/>
      <c r="G28" s="247"/>
    </row>
    <row r="29" spans="1:7" s="214" customFormat="1" ht="13.5" customHeight="1">
      <c r="A29" s="779" t="s">
        <v>347</v>
      </c>
      <c r="B29" s="248" t="s">
        <v>1516</v>
      </c>
      <c r="C29" s="238">
        <f ca="1">ROUND(C21*F27*'数据-取费表'!B21/'数据-取费表'!B20,4)</f>
        <v>2.2000000000000001E-3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7691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25181</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22431</v>
      </c>
      <c r="D34" s="217"/>
      <c r="E34" s="220"/>
      <c r="F34" s="257">
        <f ca="1">IF('数据-取费表'!B24=0,1,IF(B1="",'数据-取费表'!N16,INDIRECT("'数据-取费表'!n"&amp;$G$1)))</f>
        <v>0.99</v>
      </c>
      <c r="G34" s="219" t="s">
        <v>1525</v>
      </c>
    </row>
    <row r="35" spans="1:7" ht="13.5" customHeight="1">
      <c r="A35" s="779" t="s">
        <v>351</v>
      </c>
      <c r="B35" s="215" t="s">
        <v>1526</v>
      </c>
      <c r="C35" s="220">
        <f ca="1">ROUND(C34*F35,0)</f>
        <v>1122</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955</v>
      </c>
      <c r="D37" s="217">
        <f ca="1">D19</f>
        <v>48207.299999999996</v>
      </c>
      <c r="E37" s="249">
        <f>'数据-取费表'!B35</f>
        <v>200</v>
      </c>
      <c r="F37" s="259"/>
      <c r="G37" s="261" t="s">
        <v>1531</v>
      </c>
    </row>
    <row r="38" spans="1:7" ht="13.5" customHeight="1">
      <c r="A38" s="779" t="s">
        <v>354</v>
      </c>
      <c r="B38" s="215" t="s">
        <v>1532</v>
      </c>
      <c r="C38" s="220">
        <f ca="1">ROUND(C34*F38,0)</f>
        <v>673</v>
      </c>
      <c r="D38" s="220"/>
      <c r="E38" s="220"/>
      <c r="F38" s="259">
        <f>'数据-取费表'!B36</f>
        <v>0.03</v>
      </c>
      <c r="G38" s="219" t="s">
        <v>1527</v>
      </c>
    </row>
    <row r="39" spans="1:7" s="214" customFormat="1" ht="13.5" customHeight="1">
      <c r="A39" s="255" t="s">
        <v>1533</v>
      </c>
      <c r="B39" s="210" t="s">
        <v>1534</v>
      </c>
      <c r="C39" s="232">
        <f ca="1">ROUND(C33*F20,0)</f>
        <v>755</v>
      </c>
      <c r="D39" s="232"/>
      <c r="E39" s="232"/>
      <c r="F39" s="233">
        <f>F20</f>
        <v>0.03</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999</v>
      </c>
      <c r="D41" s="235">
        <f ca="1">C44</f>
        <v>8.0000000000000004E-4</v>
      </c>
      <c r="E41" s="236" t="s">
        <v>1538</v>
      </c>
      <c r="F41" s="237">
        <f ca="1">F22</f>
        <v>3.1E-2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970</v>
      </c>
      <c r="D42" s="238"/>
      <c r="E42" s="238"/>
      <c r="F42" s="239"/>
      <c r="G42" s="3688" t="s">
        <v>1543</v>
      </c>
    </row>
    <row r="43" spans="1:7" ht="13.5" customHeight="1">
      <c r="A43" s="779" t="s">
        <v>347</v>
      </c>
      <c r="B43" s="215" t="s">
        <v>1544</v>
      </c>
      <c r="C43" s="238">
        <f ca="1">ROUND(IF('数据-取费表'!B22&lt;=1,C39*F22*'数据-取费表'!B21/2,C39*(POWER((1+F22),'数据-取费表'!B21/2)-1)),0)</f>
        <v>29</v>
      </c>
      <c r="D43" s="238"/>
      <c r="E43" s="238"/>
      <c r="F43" s="239"/>
      <c r="G43" s="3689"/>
    </row>
    <row r="44" spans="1:7" ht="13.5" customHeight="1">
      <c r="A44" s="779" t="s">
        <v>348</v>
      </c>
      <c r="B44" s="215" t="s">
        <v>1545</v>
      </c>
      <c r="C44" s="238">
        <f ca="1">ROUND(IF('数据-取费表'!B22&lt;=1,C40*F22*'数据-取费表'!B21/2,C40*(POWER((1+F22),'数据-取费表'!B21/2)-1)),4)</f>
        <v>8.0000000000000004E-4</v>
      </c>
      <c r="D44" s="238"/>
      <c r="E44" s="238"/>
      <c r="F44" s="239"/>
      <c r="G44" s="3690"/>
    </row>
    <row r="45" spans="1:7" s="214" customFormat="1" ht="13.5" customHeight="1">
      <c r="A45" s="255" t="s">
        <v>1546</v>
      </c>
      <c r="B45" s="244" t="s">
        <v>1512</v>
      </c>
      <c r="C45" s="245">
        <f ca="1">C46</f>
        <v>2853</v>
      </c>
      <c r="D45" s="235">
        <f ca="1">C47</f>
        <v>2.2000000000000001E-3</v>
      </c>
      <c r="E45" s="236" t="s">
        <v>1538</v>
      </c>
      <c r="F45" s="246">
        <f ca="1">F27</f>
        <v>0.11</v>
      </c>
      <c r="G45" s="247" t="s">
        <v>1547</v>
      </c>
    </row>
    <row r="46" spans="1:7" s="214" customFormat="1" ht="13.5" customHeight="1">
      <c r="A46" s="779" t="s">
        <v>346</v>
      </c>
      <c r="B46" s="248" t="s">
        <v>1548</v>
      </c>
      <c r="C46" s="249">
        <f ca="1">ROUND((C33+C39)*F27,0)</f>
        <v>2853</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32217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32217</v>
      </c>
      <c r="D51" s="232"/>
      <c r="E51" s="232"/>
      <c r="F51" s="264"/>
      <c r="G51" s="234" t="s">
        <v>1559</v>
      </c>
    </row>
    <row r="52" spans="1:7" s="208" customFormat="1" ht="16.5" thickBot="1">
      <c r="A52" s="265" t="s">
        <v>1560</v>
      </c>
      <c r="B52" s="266"/>
      <c r="C52" s="267">
        <f ca="1">C31+C51</f>
        <v>39908</v>
      </c>
      <c r="D52" s="266"/>
      <c r="E52" s="266"/>
      <c r="F52" s="266"/>
      <c r="G52" s="268"/>
    </row>
    <row r="55" spans="1:7" ht="15">
      <c r="B55" s="270" t="s">
        <v>1561</v>
      </c>
      <c r="C55" s="271"/>
    </row>
    <row r="56" spans="1:7">
      <c r="B56" s="273" t="s">
        <v>802</v>
      </c>
      <c r="C56" s="275">
        <f ca="1">1-C57</f>
        <v>0.19299999999999995</v>
      </c>
    </row>
    <row r="57" spans="1:7">
      <c r="B57" s="273" t="s">
        <v>803</v>
      </c>
      <c r="C57" s="274">
        <f ca="1">ROUND(C51/C52,3)</f>
        <v>0.80700000000000005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5" t="str">
        <f>项目基本情况!B1</f>
        <v>北京市房地产抵押价值预评估</v>
      </c>
      <c r="C37" s="3505"/>
      <c r="D37" s="3505"/>
      <c r="E37" s="3505"/>
      <c r="F37" s="3505"/>
      <c r="G37" s="3505"/>
      <c r="H37" s="3505"/>
      <c r="I37" s="350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6" t="s">
        <v>1562</v>
      </c>
      <c r="D1" s="198"/>
      <c r="E1" s="198"/>
      <c r="F1" s="198"/>
      <c r="G1" s="1125">
        <f>MATCH(B1,'数据-取费表'!A6:A16,0)+5</f>
        <v>9</v>
      </c>
      <c r="H1" s="1060" t="str">
        <f>IF(ISERROR(FIND("住宅",B1)),"非住宅","住宅")</f>
        <v>非住宅</v>
      </c>
    </row>
    <row r="2" spans="1:8" s="200" customFormat="1" ht="18" customHeight="1">
      <c r="A2" s="201" t="s">
        <v>1461</v>
      </c>
      <c r="B2" s="3421">
        <f ca="1">ROUND(IF(D2="——",C52/10000,C52/10000-E2),4)</f>
        <v>35040.817300000002</v>
      </c>
      <c r="C2" s="199" t="s">
        <v>1462</v>
      </c>
      <c r="D2" s="1850" t="s">
        <v>43</v>
      </c>
      <c r="E2" s="1168"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7269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9159387</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9159387</v>
      </c>
      <c r="D8" s="222"/>
      <c r="E8" s="220"/>
      <c r="F8" s="221"/>
      <c r="G8" s="1853"/>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9159387</v>
      </c>
      <c r="D10" s="844">
        <f ca="1">IF(B1="",'数据-汇总表'!E6,IF(INDIRECT("'数据-取费表'!c"&amp;$G$1)="住宅",INDIRECT("'数据-取费表'!s"&amp;$G$1),INDIRECT("'数据-取费表'!k"&amp;$G$1)+INDIRECT("'数据-取费表'!s"&amp;$G$1)))</f>
        <v>48207.299999999996</v>
      </c>
      <c r="E10" s="225">
        <f>'数据-取费表'!B28</f>
        <v>190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9641460</v>
      </c>
      <c r="D19" s="848">
        <f ca="1">D9+D10</f>
        <v>48207.299999999996</v>
      </c>
      <c r="E19" s="211">
        <f>'数据-取费表'!B31</f>
        <v>200</v>
      </c>
      <c r="F19" s="231"/>
      <c r="G19" s="1853"/>
    </row>
    <row r="20" spans="1:7" s="214" customFormat="1" ht="13.5" customHeight="1">
      <c r="A20" s="255" t="s">
        <v>1573</v>
      </c>
      <c r="B20" s="210" t="s">
        <v>1574</v>
      </c>
      <c r="C20" s="232">
        <f ca="1">ROUND((C5+C19)*F20,0)</f>
        <v>564025</v>
      </c>
      <c r="D20" s="232"/>
      <c r="E20" s="232"/>
      <c r="F20" s="233">
        <f>'数据-取费表'!B37</f>
        <v>0.03</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1513057</v>
      </c>
      <c r="D22" s="235">
        <f ca="1">C26</f>
        <v>8.0000000000000004E-4</v>
      </c>
      <c r="E22" s="236" t="s">
        <v>1578</v>
      </c>
      <c r="F22" s="237">
        <f ca="1">'数据-取费表'!B40</f>
        <v>3.1E-2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726442</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764675</v>
      </c>
      <c r="D24" s="238"/>
      <c r="E24" s="238"/>
      <c r="F24" s="239"/>
      <c r="G24" s="240" t="s">
        <v>1585</v>
      </c>
    </row>
    <row r="25" spans="1:7" s="214" customFormat="1" ht="24">
      <c r="A25" s="779" t="s">
        <v>1475</v>
      </c>
      <c r="B25" s="215" t="s">
        <v>1586</v>
      </c>
      <c r="C25" s="1127">
        <f ca="1">ROUND(IF('数据-取费表'!B22&lt;=1,C20*F22*'数据-取费表'!B22/2,C20*(POWER((1+F22),'数据-取费表'!B22/2)-1)),0)</f>
        <v>21940</v>
      </c>
      <c r="D25" s="238"/>
      <c r="E25" s="241"/>
      <c r="F25" s="239"/>
      <c r="G25" s="242" t="s">
        <v>1587</v>
      </c>
    </row>
    <row r="26" spans="1:7" s="214" customFormat="1">
      <c r="A26" s="779"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2130136</v>
      </c>
      <c r="D27" s="235">
        <f ca="1">C29</f>
        <v>2.2000000000000001E-3</v>
      </c>
      <c r="E27" s="236" t="s">
        <v>1513</v>
      </c>
      <c r="F27" s="246">
        <f ca="1">IF(B1="",'数据-取费表'!Q16,INDIRECT("'数据-取费表'!q"&amp;$G$1))</f>
        <v>0.11</v>
      </c>
      <c r="G27" s="247" t="s">
        <v>1514</v>
      </c>
    </row>
    <row r="28" spans="1:7" s="214" customFormat="1" ht="13.5" customHeight="1">
      <c r="A28" s="779" t="s">
        <v>346</v>
      </c>
      <c r="B28" s="248" t="s">
        <v>1515</v>
      </c>
      <c r="C28" s="249">
        <f ca="1">ROUND((C5+C19+C20)*F27,0)</f>
        <v>2130136</v>
      </c>
      <c r="D28" s="235"/>
      <c r="E28" s="236"/>
      <c r="F28" s="246"/>
      <c r="G28" s="247"/>
    </row>
    <row r="29" spans="1:7" s="214" customFormat="1" ht="13.5" customHeight="1">
      <c r="A29" s="779" t="s">
        <v>347</v>
      </c>
      <c r="B29" s="248" t="s">
        <v>1516</v>
      </c>
      <c r="C29" s="238">
        <f ca="1">ROUND(C21*F27,4)</f>
        <v>2.2000000000000001E-3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24884345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254341715</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226574310</v>
      </c>
      <c r="D34" s="217"/>
      <c r="E34" s="220"/>
      <c r="F34" s="257"/>
      <c r="G34" s="219"/>
    </row>
    <row r="35" spans="1:7" ht="13.5" customHeight="1">
      <c r="A35" s="779" t="s">
        <v>351</v>
      </c>
      <c r="B35" s="215" t="s">
        <v>1526</v>
      </c>
      <c r="C35" s="220">
        <f ca="1">ROUND(C34*F35,0)</f>
        <v>11328716</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9641460</v>
      </c>
      <c r="D37" s="217">
        <f ca="1">D19</f>
        <v>48207.299999999996</v>
      </c>
      <c r="E37" s="249">
        <f>'数据-取费表'!B35</f>
        <v>200</v>
      </c>
      <c r="F37" s="259"/>
      <c r="G37" s="261"/>
    </row>
    <row r="38" spans="1:7" ht="13.5" customHeight="1">
      <c r="A38" s="779" t="s">
        <v>354</v>
      </c>
      <c r="B38" s="215" t="s">
        <v>1532</v>
      </c>
      <c r="C38" s="220">
        <f ca="1">ROUND(C34*F38,0)</f>
        <v>6797229</v>
      </c>
      <c r="D38" s="220"/>
      <c r="E38" s="220"/>
      <c r="F38" s="259">
        <f>'数据-取费表'!B36</f>
        <v>0.03</v>
      </c>
      <c r="G38" s="219" t="s">
        <v>1527</v>
      </c>
    </row>
    <row r="39" spans="1:7" s="214" customFormat="1" ht="13.5" customHeight="1">
      <c r="A39" s="255" t="s">
        <v>1533</v>
      </c>
      <c r="B39" s="210" t="s">
        <v>1534</v>
      </c>
      <c r="C39" s="232">
        <f ca="1">ROUND(C33*F20,0)</f>
        <v>7630251</v>
      </c>
      <c r="D39" s="232"/>
      <c r="E39" s="232"/>
      <c r="F39" s="233">
        <f>F20</f>
        <v>0.03</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10190449</v>
      </c>
      <c r="D41" s="235">
        <f ca="1">C44</f>
        <v>8.0000000000000004E-4</v>
      </c>
      <c r="E41" s="236" t="s">
        <v>1538</v>
      </c>
      <c r="F41" s="237">
        <f ca="1">F22</f>
        <v>3.1E-2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9893640</v>
      </c>
      <c r="D42" s="238"/>
      <c r="E42" s="238"/>
      <c r="F42" s="239"/>
      <c r="G42" s="3688" t="s">
        <v>1590</v>
      </c>
    </row>
    <row r="43" spans="1:7" ht="13.5" customHeight="1">
      <c r="A43" s="779" t="s">
        <v>347</v>
      </c>
      <c r="B43" s="215" t="s">
        <v>1544</v>
      </c>
      <c r="C43" s="238">
        <f ca="1">ROUND(IF('数据-取费表'!B22&lt;=1,C39*F22*'数据-取费表'!B20/2,C39*(POWER((1+F22),'数据-取费表'!B20/2)-1)),0)</f>
        <v>296809</v>
      </c>
      <c r="D43" s="238"/>
      <c r="E43" s="238"/>
      <c r="F43" s="239"/>
      <c r="G43" s="3689"/>
    </row>
    <row r="44" spans="1:7" ht="13.5" customHeight="1">
      <c r="A44" s="779" t="s">
        <v>348</v>
      </c>
      <c r="B44" s="215" t="s">
        <v>1545</v>
      </c>
      <c r="C44" s="238">
        <f ca="1">ROUND(IF('数据-取费表'!B22&lt;=1,C40*F22*'数据-取费表'!B20/2,C40*(POWER((1+F22),'数据-取费表'!B20/2)-1)),4)</f>
        <v>8.0000000000000004E-4</v>
      </c>
      <c r="D44" s="238"/>
      <c r="E44" s="238"/>
      <c r="F44" s="239"/>
      <c r="G44" s="3690"/>
    </row>
    <row r="45" spans="1:7" s="214" customFormat="1" ht="13.5" customHeight="1">
      <c r="A45" s="255" t="s">
        <v>1546</v>
      </c>
      <c r="B45" s="244" t="s">
        <v>1512</v>
      </c>
      <c r="C45" s="245">
        <f ca="1">C46</f>
        <v>28816916</v>
      </c>
      <c r="D45" s="235">
        <f ca="1">C47</f>
        <v>2.2000000000000001E-3</v>
      </c>
      <c r="E45" s="236" t="s">
        <v>1538</v>
      </c>
      <c r="F45" s="246">
        <f ca="1">F27</f>
        <v>0.11</v>
      </c>
      <c r="G45" s="247" t="s">
        <v>1547</v>
      </c>
    </row>
    <row r="46" spans="1:7" s="214" customFormat="1" ht="13.5" customHeight="1">
      <c r="A46" s="779" t="s">
        <v>346</v>
      </c>
      <c r="B46" s="248" t="s">
        <v>1548</v>
      </c>
      <c r="C46" s="249">
        <f ca="1">ROUND((C33+C39)*F27,0)</f>
        <v>28816916</v>
      </c>
      <c r="D46" s="263"/>
      <c r="E46" s="236"/>
      <c r="F46" s="246"/>
      <c r="G46" s="247"/>
    </row>
    <row r="47" spans="1:7" s="214" customFormat="1" ht="13.5" customHeight="1">
      <c r="A47" s="779" t="s">
        <v>347</v>
      </c>
      <c r="B47" s="248" t="s">
        <v>1549</v>
      </c>
      <c r="C47" s="238">
        <f ca="1">ROUND(C40*F27,4)</f>
        <v>2.2000000000000001E-3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325523828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325523828</v>
      </c>
      <c r="D51" s="232"/>
      <c r="E51" s="232"/>
      <c r="F51" s="264"/>
      <c r="G51" s="234" t="s">
        <v>1559</v>
      </c>
    </row>
    <row r="52" spans="1:7" s="208" customFormat="1" ht="16.5" thickBot="1">
      <c r="A52" s="265" t="s">
        <v>1560</v>
      </c>
      <c r="B52" s="266"/>
      <c r="C52" s="267">
        <f ca="1">C31+C51</f>
        <v>350408173</v>
      </c>
      <c r="D52" s="266"/>
      <c r="E52" s="266"/>
      <c r="F52" s="266"/>
      <c r="G52" s="268"/>
    </row>
    <row r="55" spans="1:7" ht="15">
      <c r="B55" s="270" t="s">
        <v>1561</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7" sqref="D37"/>
    </sheetView>
  </sheetViews>
  <sheetFormatPr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9" style="1995"/>
  </cols>
  <sheetData>
    <row r="1" spans="1:36" ht="28.5">
      <c r="A1" s="196" t="s">
        <v>1925</v>
      </c>
      <c r="B1" s="197"/>
      <c r="C1" s="201" t="s">
        <v>1926</v>
      </c>
      <c r="D1" s="342">
        <f>SUM(D33:D34,D37:D42)</f>
        <v>34807</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4758</v>
      </c>
      <c r="C2" s="1996" t="s">
        <v>1934</v>
      </c>
      <c r="D2" s="1997" t="s">
        <v>1935</v>
      </c>
      <c r="E2" s="3419" t="s">
        <v>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Ⅷ-顺5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1.5418000000000001</v>
      </c>
      <c r="T2" s="3358">
        <f t="shared" ref="T2:T16" si="0">ROUND($C$5*$C$22*$C$23*$C$24*S2*$C$28,0)</f>
        <v>2236</v>
      </c>
      <c r="U2" s="1212"/>
      <c r="V2" s="3358">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1367</v>
      </c>
      <c r="C3" s="1996" t="s">
        <v>1940</v>
      </c>
      <c r="D3" s="1997" t="s">
        <v>1941</v>
      </c>
      <c r="E3" s="3417" t="s">
        <v>3424</v>
      </c>
      <c r="F3" s="2001" t="s">
        <v>3425</v>
      </c>
      <c r="G3" s="752">
        <f>IF(F3="宗地容积率",'数据-汇总表'!I4,IF(F3="估价对象容积率",'数据-汇总表'!I6,'数据-汇总表'!I7))</f>
        <v>1.8</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1.1883999999999999</v>
      </c>
      <c r="T3" s="3358">
        <f t="shared" si="0"/>
        <v>1723</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698"/>
      <c r="B4" s="3699"/>
      <c r="C4" s="3699"/>
      <c r="D4" s="3700"/>
      <c r="E4" s="3700"/>
      <c r="F4" s="3700"/>
      <c r="G4" s="3700"/>
      <c r="H4" s="3700"/>
      <c r="I4" s="3700"/>
      <c r="J4" s="3701"/>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0.96940000000000004</v>
      </c>
      <c r="T4" s="3358">
        <f t="shared" si="0"/>
        <v>1406</v>
      </c>
      <c r="U4" s="1212"/>
      <c r="V4" s="3358">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3">
        <f>ROUND(IF(E2="商业",C6*C7*C17+C20,(IF(E2="住宅",C6*C13*C17+C20,IF(E2="办公",C6*C12*C17+C20,C6+C20)))),0)</f>
        <v>1147</v>
      </c>
      <c r="D5" s="1338">
        <f>ROUND(C6*C17+C20,0)</f>
        <v>1147</v>
      </c>
      <c r="E5" s="1338"/>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0.82299999999999995</v>
      </c>
      <c r="T5" s="3358">
        <f t="shared" si="0"/>
        <v>1193</v>
      </c>
      <c r="U5" s="1212"/>
      <c r="V5" s="3358">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4">
        <f>SUMIF(L1:L12,G2,M1:M12)</f>
        <v>1100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0.74980000000000002</v>
      </c>
      <c r="T6" s="3358">
        <f t="shared" si="0"/>
        <v>1087</v>
      </c>
      <c r="U6" s="1212"/>
      <c r="V6" s="3358">
        <f t="shared" si="1"/>
        <v>0</v>
      </c>
      <c r="W6" s="1215"/>
      <c r="X6" s="1215"/>
      <c r="Y6" s="1215"/>
      <c r="Z6" s="1215"/>
      <c r="AA6" s="1215"/>
      <c r="AB6" s="1215"/>
      <c r="AC6" s="2008"/>
      <c r="AD6" s="2009"/>
      <c r="AE6" s="2009"/>
      <c r="AF6" s="2009"/>
      <c r="AG6" s="2009"/>
      <c r="AH6" s="2009"/>
      <c r="AI6" s="2009"/>
      <c r="AJ6" s="2010"/>
    </row>
    <row r="7" spans="1:36" ht="24.75" thickBot="1">
      <c r="A7" s="3301" t="s">
        <v>3236</v>
      </c>
      <c r="B7" s="2018" t="s">
        <v>1951</v>
      </c>
      <c r="C7" s="755" t="e">
        <f>IF(C8="不临65条商业街",1,ROUND(1+(1.6*E8+1.2*E9+0.8*E10+0.4*E11)*C9,4))</f>
        <v>#DIV/0!</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1954</v>
      </c>
      <c r="X7" s="1213" t="str">
        <f>G2</f>
        <v>八级</v>
      </c>
      <c r="Y7" s="1213" t="s">
        <v>1955</v>
      </c>
      <c r="Z7" s="1214">
        <f>G3</f>
        <v>1.8</v>
      </c>
      <c r="AA7" s="1215"/>
      <c r="AB7" s="1215"/>
      <c r="AC7" s="1216"/>
      <c r="AD7" s="1217"/>
      <c r="AE7" s="1217"/>
      <c r="AF7" s="1217"/>
      <c r="AG7" s="1217"/>
      <c r="AH7" s="1217"/>
      <c r="AI7" s="1217"/>
      <c r="AJ7" s="1218"/>
    </row>
    <row r="8" spans="1:36" ht="15">
      <c r="A8" s="3296"/>
      <c r="B8" s="170" t="s">
        <v>1956</v>
      </c>
      <c r="C8" s="2023"/>
      <c r="D8" s="756" t="s">
        <v>112</v>
      </c>
      <c r="E8" s="757" t="e">
        <f>ROUND(C11/E7,4)</f>
        <v>#DIV/0!</v>
      </c>
      <c r="F8" s="2024" t="s">
        <v>1957</v>
      </c>
      <c r="G8" s="2025"/>
      <c r="H8" s="2025"/>
      <c r="I8" s="2025"/>
      <c r="J8" s="2026"/>
      <c r="K8" s="1118"/>
      <c r="L8" s="2000" t="s">
        <v>1958</v>
      </c>
      <c r="M8" s="863">
        <f>SUMPRODUCT((区片价!B234:B276=I2)*(区片价!C3:G3=E2)*(区片价!C234:G276))</f>
        <v>1100</v>
      </c>
      <c r="N8" s="865">
        <f>SUMPRODUCT((因素修正幅度!B234:B276=I2)*(因素修正幅度!C3:G3=E2)*(因素修正幅度!C234:G276))</f>
        <v>0.1</v>
      </c>
      <c r="O8" s="1118"/>
      <c r="P8" s="1118"/>
      <c r="Q8" s="1118"/>
      <c r="R8" s="1211">
        <v>7</v>
      </c>
      <c r="S8" s="1212"/>
      <c r="T8" s="3358">
        <f t="shared" si="0"/>
        <v>0</v>
      </c>
      <c r="U8" s="1212"/>
      <c r="V8" s="3358">
        <f t="shared" si="1"/>
        <v>0</v>
      </c>
      <c r="W8" s="3695" t="s">
        <v>1959</v>
      </c>
      <c r="X8" s="369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697"/>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69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c r="D12" s="3304" t="s">
        <v>3239</v>
      </c>
      <c r="E12" s="3305" t="s">
        <v>3240</v>
      </c>
      <c r="F12" s="3306"/>
      <c r="G12" s="3307"/>
      <c r="H12" s="3307"/>
      <c r="I12" s="3307"/>
      <c r="J12" s="3308"/>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1" t="s">
        <v>1981</v>
      </c>
      <c r="C13" s="755">
        <f>ROUND(C16*D16*E16*F16*G16*H16*I16*J16,4)</f>
        <v>0</v>
      </c>
      <c r="D13" s="2032" t="s">
        <v>1982</v>
      </c>
      <c r="E13" s="2033"/>
      <c r="F13" s="2033"/>
      <c r="G13" s="2034"/>
      <c r="H13" s="2034"/>
      <c r="I13" s="2034"/>
      <c r="J13" s="2035"/>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7" t="s">
        <v>1984</v>
      </c>
      <c r="C14" s="2038" t="s">
        <v>1985</v>
      </c>
      <c r="D14" s="1349" t="s">
        <v>1986</v>
      </c>
      <c r="E14" s="27" t="s">
        <v>1987</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39"/>
      <c r="C15" s="2040"/>
      <c r="D15" s="2041"/>
      <c r="E15" s="2042"/>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4"/>
      <c r="M16" s="1994"/>
      <c r="N16" s="1994"/>
      <c r="O16" s="1994"/>
      <c r="P16" s="1994"/>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30"/>
      <c r="B18" s="3007"/>
      <c r="C18" s="3325"/>
      <c r="D18" s="3320" t="s">
        <v>3247</v>
      </c>
      <c r="E18" s="3326"/>
      <c r="F18" s="3321" t="s">
        <v>3250</v>
      </c>
      <c r="G18" s="3325">
        <f>ROUND(1-(1/(POWER(1+G24,E18))),4)</f>
        <v>0</v>
      </c>
      <c r="H18" s="3321" t="s">
        <v>3252</v>
      </c>
      <c r="I18" s="3325">
        <f>ROUND(1-(1/(POWER(1+G24,J24))),4)</f>
        <v>0.91279999999999994</v>
      </c>
      <c r="J18" s="3331"/>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5"/>
    </row>
    <row r="19" spans="1:37" s="2011" customFormat="1" ht="15" thickBot="1">
      <c r="A19" s="3332"/>
      <c r="B19" s="3333"/>
      <c r="C19" s="3334"/>
      <c r="D19" s="3334" t="s">
        <v>3248</v>
      </c>
      <c r="E19" s="3335"/>
      <c r="F19" s="3336" t="s">
        <v>3251</v>
      </c>
      <c r="G19" s="3335"/>
      <c r="H19" s="3334"/>
      <c r="I19" s="3334"/>
      <c r="J19" s="3337"/>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8"/>
      <c r="AH19" s="2138"/>
      <c r="AI19" s="2789"/>
      <c r="AJ19" s="2789"/>
      <c r="AK19" s="2054"/>
    </row>
    <row r="20" spans="1:37" s="2011" customFormat="1" ht="14.25">
      <c r="A20" s="3702" t="s">
        <v>3253</v>
      </c>
      <c r="B20" s="167" t="s">
        <v>1993</v>
      </c>
      <c r="C20" s="3322">
        <f>ROUND(IF(F21="与级别开发程度一致",0,(G21-E21)/C21),0)</f>
        <v>47</v>
      </c>
      <c r="D20" s="3338" t="s">
        <v>1997</v>
      </c>
      <c r="E20" s="3339"/>
      <c r="F20" s="3708" t="s">
        <v>1994</v>
      </c>
      <c r="G20" s="3709"/>
      <c r="H20" s="3323" t="s">
        <v>3426</v>
      </c>
      <c r="I20" s="3323" t="s">
        <v>3427</v>
      </c>
      <c r="J20" s="3324" t="s">
        <v>3428</v>
      </c>
      <c r="K20" s="2044" t="s">
        <v>3429</v>
      </c>
      <c r="L20" s="2044" t="s">
        <v>3430</v>
      </c>
      <c r="M20" s="2044" t="s">
        <v>3431</v>
      </c>
      <c r="N20" s="2044" t="s">
        <v>3432</v>
      </c>
      <c r="O20" s="2045" t="s">
        <v>3433</v>
      </c>
      <c r="P20" s="1994"/>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1" customFormat="1" ht="26.25" thickBot="1">
      <c r="A21" s="3703"/>
      <c r="B21" s="2161" t="s">
        <v>1996</v>
      </c>
      <c r="C21" s="2162">
        <f>IF(E3="M4科研用地",SUMPRODUCT((修正!A2:A7=E3)*(修正!B1:M1=G2)*(修正!B2:M7)),SUMPRODUCT((修正!A2:A7=E2)*(修正!B1:M1=G2)*(修正!B2:M7)))</f>
        <v>1.5</v>
      </c>
      <c r="D21" s="187" t="str">
        <f>IF(OR(G2="八级",G2="九级",G2="十级",G2="十一级",G2="十二级"),"五通一平","七通一平")</f>
        <v>五通一平</v>
      </c>
      <c r="E21" s="2152">
        <f>SUMPRODUCT((修正!B1:M1=G2)*(修正!B17:M17))</f>
        <v>185</v>
      </c>
      <c r="F21" s="2153" t="s">
        <v>3434</v>
      </c>
      <c r="G21" s="2154">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4"/>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1" customFormat="1" ht="15.75" thickBot="1">
      <c r="A22" s="2155" t="s">
        <v>363</v>
      </c>
      <c r="B22" s="2156" t="s">
        <v>1999</v>
      </c>
      <c r="C22" s="2157">
        <f>SUMIF(修正!C20:C51,E3,修正!E20:E51)</f>
        <v>2</v>
      </c>
      <c r="D22" s="2158"/>
      <c r="E22" s="2159"/>
      <c r="F22" s="2159"/>
      <c r="G22" s="2159"/>
      <c r="H22" s="2159"/>
      <c r="I22" s="2159"/>
      <c r="J22" s="2160"/>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7" t="s">
        <v>364</v>
      </c>
      <c r="B23" s="2048" t="s">
        <v>2000</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1" t="s">
        <v>2001</v>
      </c>
      <c r="E23" s="761">
        <v>44197</v>
      </c>
      <c r="F23" s="2051" t="s">
        <v>2002</v>
      </c>
      <c r="G23" s="762">
        <f>'数据-取费表'!B2</f>
        <v>45722</v>
      </c>
      <c r="H23" s="3340" t="s">
        <v>3255</v>
      </c>
      <c r="I23" s="3341" t="str">
        <f>IF(H23="季度增幅（自定义）",SUMIF(N25:N28,E2,O25:O28),"")</f>
        <v/>
      </c>
      <c r="J23" s="3443" t="s">
        <v>3254</v>
      </c>
      <c r="K23" s="1124"/>
      <c r="L23" s="2052" t="s">
        <v>2003</v>
      </c>
      <c r="M23" s="1327">
        <f>ROUND(SUMIF(地价!B2:G2,E2,地价!B16:G16),0)</f>
        <v>318</v>
      </c>
      <c r="N23" s="2053" t="s">
        <v>2004</v>
      </c>
      <c r="O23" s="763">
        <f>ROUNDDOWN(DATEDIF(E23,G23,"M")/3,0)</f>
        <v>16</v>
      </c>
      <c r="P23" s="1121"/>
      <c r="Q23" s="2785"/>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3478">
        <f>常用公式!C15*'数据-取费表'!G16</f>
        <v>0.56519279999999994</v>
      </c>
      <c r="D24" s="2057" t="s">
        <v>2006</v>
      </c>
      <c r="E24" s="1334">
        <f>存贷款利率!E27/100</f>
        <v>4.3499999999999997E-2</v>
      </c>
      <c r="F24" s="2057" t="s">
        <v>1998</v>
      </c>
      <c r="G24" s="767">
        <f>SUMIF(M30:Q30,E2,M33:Q33)</f>
        <v>0.05</v>
      </c>
      <c r="H24" s="2057" t="s">
        <v>2007</v>
      </c>
      <c r="I24" s="768">
        <f>SUMIF('数据-取费表'!C6:C15,E2,'数据-取费表'!F6:F15)/COUNTIF('数据-取费表'!C6:C15,E2)</f>
        <v>15.07</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2" t="s">
        <v>366</v>
      </c>
      <c r="B25" s="2063" t="s">
        <v>3334</v>
      </c>
      <c r="C25" s="770">
        <f>IF(B25="容积率修正",IF(G3&lt;10,D26,J26),C27)</f>
        <v>0.94299999999999995</v>
      </c>
      <c r="D25" s="2064"/>
      <c r="E25" s="2064"/>
      <c r="F25" s="2064"/>
      <c r="G25" s="2064"/>
      <c r="H25" s="2064"/>
      <c r="I25" s="2064"/>
      <c r="J25" s="2065"/>
      <c r="K25" s="1124"/>
      <c r="L25" s="2785"/>
      <c r="M25" s="2785"/>
      <c r="N25" s="2066"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2" t="s">
        <v>3256</v>
      </c>
      <c r="D26" s="1351">
        <f>IF(E26=G26,F26,IF(G3&lt;10,ROUND(F26+(H26-F26)*(G3-E26)/(G26-E26),4),"——"))</f>
        <v>0.94299999999999995</v>
      </c>
      <c r="E26" s="752">
        <f>ROUNDDOWN(G3,1)</f>
        <v>1.8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0.94299999999999995</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2" t="s">
        <v>3257</v>
      </c>
      <c r="J26" s="771" t="str">
        <f>IF(G3&gt;=10,D115,"——")</f>
        <v>——</v>
      </c>
      <c r="K26" s="1124"/>
      <c r="L26" s="2785"/>
      <c r="M26" s="2785"/>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60">
        <f>SUMIF(A47:A101,E2,B47:B101)</f>
        <v>1.0329999999999999</v>
      </c>
      <c r="D28" s="2049"/>
      <c r="E28" s="2074"/>
      <c r="F28" s="2074"/>
      <c r="G28" s="2074"/>
      <c r="H28" s="2074"/>
      <c r="I28" s="2074"/>
      <c r="J28" s="2075"/>
      <c r="K28" s="1124"/>
      <c r="L28" s="2785"/>
      <c r="M28" s="2785"/>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4758</v>
      </c>
      <c r="D30" s="2080"/>
      <c r="E30" s="2043"/>
      <c r="F30" s="2081"/>
      <c r="G30" s="2043"/>
      <c r="H30" s="2043"/>
      <c r="I30" s="2043"/>
      <c r="J30" s="2082"/>
      <c r="K30" s="1118"/>
      <c r="L30" s="3348" t="s">
        <v>1935</v>
      </c>
      <c r="M30" s="3349" t="s">
        <v>1989</v>
      </c>
      <c r="N30" s="3349" t="s">
        <v>1990</v>
      </c>
      <c r="O30" s="3349" t="s">
        <v>1991</v>
      </c>
      <c r="P30" s="3349" t="s">
        <v>1992</v>
      </c>
      <c r="Q30" s="3352" t="s">
        <v>3261</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50" t="s">
        <v>1995</v>
      </c>
      <c r="M31" s="1997">
        <v>0.25</v>
      </c>
      <c r="N31" s="1997">
        <v>0.2</v>
      </c>
      <c r="O31" s="1997">
        <v>0.15</v>
      </c>
      <c r="P31" s="1997">
        <v>0.1</v>
      </c>
      <c r="Q31" s="3345">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1" t="s">
        <v>1998</v>
      </c>
      <c r="M32" s="2567">
        <f>ROUND($E$24*(1+M31),3)</f>
        <v>5.3999999999999999E-2</v>
      </c>
      <c r="N32" s="2567">
        <f>ROUND($E$24*(1+N31),3)</f>
        <v>5.1999999999999998E-2</v>
      </c>
      <c r="O32" s="2567">
        <f>ROUND($E$24*(1+O31),3)</f>
        <v>0.05</v>
      </c>
      <c r="P32" s="2567">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1367</v>
      </c>
      <c r="D33" s="2095">
        <f>'数据-汇总表'!F19</f>
        <v>34807</v>
      </c>
      <c r="E33" s="772">
        <f>ROUND(C33*D33/10000,0)</f>
        <v>4758</v>
      </c>
      <c r="F33" s="3343" t="s">
        <v>3259</v>
      </c>
      <c r="G33" s="2096"/>
      <c r="H33" s="2096"/>
      <c r="I33" s="2096"/>
      <c r="J33" s="2097"/>
      <c r="K33" s="1118"/>
      <c r="L33" s="3346" t="s">
        <v>3262</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205</v>
      </c>
      <c r="D34" s="2100"/>
      <c r="E34" s="772">
        <f>ROUND(IF(B25="楼层修正",SUM(V2:V16)*M40,C34*D34/10000),0)</f>
        <v>0</v>
      </c>
      <c r="F34" s="2101" t="s">
        <v>2031</v>
      </c>
      <c r="G34" s="2102"/>
      <c r="H34" s="2102"/>
      <c r="I34" s="2102"/>
      <c r="J34" s="2103"/>
      <c r="K34" s="1118"/>
      <c r="L34" s="3346" t="s">
        <v>3263</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4" t="s">
        <v>3260</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3264</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06"/>
      <c r="B37" s="2110" t="s">
        <v>2035</v>
      </c>
      <c r="C37" s="175">
        <f>ROUND(D5*C22*C23*C24*C28*F37,0)</f>
        <v>725</v>
      </c>
      <c r="D37" s="2095"/>
      <c r="E37" s="171">
        <f>ROUND(C37*D37/10000,0)</f>
        <v>0</v>
      </c>
      <c r="F37" s="171">
        <f>SUMIF(修正!A57:A68,G2,修正!B57:B68)</f>
        <v>0.5</v>
      </c>
      <c r="G37" s="171">
        <f>ROUND(IF(E2="工业",C37*$M$42,C37*$M$41),0)</f>
        <v>109</v>
      </c>
      <c r="H37" s="171">
        <f>D37</f>
        <v>0</v>
      </c>
      <c r="I37" s="171">
        <f>ROUND(G37*H37/10000,0)</f>
        <v>0</v>
      </c>
      <c r="J37" s="3009"/>
      <c r="K37" s="3356" t="s">
        <v>3265</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07"/>
      <c r="B38" s="2038" t="s">
        <v>2036</v>
      </c>
      <c r="C38" s="175">
        <f>ROUND(D5*C22*C23*C24*C28*F38,0)</f>
        <v>290</v>
      </c>
      <c r="D38" s="2095"/>
      <c r="E38" s="171">
        <f t="shared" ref="E38:E42" si="4">ROUND(C38*D38/10000,0)</f>
        <v>0</v>
      </c>
      <c r="F38" s="171">
        <f>SUMIF(修正!A57:A68,G2,修正!C57:C68)</f>
        <v>0.2</v>
      </c>
      <c r="G38" s="171">
        <f>ROUND(IF(E2="工业",C38*$M$42,C38*$M$41),0)</f>
        <v>44</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07"/>
      <c r="B39" s="2038" t="s">
        <v>3258</v>
      </c>
      <c r="C39" s="175">
        <f>ROUND(D5*C22*C23*C24*C28*F39,0)</f>
        <v>290</v>
      </c>
      <c r="D39" s="2095"/>
      <c r="E39" s="171">
        <f t="shared" si="4"/>
        <v>0</v>
      </c>
      <c r="F39" s="171">
        <f>SUMIF(修正!A57:A68,G2,修正!D57:D68)</f>
        <v>0.2</v>
      </c>
      <c r="G39" s="171">
        <f>ROUND(IF(E2="工业",C39*$M$42,C39*$M$41),0)</f>
        <v>44</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290</v>
      </c>
      <c r="D40" s="2095"/>
      <c r="E40" s="171">
        <f t="shared" si="4"/>
        <v>0</v>
      </c>
      <c r="F40" s="175">
        <f>SUMIF(修正!A57:A68,G2,修正!E57:E68)</f>
        <v>0.2</v>
      </c>
      <c r="G40" s="171">
        <f>ROUND(IF(E2="工业",C40*$M$42,C40*$M$41),0)</f>
        <v>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v>
      </c>
      <c r="G41" s="171">
        <f>ROUND(IF(E2="工业",C41*$M$42,C41*$M$41),0)</f>
        <v>0</v>
      </c>
      <c r="H41" s="171">
        <f t="shared" si="5"/>
        <v>0</v>
      </c>
      <c r="I41" s="171">
        <f t="shared" si="6"/>
        <v>0</v>
      </c>
      <c r="J41" s="2111"/>
      <c r="L41" s="3357" t="s">
        <v>3266</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0.05</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hidden="1">
      <c r="A48" s="2123" t="s">
        <v>2042</v>
      </c>
      <c r="B48" s="2124">
        <f>1+E50</f>
        <v>1</v>
      </c>
      <c r="C48" s="2125"/>
      <c r="D48" s="741"/>
      <c r="E48" s="742"/>
      <c r="F48" s="2126"/>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hidden="1">
      <c r="A49" s="2127" t="s">
        <v>2043</v>
      </c>
      <c r="B49" s="1350" t="s">
        <v>2044</v>
      </c>
      <c r="C49" s="1350" t="s">
        <v>2045</v>
      </c>
      <c r="D49" s="1350" t="s">
        <v>2046</v>
      </c>
      <c r="E49" s="743"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hidden="1">
      <c r="A50" s="2127" t="s">
        <v>2051</v>
      </c>
      <c r="B50" s="2130" t="str">
        <f>估价对象房地状况!C4</f>
        <v>估价对象位于XX商圈，周边商业氛围成熟，人流量大，商业繁华度好</v>
      </c>
      <c r="C50" s="2041"/>
      <c r="D50" s="1064">
        <f t="shared" ref="D50:D58" si="7">SUMIF($J$49:$N$49,C50,J50:N50)</f>
        <v>0</v>
      </c>
      <c r="E50" s="744">
        <f>ROUND(SUM(D50:D58),4)</f>
        <v>0</v>
      </c>
      <c r="F50" s="1811"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7" t="s">
        <v>2052</v>
      </c>
      <c r="B51" s="2131" t="str">
        <f>估价对象房地状况!C18</f>
        <v>估价对象周边道路状况、公共交通通达情况、停车便捷程度，综合评价交通便捷度较好</v>
      </c>
      <c r="C51" s="2041"/>
      <c r="D51" s="1064">
        <f t="shared" si="7"/>
        <v>0</v>
      </c>
      <c r="E51" s="745"/>
      <c r="F51" s="1811"/>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6" t="s">
        <v>3268</v>
      </c>
      <c r="B52" s="2131">
        <f>估价对象房地状况!C19</f>
        <v>0</v>
      </c>
      <c r="C52" s="2041"/>
      <c r="D52" s="1064">
        <f t="shared" si="7"/>
        <v>0</v>
      </c>
      <c r="E52" s="745"/>
      <c r="F52" s="1811"/>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7" t="s">
        <v>2053</v>
      </c>
      <c r="B53" s="2132" t="s">
        <v>2054</v>
      </c>
      <c r="C53" s="2041"/>
      <c r="D53" s="1064">
        <f t="shared" si="7"/>
        <v>0</v>
      </c>
      <c r="E53" s="745"/>
      <c r="F53" s="1811"/>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7" t="s">
        <v>2055</v>
      </c>
      <c r="B54" s="2131">
        <f>估价对象房地状况!C24</f>
        <v>0</v>
      </c>
      <c r="C54" s="2041"/>
      <c r="D54" s="1064">
        <f t="shared" si="7"/>
        <v>0</v>
      </c>
      <c r="E54" s="745"/>
      <c r="F54" s="1811"/>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7" t="s">
        <v>2056</v>
      </c>
      <c r="B55" s="2133" t="s">
        <v>2057</v>
      </c>
      <c r="C55" s="2041"/>
      <c r="D55" s="1064">
        <f t="shared" si="7"/>
        <v>0</v>
      </c>
      <c r="E55" s="745"/>
      <c r="F55" s="1811"/>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4" t="s">
        <v>2058</v>
      </c>
      <c r="B56" s="1325" t="str">
        <f>估价对象房地状况!C21</f>
        <v>估价对象所在区域公共配套设施齐备情况</v>
      </c>
      <c r="C56" s="2041"/>
      <c r="D56" s="1064">
        <f t="shared" si="7"/>
        <v>0</v>
      </c>
      <c r="E56" s="745"/>
      <c r="F56" s="1811"/>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4" t="s">
        <v>2059</v>
      </c>
      <c r="B57" s="2131" t="str">
        <f>估价对象房地状况!C22</f>
        <v>估价对象所在区域基础设施水平</v>
      </c>
      <c r="C57" s="2041"/>
      <c r="D57" s="1064">
        <f t="shared" si="7"/>
        <v>0</v>
      </c>
      <c r="E57" s="745"/>
      <c r="F57" s="1811"/>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5" t="s">
        <v>2060</v>
      </c>
      <c r="B58" s="2136" t="str">
        <f>估价对象房地状况!C20</f>
        <v>区域自然环境：；人文环境；综合评价环境状况一般</v>
      </c>
      <c r="C58" s="2041"/>
      <c r="D58" s="1064">
        <f t="shared" si="7"/>
        <v>0</v>
      </c>
      <c r="E58" s="746"/>
      <c r="F58" s="1811"/>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3" t="s">
        <v>2061</v>
      </c>
      <c r="B59" s="2124">
        <f>1+E61</f>
        <v>1</v>
      </c>
      <c r="C59" s="741"/>
      <c r="D59" s="741"/>
      <c r="E59" s="742"/>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7" t="s">
        <v>2043</v>
      </c>
      <c r="B60" s="1350"/>
      <c r="C60" s="1350" t="s">
        <v>2045</v>
      </c>
      <c r="D60" s="1350" t="s">
        <v>2046</v>
      </c>
      <c r="E60" s="743"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hidden="1">
      <c r="A61" s="2127" t="s">
        <v>2063</v>
      </c>
      <c r="B61" s="2130" t="str">
        <f>估价对象房地状况!C17</f>
        <v>估价对象位于XX商圈，周边办公楼项目较多，入驻率高，办公集聚程度较好</v>
      </c>
      <c r="C61" s="2041"/>
      <c r="D61" s="1064">
        <f t="shared" ref="D61:D69" si="12">SUMIF($J$60:$N$60,C61,J61:N61)</f>
        <v>0</v>
      </c>
      <c r="E61" s="744">
        <f>ROUND(SUM(D61:D69),4)</f>
        <v>0</v>
      </c>
      <c r="F61" s="1811"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7" t="s">
        <v>2052</v>
      </c>
      <c r="B62" s="2131" t="str">
        <f>估价对象房地状况!C18</f>
        <v>估价对象周边道路状况、公共交通通达情况、停车便捷程度，综合评价交通便捷度较好</v>
      </c>
      <c r="C62" s="2041"/>
      <c r="D62" s="1064">
        <f t="shared" si="12"/>
        <v>0</v>
      </c>
      <c r="E62" s="745"/>
      <c r="F62" s="1811"/>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6" t="s">
        <v>3268</v>
      </c>
      <c r="B63" s="2131">
        <f>估价对象房地状况!C19</f>
        <v>0</v>
      </c>
      <c r="C63" s="2041"/>
      <c r="D63" s="1064">
        <f t="shared" si="12"/>
        <v>0</v>
      </c>
      <c r="E63" s="745"/>
      <c r="F63" s="1811"/>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7" t="s">
        <v>2053</v>
      </c>
      <c r="B64" s="2132" t="s">
        <v>2054</v>
      </c>
      <c r="C64" s="2041"/>
      <c r="D64" s="1064">
        <f t="shared" si="12"/>
        <v>0</v>
      </c>
      <c r="E64" s="745"/>
      <c r="F64" s="1811"/>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7" t="s">
        <v>2055</v>
      </c>
      <c r="B65" s="2131">
        <f>估价对象房地状况!C24</f>
        <v>0</v>
      </c>
      <c r="C65" s="2041"/>
      <c r="D65" s="1064">
        <f t="shared" si="12"/>
        <v>0</v>
      </c>
      <c r="E65" s="745"/>
      <c r="F65" s="1811"/>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7" t="s">
        <v>2056</v>
      </c>
      <c r="B66" s="2133" t="s">
        <v>2057</v>
      </c>
      <c r="C66" s="2041"/>
      <c r="D66" s="1064">
        <f t="shared" si="12"/>
        <v>0</v>
      </c>
      <c r="E66" s="745"/>
      <c r="F66" s="1811"/>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7" t="s">
        <v>2058</v>
      </c>
      <c r="B67" s="1325" t="str">
        <f>估价对象房地状况!C21</f>
        <v>估价对象所在区域公共配套设施齐备情况</v>
      </c>
      <c r="C67" s="2041"/>
      <c r="D67" s="1064">
        <f t="shared" si="12"/>
        <v>0</v>
      </c>
      <c r="E67" s="745"/>
      <c r="F67" s="1811"/>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7" t="s">
        <v>2059</v>
      </c>
      <c r="B68" s="1325" t="str">
        <f>估价对象房地状况!C22</f>
        <v>估价对象所在区域基础设施水平</v>
      </c>
      <c r="C68" s="2041"/>
      <c r="D68" s="1064">
        <f t="shared" si="12"/>
        <v>0</v>
      </c>
      <c r="E68" s="745"/>
      <c r="F68" s="1811"/>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5" t="s">
        <v>2060</v>
      </c>
      <c r="B69" s="2137" t="str">
        <f>估价对象房地状况!C20</f>
        <v>区域自然环境：；人文环境；综合评价环境状况一般</v>
      </c>
      <c r="C69" s="2041"/>
      <c r="D69" s="1064">
        <f t="shared" si="12"/>
        <v>0</v>
      </c>
      <c r="E69" s="746"/>
      <c r="F69" s="1811"/>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3" t="s">
        <v>2064</v>
      </c>
      <c r="B70" s="2124">
        <f>1+E72</f>
        <v>1</v>
      </c>
      <c r="C70" s="741"/>
      <c r="D70" s="741"/>
      <c r="E70" s="742"/>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7" t="s">
        <v>2043</v>
      </c>
      <c r="B71" s="1350"/>
      <c r="C71" s="1350" t="s">
        <v>2045</v>
      </c>
      <c r="D71" s="1350" t="s">
        <v>2046</v>
      </c>
      <c r="E71" s="743"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hidden="1">
      <c r="A72" s="2127" t="s">
        <v>2065</v>
      </c>
      <c r="B72" s="2130" t="str">
        <f>估价对象房地状况!C15</f>
        <v>估价对象周边居住用地比例、居住小区规模和社区发展完善程度，综合评价居住社区成熟度一般</v>
      </c>
      <c r="C72" s="2041"/>
      <c r="D72" s="1064">
        <f t="shared" ref="D72:D80" si="17">SUMIF($J$71:$N$71,C72,J72:N72)</f>
        <v>0</v>
      </c>
      <c r="E72" s="744">
        <f>ROUND(SUM(D72:D80),4)</f>
        <v>0</v>
      </c>
      <c r="F72" s="1811"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7" t="s">
        <v>2052</v>
      </c>
      <c r="B73" s="2131" t="str">
        <f>估价对象房地状况!C18</f>
        <v>估价对象周边道路状况、公共交通通达情况、停车便捷程度，综合评价交通便捷度较好</v>
      </c>
      <c r="C73" s="2041"/>
      <c r="D73" s="1064">
        <f t="shared" si="17"/>
        <v>0</v>
      </c>
      <c r="E73" s="747"/>
      <c r="F73" s="1811"/>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4" customFormat="1" ht="36" hidden="1">
      <c r="A74" s="3366" t="s">
        <v>3268</v>
      </c>
      <c r="B74" s="2131">
        <f>估价对象房地状况!C19</f>
        <v>0</v>
      </c>
      <c r="C74" s="2041"/>
      <c r="D74" s="1064">
        <f t="shared" si="17"/>
        <v>0</v>
      </c>
      <c r="E74" s="747"/>
      <c r="F74" s="1811"/>
      <c r="G74" s="1062"/>
      <c r="H74" s="1065" t="str">
        <f t="shared" si="18"/>
        <v>——</v>
      </c>
      <c r="I74" s="3364">
        <v>0.1</v>
      </c>
      <c r="J74" s="1063">
        <f t="shared" si="19"/>
        <v>0</v>
      </c>
      <c r="K74" s="1063">
        <f t="shared" si="20"/>
        <v>0</v>
      </c>
      <c r="L74" s="1063">
        <v>0</v>
      </c>
      <c r="M74" s="1063">
        <f t="shared" si="21"/>
        <v>0</v>
      </c>
      <c r="N74" s="1063">
        <f t="shared" si="21"/>
        <v>0</v>
      </c>
      <c r="O74" s="1118"/>
      <c r="P74" s="1118"/>
      <c r="Q74" s="1118"/>
      <c r="AA74" s="2138"/>
      <c r="AB74" s="1119"/>
      <c r="AC74" s="1119"/>
      <c r="AD74" s="1119"/>
      <c r="AE74" s="1119"/>
      <c r="AF74" s="1119"/>
      <c r="AG74" s="1119"/>
      <c r="AH74" s="2138"/>
      <c r="AI74" s="2138"/>
      <c r="AJ74" s="2138"/>
      <c r="AK74" s="2138"/>
    </row>
    <row r="75" spans="1:37" ht="14.25" hidden="1">
      <c r="A75" s="2127" t="s">
        <v>2066</v>
      </c>
      <c r="B75" s="2131">
        <f>估价对象房地状况!C24</f>
        <v>0</v>
      </c>
      <c r="C75" s="2041"/>
      <c r="D75" s="1064">
        <f t="shared" si="17"/>
        <v>0</v>
      </c>
      <c r="E75" s="747"/>
      <c r="F75" s="1811"/>
      <c r="G75" s="1062"/>
      <c r="H75" s="1065" t="str">
        <f t="shared" si="18"/>
        <v>——</v>
      </c>
      <c r="I75" s="3364">
        <v>0.05</v>
      </c>
      <c r="J75" s="1063">
        <f t="shared" si="19"/>
        <v>0</v>
      </c>
      <c r="K75" s="1063">
        <f t="shared" si="20"/>
        <v>0</v>
      </c>
      <c r="L75" s="1063">
        <v>0</v>
      </c>
      <c r="M75" s="1063">
        <f t="shared" si="21"/>
        <v>0</v>
      </c>
      <c r="N75" s="1063">
        <f t="shared" si="21"/>
        <v>0</v>
      </c>
      <c r="O75" s="1118"/>
      <c r="P75" s="1118"/>
      <c r="Q75" s="1994"/>
      <c r="Z75" s="1995"/>
      <c r="AA75" s="2050"/>
      <c r="AG75" s="1120"/>
      <c r="AK75" s="2050"/>
    </row>
    <row r="76" spans="1:37" ht="25.5" hidden="1">
      <c r="A76" s="2127" t="s">
        <v>2058</v>
      </c>
      <c r="B76" s="1325" t="str">
        <f>估价对象房地状况!C21</f>
        <v>估价对象所在区域公共配套设施齐备情况</v>
      </c>
      <c r="C76" s="2041"/>
      <c r="D76" s="1064">
        <f t="shared" si="17"/>
        <v>0</v>
      </c>
      <c r="E76" s="747"/>
      <c r="F76" s="1811"/>
      <c r="G76" s="1062"/>
      <c r="H76" s="1065" t="str">
        <f t="shared" si="18"/>
        <v>——</v>
      </c>
      <c r="I76" s="3364">
        <v>0.08</v>
      </c>
      <c r="J76" s="1063">
        <f t="shared" si="19"/>
        <v>0</v>
      </c>
      <c r="K76" s="1063">
        <f t="shared" si="20"/>
        <v>0</v>
      </c>
      <c r="L76" s="1063">
        <v>0</v>
      </c>
      <c r="M76" s="1063">
        <f t="shared" si="21"/>
        <v>0</v>
      </c>
      <c r="N76" s="1063">
        <f t="shared" si="21"/>
        <v>0</v>
      </c>
      <c r="O76" s="1118"/>
      <c r="P76" s="1118"/>
      <c r="Z76" s="1995"/>
      <c r="AA76" s="2050"/>
      <c r="AG76" s="1120"/>
      <c r="AK76" s="2050"/>
    </row>
    <row r="77" spans="1:37" ht="25.5" hidden="1">
      <c r="A77" s="2127" t="s">
        <v>2059</v>
      </c>
      <c r="B77" s="1325" t="str">
        <f>估价对象房地状况!C22</f>
        <v>估价对象所在区域基础设施水平</v>
      </c>
      <c r="C77" s="2041"/>
      <c r="D77" s="1064">
        <f t="shared" si="17"/>
        <v>0</v>
      </c>
      <c r="E77" s="747"/>
      <c r="F77" s="1811"/>
      <c r="G77" s="1062"/>
      <c r="H77" s="1065" t="str">
        <f t="shared" si="18"/>
        <v>——</v>
      </c>
      <c r="I77" s="3364">
        <v>0.09</v>
      </c>
      <c r="J77" s="1063">
        <f t="shared" si="19"/>
        <v>0</v>
      </c>
      <c r="K77" s="1063">
        <f t="shared" si="20"/>
        <v>0</v>
      </c>
      <c r="L77" s="1063">
        <v>0</v>
      </c>
      <c r="M77" s="1063">
        <f t="shared" si="21"/>
        <v>0</v>
      </c>
      <c r="N77" s="1063">
        <f t="shared" si="21"/>
        <v>0</v>
      </c>
      <c r="O77" s="1118"/>
      <c r="P77" s="1118"/>
      <c r="Z77" s="1995"/>
      <c r="AA77" s="2050"/>
      <c r="AG77" s="1120"/>
      <c r="AK77" s="2050"/>
    </row>
    <row r="78" spans="1:37" ht="24" hidden="1">
      <c r="A78" s="2127" t="s">
        <v>2056</v>
      </c>
      <c r="B78" s="2133" t="s">
        <v>2057</v>
      </c>
      <c r="C78" s="2041"/>
      <c r="D78" s="1064">
        <f t="shared" si="17"/>
        <v>0</v>
      </c>
      <c r="E78" s="747"/>
      <c r="F78" s="1811"/>
      <c r="G78" s="1062"/>
      <c r="H78" s="1065" t="str">
        <f t="shared" si="18"/>
        <v>——</v>
      </c>
      <c r="I78" s="3364">
        <v>0.05</v>
      </c>
      <c r="J78" s="1063">
        <f t="shared" si="19"/>
        <v>0</v>
      </c>
      <c r="K78" s="1063">
        <f t="shared" si="20"/>
        <v>0</v>
      </c>
      <c r="L78" s="1063">
        <v>0</v>
      </c>
      <c r="M78" s="1063">
        <f t="shared" si="21"/>
        <v>0</v>
      </c>
      <c r="N78" s="1063">
        <f t="shared" si="21"/>
        <v>0</v>
      </c>
      <c r="O78" s="1994"/>
      <c r="P78" s="1994"/>
      <c r="Z78" s="1995"/>
      <c r="AA78" s="2050"/>
      <c r="AG78" s="1120"/>
      <c r="AK78" s="2050"/>
    </row>
    <row r="79" spans="1:37" ht="25.5" hidden="1">
      <c r="A79" s="2127" t="s">
        <v>2060</v>
      </c>
      <c r="B79" s="2130" t="str">
        <f>估价对象房地状况!C20</f>
        <v>区域自然环境：；人文环境；综合评价环境状况一般</v>
      </c>
      <c r="C79" s="2041"/>
      <c r="D79" s="1064">
        <f t="shared" si="17"/>
        <v>0</v>
      </c>
      <c r="E79" s="747"/>
      <c r="F79" s="1811"/>
      <c r="G79" s="1062"/>
      <c r="H79" s="1065" t="str">
        <f t="shared" si="18"/>
        <v>——</v>
      </c>
      <c r="I79" s="3364">
        <v>0.12</v>
      </c>
      <c r="J79" s="1063">
        <f t="shared" si="19"/>
        <v>0</v>
      </c>
      <c r="K79" s="1063">
        <f t="shared" si="20"/>
        <v>0</v>
      </c>
      <c r="L79" s="1063">
        <v>0</v>
      </c>
      <c r="M79" s="1063">
        <f t="shared" si="21"/>
        <v>0</v>
      </c>
      <c r="N79" s="1063">
        <f t="shared" si="21"/>
        <v>0</v>
      </c>
      <c r="Z79" s="1995"/>
      <c r="AA79" s="2050"/>
      <c r="AG79" s="1120"/>
      <c r="AK79" s="2050"/>
    </row>
    <row r="80" spans="1:37" ht="24.75" hidden="1" thickBot="1">
      <c r="A80" s="2135" t="s">
        <v>2067</v>
      </c>
      <c r="B80" s="2139"/>
      <c r="C80" s="2041"/>
      <c r="D80" s="1064">
        <f t="shared" si="17"/>
        <v>0</v>
      </c>
      <c r="E80" s="748"/>
      <c r="F80" s="1811"/>
      <c r="G80" s="1062"/>
      <c r="H80" s="1065" t="str">
        <f t="shared" si="18"/>
        <v>——</v>
      </c>
      <c r="I80" s="3365">
        <v>0.05</v>
      </c>
      <c r="J80" s="1063">
        <f t="shared" si="19"/>
        <v>0</v>
      </c>
      <c r="K80" s="1063">
        <f t="shared" si="20"/>
        <v>0</v>
      </c>
      <c r="L80" s="1063">
        <v>0</v>
      </c>
      <c r="M80" s="1063">
        <f t="shared" si="21"/>
        <v>0</v>
      </c>
      <c r="N80" s="1063">
        <f t="shared" si="21"/>
        <v>0</v>
      </c>
      <c r="Z80" s="1995"/>
      <c r="AA80" s="2050"/>
      <c r="AG80" s="1120"/>
      <c r="AK80" s="2050"/>
    </row>
    <row r="81" spans="1:37" ht="15">
      <c r="A81" s="2123" t="s">
        <v>2068</v>
      </c>
      <c r="B81" s="2124">
        <f>1+E83</f>
        <v>1.0329999999999999</v>
      </c>
      <c r="C81" s="741"/>
      <c r="D81" s="741"/>
      <c r="E81" s="742"/>
      <c r="F81" s="2126"/>
      <c r="G81" s="3"/>
      <c r="H81" s="3"/>
      <c r="I81" s="3"/>
      <c r="J81" s="4"/>
      <c r="K81" s="4"/>
      <c r="L81" s="4"/>
      <c r="M81" s="4"/>
      <c r="N81" s="4"/>
      <c r="Z81" s="1995"/>
      <c r="AA81" s="2050"/>
      <c r="AG81" s="1120"/>
      <c r="AK81" s="2050"/>
    </row>
    <row r="82" spans="1:37" ht="24.75">
      <c r="A82" s="2127" t="s">
        <v>2043</v>
      </c>
      <c r="B82" s="1350"/>
      <c r="C82" s="1350" t="s">
        <v>2045</v>
      </c>
      <c r="D82" s="1350" t="s">
        <v>2046</v>
      </c>
      <c r="E82" s="743"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38.25">
      <c r="A83" s="2127" t="s">
        <v>2069</v>
      </c>
      <c r="B83" s="2131" t="str">
        <f>估价对象房地状况!G15</f>
        <v>估价对象位于XX开发区，园区建设成熟度XX，产业集聚程度XX</v>
      </c>
      <c r="C83" s="3476" t="s">
        <v>3435</v>
      </c>
      <c r="D83" s="1064">
        <f t="shared" ref="D83:D90" si="22">SUMIF($J$82:$N$82,C83,J83:N83)</f>
        <v>1.2999999999999999E-2</v>
      </c>
      <c r="E83" s="744">
        <f>ROUND(SUM(D83:D90),4)</f>
        <v>3.3000000000000002E-2</v>
      </c>
      <c r="F83" s="1811">
        <f>IF(E2="工业",SUMIF(L1:L12,G2,N1:N12),"——")</f>
        <v>0.1</v>
      </c>
      <c r="G83" s="1062">
        <f>H83</f>
        <v>1.2999999999999999E-2</v>
      </c>
      <c r="H83" s="1065">
        <f t="shared" ref="H83:H90" si="23">IFERROR(ROUNDDOWN($F$83*I83/2,4),"——")</f>
        <v>1.2999999999999999E-2</v>
      </c>
      <c r="I83" s="3364">
        <v>0.26</v>
      </c>
      <c r="J83" s="1063">
        <f t="shared" ref="J83:J90" si="24">K83+$G83</f>
        <v>2.5999999999999999E-2</v>
      </c>
      <c r="K83" s="1063">
        <f t="shared" ref="K83:K90" si="25">$L83+$G83</f>
        <v>1.2999999999999999E-2</v>
      </c>
      <c r="L83" s="1063">
        <v>0</v>
      </c>
      <c r="M83" s="1063">
        <f t="shared" ref="M83:N90" si="26">L83-$G83</f>
        <v>-1.2999999999999999E-2</v>
      </c>
      <c r="N83" s="1063">
        <f t="shared" si="26"/>
        <v>-2.5999999999999999E-2</v>
      </c>
      <c r="Z83" s="1995"/>
      <c r="AA83" s="2050"/>
      <c r="AG83" s="1120"/>
      <c r="AK83" s="2050"/>
    </row>
    <row r="84" spans="1:37" ht="38.25">
      <c r="A84" s="2127" t="s">
        <v>2052</v>
      </c>
      <c r="B84" s="2131" t="str">
        <f>估价对象房地状况!G16</f>
        <v>估价对象周边道路状况、公共交通通达情况、停车便捷程度，综合评价交通便捷度较好</v>
      </c>
      <c r="C84" s="3476" t="s">
        <v>3436</v>
      </c>
      <c r="D84" s="1064">
        <f t="shared" si="22"/>
        <v>0</v>
      </c>
      <c r="E84" s="747"/>
      <c r="F84" s="1811"/>
      <c r="G84" s="1062">
        <f t="shared" ref="G84:G90" si="27">H84</f>
        <v>1.4999999999999999E-2</v>
      </c>
      <c r="H84" s="1065">
        <f t="shared" si="23"/>
        <v>1.4999999999999999E-2</v>
      </c>
      <c r="I84" s="3364">
        <v>0.3</v>
      </c>
      <c r="J84" s="1063">
        <f t="shared" si="24"/>
        <v>0.03</v>
      </c>
      <c r="K84" s="1063">
        <f t="shared" si="25"/>
        <v>1.4999999999999999E-2</v>
      </c>
      <c r="L84" s="1063">
        <v>0</v>
      </c>
      <c r="M84" s="1063">
        <f t="shared" si="26"/>
        <v>-1.4999999999999999E-2</v>
      </c>
      <c r="N84" s="1063">
        <f t="shared" si="26"/>
        <v>-0.03</v>
      </c>
      <c r="Z84" s="1995"/>
      <c r="AA84" s="2050"/>
      <c r="AG84" s="1120"/>
      <c r="AK84" s="2050"/>
    </row>
    <row r="85" spans="1:37" ht="36">
      <c r="A85" s="3366" t="s">
        <v>3269</v>
      </c>
      <c r="B85" s="2131">
        <f>估价对象房地状况!G17</f>
        <v>0</v>
      </c>
      <c r="C85" s="3476" t="s">
        <v>3435</v>
      </c>
      <c r="D85" s="1064">
        <f t="shared" si="22"/>
        <v>5.0000000000000001E-3</v>
      </c>
      <c r="E85" s="747"/>
      <c r="F85" s="1811"/>
      <c r="G85" s="1062">
        <f t="shared" si="27"/>
        <v>5.0000000000000001E-3</v>
      </c>
      <c r="H85" s="1065">
        <f t="shared" si="23"/>
        <v>5.0000000000000001E-3</v>
      </c>
      <c r="I85" s="3364">
        <v>0.1</v>
      </c>
      <c r="J85" s="1063">
        <f t="shared" si="24"/>
        <v>0.01</v>
      </c>
      <c r="K85" s="1063">
        <f t="shared" si="25"/>
        <v>5.0000000000000001E-3</v>
      </c>
      <c r="L85" s="1063">
        <v>0</v>
      </c>
      <c r="M85" s="1063">
        <f t="shared" si="26"/>
        <v>-5.0000000000000001E-3</v>
      </c>
      <c r="N85" s="1063">
        <f t="shared" si="26"/>
        <v>-0.01</v>
      </c>
      <c r="Z85" s="1995"/>
      <c r="AA85" s="2050"/>
      <c r="AG85" s="1120"/>
      <c r="AK85" s="2050"/>
    </row>
    <row r="86" spans="1:37" ht="14.25">
      <c r="A86" s="2127" t="s">
        <v>2066</v>
      </c>
      <c r="B86" s="2131">
        <f>估价对象房地状况!G22</f>
        <v>0</v>
      </c>
      <c r="C86" s="3476" t="s">
        <v>3436</v>
      </c>
      <c r="D86" s="1064">
        <f t="shared" si="22"/>
        <v>0</v>
      </c>
      <c r="E86" s="747"/>
      <c r="F86" s="1811"/>
      <c r="G86" s="1062">
        <f t="shared" si="27"/>
        <v>2.5000000000000001E-3</v>
      </c>
      <c r="H86" s="1065">
        <f t="shared" si="23"/>
        <v>2.5000000000000001E-3</v>
      </c>
      <c r="I86" s="3364">
        <v>0.05</v>
      </c>
      <c r="J86" s="1063">
        <f t="shared" si="24"/>
        <v>5.0000000000000001E-3</v>
      </c>
      <c r="K86" s="1063">
        <f t="shared" si="25"/>
        <v>2.5000000000000001E-3</v>
      </c>
      <c r="L86" s="1063">
        <v>0</v>
      </c>
      <c r="M86" s="1063">
        <f t="shared" si="26"/>
        <v>-2.5000000000000001E-3</v>
      </c>
      <c r="N86" s="1063">
        <f t="shared" si="26"/>
        <v>-5.0000000000000001E-3</v>
      </c>
      <c r="Z86" s="1995"/>
      <c r="AA86" s="2050"/>
      <c r="AG86" s="1120"/>
      <c r="AK86" s="2050"/>
    </row>
    <row r="87" spans="1:37" ht="25.5">
      <c r="A87" s="2127" t="s">
        <v>2058</v>
      </c>
      <c r="B87" s="1325" t="str">
        <f>估价对象房地状况!G19</f>
        <v>估价对象所在区域公共配套设施齐备情况</v>
      </c>
      <c r="C87" s="3476" t="s">
        <v>3436</v>
      </c>
      <c r="D87" s="1064">
        <f t="shared" si="22"/>
        <v>0</v>
      </c>
      <c r="E87" s="747"/>
      <c r="F87" s="1811"/>
      <c r="G87" s="1062">
        <f t="shared" si="27"/>
        <v>3.0000000000000001E-3</v>
      </c>
      <c r="H87" s="1065">
        <f t="shared" si="23"/>
        <v>3.0000000000000001E-3</v>
      </c>
      <c r="I87" s="3364">
        <v>0.06</v>
      </c>
      <c r="J87" s="1063">
        <f t="shared" si="24"/>
        <v>6.0000000000000001E-3</v>
      </c>
      <c r="K87" s="1063">
        <f t="shared" si="25"/>
        <v>3.0000000000000001E-3</v>
      </c>
      <c r="L87" s="1063">
        <v>0</v>
      </c>
      <c r="M87" s="1063">
        <f t="shared" si="26"/>
        <v>-3.0000000000000001E-3</v>
      </c>
      <c r="N87" s="1063">
        <f t="shared" si="26"/>
        <v>-6.0000000000000001E-3</v>
      </c>
    </row>
    <row r="88" spans="1:37" ht="25.5">
      <c r="A88" s="2127" t="s">
        <v>2059</v>
      </c>
      <c r="B88" s="1325" t="str">
        <f>估价对象房地状况!G20</f>
        <v>估价对象所在区域基础设施水平</v>
      </c>
      <c r="C88" s="3476" t="s">
        <v>3437</v>
      </c>
      <c r="D88" s="1064">
        <f t="shared" si="22"/>
        <v>1.2E-2</v>
      </c>
      <c r="E88" s="747"/>
      <c r="F88" s="1811"/>
      <c r="G88" s="1062">
        <f t="shared" si="27"/>
        <v>6.0000000000000001E-3</v>
      </c>
      <c r="H88" s="1065">
        <f t="shared" si="23"/>
        <v>6.0000000000000001E-3</v>
      </c>
      <c r="I88" s="3364">
        <v>0.12</v>
      </c>
      <c r="J88" s="1063">
        <f t="shared" si="24"/>
        <v>1.2E-2</v>
      </c>
      <c r="K88" s="1063">
        <f t="shared" si="25"/>
        <v>6.0000000000000001E-3</v>
      </c>
      <c r="L88" s="1063">
        <v>0</v>
      </c>
      <c r="M88" s="1063">
        <f t="shared" si="26"/>
        <v>-6.0000000000000001E-3</v>
      </c>
      <c r="N88" s="1063">
        <f t="shared" si="26"/>
        <v>-1.2E-2</v>
      </c>
    </row>
    <row r="89" spans="1:37" ht="24">
      <c r="A89" s="2127" t="s">
        <v>2056</v>
      </c>
      <c r="B89" s="2133" t="s">
        <v>2070</v>
      </c>
      <c r="C89" s="3476" t="s">
        <v>3435</v>
      </c>
      <c r="D89" s="1064">
        <f t="shared" si="22"/>
        <v>3.0000000000000001E-3</v>
      </c>
      <c r="E89" s="747"/>
      <c r="F89" s="1811"/>
      <c r="G89" s="1062">
        <f t="shared" si="27"/>
        <v>3.0000000000000001E-3</v>
      </c>
      <c r="H89" s="1065">
        <f t="shared" si="23"/>
        <v>3.0000000000000001E-3</v>
      </c>
      <c r="I89" s="3364">
        <v>0.06</v>
      </c>
      <c r="J89" s="1063">
        <f t="shared" si="24"/>
        <v>6.0000000000000001E-3</v>
      </c>
      <c r="K89" s="1063">
        <f t="shared" si="25"/>
        <v>3.0000000000000001E-3</v>
      </c>
      <c r="L89" s="1063">
        <v>0</v>
      </c>
      <c r="M89" s="1063">
        <f t="shared" si="26"/>
        <v>-3.0000000000000001E-3</v>
      </c>
      <c r="N89" s="1063">
        <f t="shared" si="26"/>
        <v>-6.0000000000000001E-3</v>
      </c>
    </row>
    <row r="90" spans="1:37" ht="39" thickBot="1">
      <c r="A90" s="2135" t="s">
        <v>2071</v>
      </c>
      <c r="B90" s="2140" t="str">
        <f>估价对象房地状况!G18</f>
        <v>该园区内是否有污染型企业，绿化情况，卫生条件，整体环境状况判断</v>
      </c>
      <c r="C90" s="3476" t="s">
        <v>3436</v>
      </c>
      <c r="D90" s="1064">
        <f t="shared" si="22"/>
        <v>0</v>
      </c>
      <c r="E90" s="748"/>
      <c r="F90" s="1811"/>
      <c r="G90" s="1062">
        <f t="shared" si="27"/>
        <v>2.5000000000000001E-3</v>
      </c>
      <c r="H90" s="1065">
        <f t="shared" si="23"/>
        <v>2.5000000000000001E-3</v>
      </c>
      <c r="I90" s="3365">
        <v>0.05</v>
      </c>
      <c r="J90" s="1063">
        <f t="shared" si="24"/>
        <v>5.0000000000000001E-3</v>
      </c>
      <c r="K90" s="1063">
        <f t="shared" si="25"/>
        <v>2.5000000000000001E-3</v>
      </c>
      <c r="L90" s="1063">
        <v>0</v>
      </c>
      <c r="M90" s="1063">
        <f t="shared" si="26"/>
        <v>-2.5000000000000001E-3</v>
      </c>
      <c r="N90" s="1063">
        <f t="shared" si="26"/>
        <v>-5.0000000000000001E-3</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5"/>
      <c r="C93" s="2041"/>
      <c r="D93" s="3363">
        <f>SUMIF($J$92:$N$92,C93,J93:N93)</f>
        <v>0</v>
      </c>
      <c r="E93" s="3379">
        <f>ROUND(SUM(D93:D101),4)</f>
        <v>0</v>
      </c>
      <c r="F93" s="1811"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38.25">
      <c r="A94" s="3376" t="s">
        <v>3272</v>
      </c>
      <c r="B94" s="3367" t="str">
        <f>估价对象房地状况!C18</f>
        <v>估价对象周边道路状况、公共交通通达情况、停车便捷程度，综合评价交通便捷度较好</v>
      </c>
      <c r="C94" s="2041"/>
      <c r="D94" s="3363">
        <f t="shared" ref="D94:D101" si="31">SUMIF($J$60:$N$60,C94,J94:N94)</f>
        <v>0</v>
      </c>
      <c r="E94" s="3380"/>
      <c r="F94" s="1811"/>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3268</v>
      </c>
      <c r="B95" s="3367">
        <f>估价对象房地状况!C19</f>
        <v>0</v>
      </c>
      <c r="C95" s="2041"/>
      <c r="D95" s="3363">
        <f t="shared" si="31"/>
        <v>0</v>
      </c>
      <c r="E95" s="3380"/>
      <c r="F95" s="1811"/>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3273</v>
      </c>
      <c r="B96" s="3382" t="s">
        <v>3284</v>
      </c>
      <c r="C96" s="2041"/>
      <c r="D96" s="3363">
        <f t="shared" si="31"/>
        <v>0</v>
      </c>
      <c r="E96" s="3380"/>
      <c r="F96" s="1811"/>
      <c r="G96" s="3370"/>
      <c r="H96" s="3418" t="str">
        <f t="shared" si="32"/>
        <v>——</v>
      </c>
      <c r="I96" s="3364">
        <v>0.05</v>
      </c>
      <c r="J96" s="3342">
        <f t="shared" si="28"/>
        <v>0</v>
      </c>
      <c r="K96" s="3342">
        <f t="shared" si="29"/>
        <v>0</v>
      </c>
      <c r="L96" s="3342">
        <v>0</v>
      </c>
      <c r="M96" s="3342">
        <f t="shared" si="30"/>
        <v>0</v>
      </c>
      <c r="N96" s="3342">
        <f t="shared" si="30"/>
        <v>0</v>
      </c>
    </row>
    <row r="97" spans="1:14" ht="24">
      <c r="A97" s="3376" t="s">
        <v>3274</v>
      </c>
      <c r="B97" s="3367">
        <f>估价对象房地状况!C24</f>
        <v>0</v>
      </c>
      <c r="C97" s="2041"/>
      <c r="D97" s="3363">
        <f t="shared" si="31"/>
        <v>0</v>
      </c>
      <c r="E97" s="3380"/>
      <c r="F97" s="1811"/>
      <c r="G97" s="3370"/>
      <c r="H97" s="3418" t="str">
        <f t="shared" si="32"/>
        <v>——</v>
      </c>
      <c r="I97" s="3364">
        <v>0.05</v>
      </c>
      <c r="J97" s="3342">
        <f t="shared" si="28"/>
        <v>0</v>
      </c>
      <c r="K97" s="3342">
        <f t="shared" si="29"/>
        <v>0</v>
      </c>
      <c r="L97" s="3342">
        <v>0</v>
      </c>
      <c r="M97" s="3342">
        <f t="shared" si="30"/>
        <v>0</v>
      </c>
      <c r="N97" s="3342">
        <f t="shared" si="30"/>
        <v>0</v>
      </c>
    </row>
    <row r="98" spans="1:14" ht="24">
      <c r="A98" s="3376" t="s">
        <v>3275</v>
      </c>
      <c r="B98" s="3383" t="s">
        <v>3285</v>
      </c>
      <c r="C98" s="2041"/>
      <c r="D98" s="3363">
        <f t="shared" si="31"/>
        <v>0</v>
      </c>
      <c r="E98" s="3380"/>
      <c r="F98" s="1811"/>
      <c r="G98" s="3370"/>
      <c r="H98" s="3418" t="str">
        <f t="shared" si="32"/>
        <v>——</v>
      </c>
      <c r="I98" s="3364">
        <v>0.06</v>
      </c>
      <c r="J98" s="3342">
        <f t="shared" si="28"/>
        <v>0</v>
      </c>
      <c r="K98" s="3342">
        <f t="shared" si="29"/>
        <v>0</v>
      </c>
      <c r="L98" s="3342">
        <v>0</v>
      </c>
      <c r="M98" s="3342">
        <f t="shared" si="30"/>
        <v>0</v>
      </c>
      <c r="N98" s="3342">
        <f t="shared" si="30"/>
        <v>0</v>
      </c>
    </row>
    <row r="99" spans="1:14" ht="25.5">
      <c r="A99" s="3376" t="s">
        <v>3276</v>
      </c>
      <c r="B99" s="3367" t="str">
        <f>估价对象房地状况!C21</f>
        <v>估价对象所在区域公共配套设施齐备情况</v>
      </c>
      <c r="C99" s="2041"/>
      <c r="D99" s="3363">
        <f t="shared" si="31"/>
        <v>0</v>
      </c>
      <c r="E99" s="3380"/>
      <c r="F99" s="1811"/>
      <c r="G99" s="3370"/>
      <c r="H99" s="3418" t="str">
        <f t="shared" si="32"/>
        <v>——</v>
      </c>
      <c r="I99" s="3364">
        <v>0.06</v>
      </c>
      <c r="J99" s="3342">
        <f t="shared" si="28"/>
        <v>0</v>
      </c>
      <c r="K99" s="3342">
        <f t="shared" si="29"/>
        <v>0</v>
      </c>
      <c r="L99" s="3342">
        <v>0</v>
      </c>
      <c r="M99" s="3342">
        <f t="shared" si="30"/>
        <v>0</v>
      </c>
      <c r="N99" s="3342">
        <f t="shared" si="30"/>
        <v>0</v>
      </c>
    </row>
    <row r="100" spans="1:14" ht="25.5">
      <c r="A100" s="3376" t="s">
        <v>3277</v>
      </c>
      <c r="B100" s="3367" t="str">
        <f>估价对象房地状况!C22</f>
        <v>估价对象所在区域基础设施水平</v>
      </c>
      <c r="C100" s="2041"/>
      <c r="D100" s="3363">
        <f t="shared" si="31"/>
        <v>0</v>
      </c>
      <c r="E100" s="3380"/>
      <c r="F100" s="1811"/>
      <c r="G100" s="3370"/>
      <c r="H100" s="3418" t="str">
        <f t="shared" si="32"/>
        <v>——</v>
      </c>
      <c r="I100" s="3364">
        <v>0.09</v>
      </c>
      <c r="J100" s="3342">
        <f t="shared" si="28"/>
        <v>0</v>
      </c>
      <c r="K100" s="3342">
        <f t="shared" si="29"/>
        <v>0</v>
      </c>
      <c r="L100" s="3342">
        <v>0</v>
      </c>
      <c r="M100" s="3342">
        <f t="shared" si="30"/>
        <v>0</v>
      </c>
      <c r="N100" s="3342">
        <f t="shared" si="30"/>
        <v>0</v>
      </c>
    </row>
    <row r="101" spans="1:14" ht="26.25" thickBot="1">
      <c r="A101" s="3377" t="s">
        <v>3278</v>
      </c>
      <c r="B101" s="3384" t="str">
        <f>估价对象房地状况!C20</f>
        <v>区域自然环境：；人文环境；综合评价环境状况一般</v>
      </c>
      <c r="C101" s="2041"/>
      <c r="D101" s="3363">
        <f t="shared" si="31"/>
        <v>0</v>
      </c>
      <c r="E101" s="3381"/>
      <c r="F101" s="1811"/>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704" t="s">
        <v>3293</v>
      </c>
      <c r="B103" s="3704"/>
      <c r="C103" s="3704"/>
      <c r="D103" s="3704"/>
      <c r="E103" s="3704"/>
      <c r="F103" s="3704"/>
      <c r="G103" s="3704"/>
      <c r="H103" s="3704"/>
      <c r="I103" s="3704"/>
      <c r="J103" s="3704"/>
      <c r="K103" s="3387"/>
      <c r="L103" s="3387"/>
      <c r="M103" s="3387"/>
      <c r="N103" s="3387"/>
    </row>
    <row r="104" spans="1:14">
      <c r="A104" s="3705" t="s">
        <v>3294</v>
      </c>
      <c r="B104" s="3705" t="s">
        <v>3295</v>
      </c>
      <c r="C104" s="3388" t="s">
        <v>3296</v>
      </c>
      <c r="D104" s="3389"/>
      <c r="E104" s="3389"/>
      <c r="F104" s="3389"/>
      <c r="G104" s="3389"/>
      <c r="H104" s="3389"/>
      <c r="I104" s="3389"/>
      <c r="J104" s="3390"/>
      <c r="K104" s="3391"/>
      <c r="L104" s="3391"/>
      <c r="M104" s="3391"/>
      <c r="N104" s="3391"/>
    </row>
    <row r="105" spans="1:14">
      <c r="A105" s="3705"/>
      <c r="B105" s="3705"/>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91"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9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9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9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9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92"/>
      <c r="B111" s="3392" t="s">
        <v>3267</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693"/>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694" t="s">
        <v>3310</v>
      </c>
      <c r="B113" s="3694"/>
      <c r="C113" s="3694"/>
      <c r="D113" s="3694"/>
      <c r="E113" s="3694"/>
      <c r="F113" s="3694"/>
      <c r="G113" s="3694"/>
      <c r="H113" s="3694"/>
      <c r="I113" s="3694"/>
      <c r="J113" s="369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f>G3</f>
        <v>1.8</v>
      </c>
      <c r="C116" s="3397" t="s">
        <v>3312</v>
      </c>
      <c r="D116" s="3398">
        <f>SUMPRODUCT((A118:A122=F116)*(B117:M117=H116)*B118:M122)</f>
        <v>0.55630000000000002</v>
      </c>
      <c r="E116" s="1997" t="s">
        <v>3313</v>
      </c>
      <c r="F116" s="3399" t="str">
        <f>E2</f>
        <v>工业</v>
      </c>
      <c r="G116" s="1997" t="s">
        <v>3314</v>
      </c>
      <c r="H116" s="3399" t="str">
        <f>G2</f>
        <v>八级</v>
      </c>
      <c r="I116" s="1997"/>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f>ROUND(0.9968-0.011*B116,4)</f>
        <v>0.97699999999999998</v>
      </c>
      <c r="C118" s="3385">
        <f>B118</f>
        <v>0.97699999999999998</v>
      </c>
      <c r="D118" s="3385">
        <f>ROUND(0.949-0.014*B116,4)</f>
        <v>0.92379999999999995</v>
      </c>
      <c r="E118" s="3385">
        <f>D118</f>
        <v>0.92379999999999995</v>
      </c>
      <c r="F118" s="3385">
        <f>E118</f>
        <v>0.92379999999999995</v>
      </c>
      <c r="G118" s="3385">
        <f>F118</f>
        <v>0.92379999999999995</v>
      </c>
      <c r="H118" s="3385">
        <f>G118</f>
        <v>0.92379999999999995</v>
      </c>
      <c r="I118" s="3385">
        <f>ROUND(0.8486-0.018*B116,4)</f>
        <v>0.81620000000000004</v>
      </c>
      <c r="J118" s="3385">
        <f t="shared" ref="J118:M122" si="36">I118</f>
        <v>0.81620000000000004</v>
      </c>
      <c r="K118" s="3385">
        <f t="shared" si="36"/>
        <v>0.81620000000000004</v>
      </c>
      <c r="L118" s="3385">
        <f t="shared" si="36"/>
        <v>0.81620000000000004</v>
      </c>
      <c r="M118" s="3408">
        <f t="shared" si="36"/>
        <v>0.81620000000000004</v>
      </c>
      <c r="N118" s="3395"/>
    </row>
    <row r="119" spans="1:14">
      <c r="A119" s="3407" t="s">
        <v>3328</v>
      </c>
      <c r="B119" s="3385">
        <f>ROUND(0.993-0.0112*B116,4)</f>
        <v>0.9728</v>
      </c>
      <c r="C119" s="3385">
        <f>B119</f>
        <v>0.9728</v>
      </c>
      <c r="D119" s="3385">
        <f>ROUND(0.9415-0.0142*B116,4)</f>
        <v>0.91590000000000005</v>
      </c>
      <c r="E119" s="3385">
        <f t="shared" ref="E119:H120" si="37">D119</f>
        <v>0.91590000000000005</v>
      </c>
      <c r="F119" s="3385">
        <f t="shared" si="37"/>
        <v>0.91590000000000005</v>
      </c>
      <c r="G119" s="3385">
        <f t="shared" si="37"/>
        <v>0.91590000000000005</v>
      </c>
      <c r="H119" s="3385">
        <f t="shared" si="37"/>
        <v>0.91590000000000005</v>
      </c>
      <c r="I119" s="3385">
        <f>ROUND(0.838-0.0182*B116,4)</f>
        <v>0.80520000000000003</v>
      </c>
      <c r="J119" s="3385">
        <f t="shared" si="36"/>
        <v>0.80520000000000003</v>
      </c>
      <c r="K119" s="3385">
        <f t="shared" si="36"/>
        <v>0.80520000000000003</v>
      </c>
      <c r="L119" s="3385">
        <f t="shared" si="36"/>
        <v>0.80520000000000003</v>
      </c>
      <c r="M119" s="3408">
        <f t="shared" si="36"/>
        <v>0.80520000000000003</v>
      </c>
      <c r="N119" s="3395"/>
    </row>
    <row r="120" spans="1:14">
      <c r="A120" s="3407" t="s">
        <v>3329</v>
      </c>
      <c r="B120" s="3385">
        <f>ROUND(0.9448-0.0115*B116,4)</f>
        <v>0.92410000000000003</v>
      </c>
      <c r="C120" s="3385">
        <f>B120</f>
        <v>0.92410000000000003</v>
      </c>
      <c r="D120" s="3385">
        <f>ROUND(0.937-0.0145*B116,4)</f>
        <v>0.91090000000000004</v>
      </c>
      <c r="E120" s="3385">
        <f t="shared" si="37"/>
        <v>0.91090000000000004</v>
      </c>
      <c r="F120" s="3385">
        <f t="shared" si="37"/>
        <v>0.91090000000000004</v>
      </c>
      <c r="G120" s="3385">
        <f t="shared" si="37"/>
        <v>0.91090000000000004</v>
      </c>
      <c r="H120" s="3385">
        <f t="shared" si="37"/>
        <v>0.91090000000000004</v>
      </c>
      <c r="I120" s="3385">
        <f>ROUND(0.7965-0.0185*B116,4)</f>
        <v>0.76319999999999999</v>
      </c>
      <c r="J120" s="3385">
        <f t="shared" si="36"/>
        <v>0.76319999999999999</v>
      </c>
      <c r="K120" s="3385">
        <f t="shared" si="36"/>
        <v>0.76319999999999999</v>
      </c>
      <c r="L120" s="3385">
        <f t="shared" si="36"/>
        <v>0.76319999999999999</v>
      </c>
      <c r="M120" s="3408">
        <f t="shared" si="36"/>
        <v>0.76319999999999999</v>
      </c>
      <c r="N120" s="3395"/>
    </row>
    <row r="121" spans="1:14" ht="13.5" thickBot="1">
      <c r="A121" s="3409" t="s">
        <v>3330</v>
      </c>
      <c r="B121" s="3410">
        <f>ROUND(0.7836-0.012*B116,4)</f>
        <v>0.76200000000000001</v>
      </c>
      <c r="C121" s="3410">
        <f>B121</f>
        <v>0.76200000000000001</v>
      </c>
      <c r="D121" s="3410">
        <f>ROUND(0.753-0.015*B116,4)</f>
        <v>0.72599999999999998</v>
      </c>
      <c r="E121" s="3410">
        <f>D121</f>
        <v>0.72599999999999998</v>
      </c>
      <c r="F121" s="3410">
        <f>E121</f>
        <v>0.72599999999999998</v>
      </c>
      <c r="G121" s="3410">
        <f>ROUND(0.6612-0.018*B116,4)</f>
        <v>0.62880000000000003</v>
      </c>
      <c r="H121" s="3410">
        <f>G121</f>
        <v>0.62880000000000003</v>
      </c>
      <c r="I121" s="3410">
        <f>ROUND(0.5905-0.019*B116,4)</f>
        <v>0.55630000000000002</v>
      </c>
      <c r="J121" s="3410">
        <f t="shared" si="36"/>
        <v>0.55630000000000002</v>
      </c>
      <c r="K121" s="3410">
        <f t="shared" si="36"/>
        <v>0.55630000000000002</v>
      </c>
      <c r="L121" s="3410">
        <f t="shared" si="36"/>
        <v>0.55630000000000002</v>
      </c>
      <c r="M121" s="3411">
        <f t="shared" si="36"/>
        <v>0.55630000000000002</v>
      </c>
      <c r="N121" s="3395"/>
    </row>
    <row r="122" spans="1:14">
      <c r="A122" s="3412" t="s">
        <v>2611</v>
      </c>
      <c r="B122" s="3385">
        <f>ROUND(0.9404-0.0106*B116,4)</f>
        <v>0.92130000000000001</v>
      </c>
      <c r="C122" s="3385">
        <f>B122</f>
        <v>0.92130000000000001</v>
      </c>
      <c r="D122" s="3385">
        <f>ROUND(0.8955-0.0135*B116,4)</f>
        <v>0.87119999999999997</v>
      </c>
      <c r="E122" s="3385">
        <f t="shared" ref="E122:H122" si="38">D122</f>
        <v>0.87119999999999997</v>
      </c>
      <c r="F122" s="3385">
        <f t="shared" si="38"/>
        <v>0.87119999999999997</v>
      </c>
      <c r="G122" s="3385">
        <f t="shared" si="38"/>
        <v>0.87119999999999997</v>
      </c>
      <c r="H122" s="3385">
        <f t="shared" si="38"/>
        <v>0.87119999999999997</v>
      </c>
      <c r="I122" s="3385">
        <f>ROUND(0.7632-0.0166*B116,4)</f>
        <v>0.73329999999999995</v>
      </c>
      <c r="J122" s="3385">
        <f t="shared" si="36"/>
        <v>0.73329999999999995</v>
      </c>
      <c r="K122" s="3385">
        <f t="shared" si="36"/>
        <v>0.73329999999999995</v>
      </c>
      <c r="L122" s="3385">
        <f t="shared" si="36"/>
        <v>0.73329999999999995</v>
      </c>
      <c r="M122" s="3408">
        <f t="shared" si="36"/>
        <v>0.73329999999999995</v>
      </c>
      <c r="N122" s="33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4" sqref="C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9</v>
      </c>
    </row>
    <row r="2" spans="1:33" ht="18" customHeight="1">
      <c r="A2" s="201" t="s">
        <v>1461</v>
      </c>
      <c r="B2" s="204">
        <f ca="1">C32</f>
        <v>28323</v>
      </c>
      <c r="C2" s="276" t="s">
        <v>1594</v>
      </c>
      <c r="D2" s="276"/>
      <c r="E2" s="2803"/>
      <c r="F2" s="2803"/>
      <c r="G2" s="2803"/>
      <c r="H2" s="2803"/>
      <c r="I2" s="2803"/>
      <c r="J2" s="2803"/>
      <c r="K2" s="2803"/>
    </row>
    <row r="3" spans="1:33" ht="18" customHeight="1" thickBot="1">
      <c r="A3" s="203" t="s">
        <v>1463</v>
      </c>
      <c r="B3" s="204">
        <f ca="1">ROUND(B2*10000/IF(C1="",'数据-汇总表'!E3,INDIRECT("'数据-取费表'!K"&amp;$K$1)),0)</f>
        <v>5875</v>
      </c>
      <c r="C3" s="276" t="s">
        <v>1595</v>
      </c>
      <c r="D3" s="276"/>
      <c r="E3" s="2803"/>
      <c r="F3" s="2803"/>
      <c r="G3" s="2803"/>
      <c r="H3" s="2803"/>
      <c r="I3" s="2803"/>
      <c r="J3" s="2803"/>
      <c r="K3" s="2803"/>
    </row>
    <row r="4" spans="1:33" s="784" customFormat="1" ht="16.5" customHeight="1">
      <c r="A4" s="781" t="s">
        <v>1596</v>
      </c>
      <c r="B4" s="782"/>
      <c r="C4" s="823">
        <f ca="1">SUM(C8:K8)</f>
        <v>31127</v>
      </c>
      <c r="D4" s="782"/>
      <c r="E4" s="782"/>
      <c r="F4" s="782"/>
      <c r="G4" s="782"/>
      <c r="H4" s="782"/>
      <c r="I4" s="782"/>
      <c r="J4" s="782"/>
      <c r="K4" s="783"/>
    </row>
    <row r="5" spans="1:33" s="788" customFormat="1" ht="15">
      <c r="A5" s="785" t="s">
        <v>1597</v>
      </c>
      <c r="B5" s="786" t="s">
        <v>1598</v>
      </c>
      <c r="C5" s="1857" t="s">
        <v>3</v>
      </c>
      <c r="D5" s="1857" t="s">
        <v>3333</v>
      </c>
      <c r="E5" s="1857" t="s">
        <v>3332</v>
      </c>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 ca="1">收益法!B3</f>
        <v>7664</v>
      </c>
      <c r="D6" s="790">
        <f ca="1">'收益法(仓储)'!B3</f>
        <v>3941</v>
      </c>
      <c r="E6" s="790">
        <f ca="1">'收益法(车库)'!B3</f>
        <v>2132</v>
      </c>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38652.39</v>
      </c>
      <c r="D7" s="277">
        <f>SUMIF('数据-汇总表'!$C19:$C33,假设开发法!D5,'数据-汇总表'!$E19:$E33)</f>
        <v>1010.02</v>
      </c>
      <c r="E7" s="277">
        <f>SUMIF('数据-汇总表'!$C19:$C33,假设开发法!E5,'数据-汇总表'!$E19:$E33)</f>
        <v>5178.7700000000004</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1602</v>
      </c>
      <c r="B8" s="164" t="s">
        <v>1603</v>
      </c>
      <c r="C8" s="824">
        <f ca="1">收益法!B2</f>
        <v>29625</v>
      </c>
      <c r="D8" s="824">
        <f ca="1">'收益法(仓储)'!B2</f>
        <v>398</v>
      </c>
      <c r="E8" s="824">
        <f ca="1">'收益法(车库)'!B2</f>
        <v>1104</v>
      </c>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227</v>
      </c>
      <c r="D11" s="801"/>
      <c r="E11" s="329"/>
      <c r="F11" s="811">
        <f ca="1">1-IF('数据-取费表'!B24=0,1,IF(C1="",'数据-取费表'!N16,INDIRECT("'数据-取费表'!n"&amp;$K$1)))</f>
        <v>1.0000000000000009E-2</v>
      </c>
      <c r="G11" s="5"/>
      <c r="H11" s="796"/>
      <c r="I11" s="796"/>
      <c r="J11" s="796"/>
      <c r="K11" s="797"/>
    </row>
    <row r="12" spans="1:33" s="802" customFormat="1" ht="13.5" customHeight="1">
      <c r="A12" s="799" t="s">
        <v>636</v>
      </c>
      <c r="B12" s="800" t="s">
        <v>1612</v>
      </c>
      <c r="C12" s="21">
        <f ca="1">ROUND(C11*F12,0)</f>
        <v>11</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10</v>
      </c>
      <c r="D14" s="845">
        <f ca="1">IF(C1="",'数据-汇总表'!E3,INDIRECT("'数据-取费表'!K"&amp;$K$1)+INDIRECT("'数据-取费表'!S"&amp;$K$1))</f>
        <v>48207.299999999996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7</v>
      </c>
      <c r="D15" s="805"/>
      <c r="E15" s="810"/>
      <c r="F15" s="811">
        <f>'数据-取费表'!B36</f>
        <v>0.03</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255</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48207.299999999996</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59"/>
      <c r="H18" s="1186"/>
      <c r="I18" s="1860"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916</v>
      </c>
      <c r="D20" s="845">
        <f ca="1">IF(C1="",'数据-汇总表'!E6,IF(INDIRECT("'数据-取费表'!c"&amp;$K$1)="住宅",INDIRECT("'数据-取费表'!s"&amp;$K$1),INDIRECT("'数据-取费表'!k"&amp;$K$1)+INDIRECT("'数据-取费表'!s"&amp;$K$1)))</f>
        <v>48207.299999999996</v>
      </c>
      <c r="E20" s="21">
        <f>'数据-取费表'!B28</f>
        <v>190</v>
      </c>
      <c r="F20" s="803"/>
      <c r="G20" s="12"/>
      <c r="H20" s="808"/>
      <c r="I20" s="808"/>
      <c r="J20" s="808"/>
      <c r="K20" s="809"/>
    </row>
    <row r="21" spans="1:33" s="802" customFormat="1" ht="13.5" customHeight="1">
      <c r="A21" s="789" t="s">
        <v>357</v>
      </c>
      <c r="B21" s="812" t="s">
        <v>1627</v>
      </c>
      <c r="C21" s="813">
        <f ca="1">C16+C17+C18</f>
        <v>255</v>
      </c>
      <c r="D21" s="814"/>
      <c r="E21" s="281"/>
      <c r="F21" s="281"/>
      <c r="G21" s="131" t="s">
        <v>1628</v>
      </c>
      <c r="H21" s="806"/>
      <c r="I21" s="806"/>
      <c r="J21" s="806"/>
      <c r="K21" s="807"/>
    </row>
    <row r="22" spans="1:33" s="802" customFormat="1" ht="13.5" customHeight="1">
      <c r="A22" s="789" t="s">
        <v>1600</v>
      </c>
      <c r="B22" s="812" t="s">
        <v>1629</v>
      </c>
      <c r="C22" s="813">
        <f ca="1">ROUND(C21*F22,0)</f>
        <v>8</v>
      </c>
      <c r="D22" s="281"/>
      <c r="E22" s="281"/>
      <c r="F22" s="815">
        <f>'数据-取费表'!B37</f>
        <v>0.03</v>
      </c>
      <c r="G22" s="5" t="s">
        <v>1630</v>
      </c>
      <c r="H22" s="796"/>
      <c r="I22" s="796"/>
      <c r="J22" s="796"/>
      <c r="K22" s="797"/>
    </row>
    <row r="23" spans="1:33" s="802" customFormat="1" ht="13.5" customHeight="1">
      <c r="A23" s="789" t="s">
        <v>1602</v>
      </c>
      <c r="B23" s="812" t="s">
        <v>1631</v>
      </c>
      <c r="C23" s="813">
        <f ca="1">ROUND(C4*F23*F11,0)</f>
        <v>6</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0.1027</v>
      </c>
      <c r="D25" s="280">
        <f ca="1">C26</f>
        <v>8.0000000000000004E-4</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8.0000000000000004E-4</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ROUND(IF('数据-取费表'!B22&lt;=1,(C21+C22+C23)*F25*'数据-取费表'!B24/2,(C21+C22+C23)*(POWER((1+F25),'数据-取费表'!B24/2)-1)),4)</f>
        <v>0.1027</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1640</v>
      </c>
      <c r="B28" s="1862" t="s">
        <v>1641</v>
      </c>
      <c r="C28" s="287">
        <f ca="1">C30</f>
        <v>30</v>
      </c>
      <c r="D28" s="280">
        <f ca="1">C29</f>
        <v>1.1000000000000001E-3</v>
      </c>
      <c r="E28" s="282" t="s">
        <v>12</v>
      </c>
      <c r="F28" s="288">
        <f ca="1">IF(C1="",'数据-取费表'!Q16,INDIRECT("'数据-取费表'!q"&amp;$K$1))</f>
        <v>0.11</v>
      </c>
      <c r="G28" s="816"/>
      <c r="H28" s="817"/>
      <c r="I28" s="817"/>
      <c r="J28" s="817"/>
      <c r="K28" s="818"/>
    </row>
    <row r="29" spans="1:33" s="291" customFormat="1" ht="13.5" customHeight="1">
      <c r="A29" s="799" t="s">
        <v>358</v>
      </c>
      <c r="B29" s="821" t="s">
        <v>1642</v>
      </c>
      <c r="C29" s="284">
        <f ca="1">ROUND((1+C24)*F28*'数据-取费表'!B24/'数据-取费表'!B20,4)</f>
        <v>1.1000000000000001E-3</v>
      </c>
      <c r="D29" s="284"/>
      <c r="E29" s="285"/>
      <c r="F29" s="290"/>
      <c r="G29" s="131" t="s">
        <v>1643</v>
      </c>
      <c r="H29" s="806"/>
      <c r="I29" s="806"/>
      <c r="J29" s="806"/>
      <c r="K29" s="807"/>
    </row>
    <row r="30" spans="1:33" s="291" customFormat="1" ht="13.5" customHeight="1">
      <c r="A30" s="799" t="s">
        <v>359</v>
      </c>
      <c r="B30" s="821" t="s">
        <v>1644</v>
      </c>
      <c r="C30" s="292">
        <f ca="1">ROUND((C21+C22+C23)*F28,0)</f>
        <v>30</v>
      </c>
      <c r="D30" s="284"/>
      <c r="E30" s="285"/>
      <c r="F30" s="290"/>
      <c r="G30" s="131"/>
      <c r="H30" s="806"/>
      <c r="I30" s="806"/>
      <c r="J30" s="806"/>
      <c r="K30" s="807"/>
    </row>
    <row r="31" spans="1:33" s="802" customFormat="1" ht="13.5" customHeight="1" thickBot="1">
      <c r="A31" s="1863" t="s">
        <v>1645</v>
      </c>
      <c r="B31" s="832" t="s">
        <v>1646</v>
      </c>
      <c r="C31" s="833">
        <f ca="1">ROUND(C4*F31/(1+'数据-取费表'!C42),0)</f>
        <v>1630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28323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3459</v>
      </c>
      <c r="E1" s="1362" t="s">
        <v>678</v>
      </c>
      <c r="F1" s="1061">
        <f ca="1">J53</f>
        <v>15.045</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29625</v>
      </c>
      <c r="C2" s="1386" t="s">
        <v>805</v>
      </c>
      <c r="D2" s="1386"/>
      <c r="E2" s="1387"/>
      <c r="F2" s="1388"/>
      <c r="G2" s="2703"/>
      <c r="H2" s="2692"/>
      <c r="I2" s="2692"/>
      <c r="J2" s="2692"/>
      <c r="K2" s="2693"/>
      <c r="L2" s="2692"/>
      <c r="M2" s="2692"/>
    </row>
    <row r="3" spans="1:37" ht="18" customHeight="1" thickBot="1">
      <c r="A3" s="1389" t="s">
        <v>806</v>
      </c>
      <c r="B3" s="1390">
        <f ca="1">IF(ISERROR(B2*10000/F43),0,ROUND(B2*10000/F43,0))</f>
        <v>7664</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2542</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2539</v>
      </c>
      <c r="D6" s="155" t="s">
        <v>2108</v>
      </c>
      <c r="E6" s="302" t="s">
        <v>696</v>
      </c>
      <c r="F6" s="303">
        <f ca="1">INDIRECT("'数据-取费表'!u"&amp;$G$1)</f>
        <v>2</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38652.39</v>
      </c>
      <c r="G7" s="1383"/>
      <c r="H7" s="304"/>
      <c r="I7" s="3713"/>
      <c r="J7" s="306"/>
      <c r="K7" s="307"/>
      <c r="L7" s="302" t="s">
        <v>697</v>
      </c>
      <c r="M7" s="303">
        <f ca="1">F7</f>
        <v>38652.39</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2116</v>
      </c>
      <c r="E10" s="313" t="s">
        <v>701</v>
      </c>
      <c r="F10" s="1115" t="s">
        <v>3441</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28312</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19531</v>
      </c>
      <c r="D14" s="1344" t="s">
        <v>708</v>
      </c>
      <c r="E14" s="1341"/>
      <c r="F14" s="319"/>
      <c r="G14" s="1383"/>
      <c r="H14" s="981" t="s">
        <v>398</v>
      </c>
      <c r="I14" s="302" t="s">
        <v>709</v>
      </c>
      <c r="J14" s="21">
        <f ca="1">C29</f>
        <v>28312</v>
      </c>
      <c r="K14" s="12"/>
      <c r="L14" s="806"/>
      <c r="M14" s="807"/>
    </row>
    <row r="15" spans="1:37" s="1396" customFormat="1" ht="18" customHeight="1" thickBot="1">
      <c r="A15" s="981" t="s">
        <v>399</v>
      </c>
      <c r="B15" s="302" t="s">
        <v>710</v>
      </c>
      <c r="C15" s="21">
        <f ca="1">ROUND(C14*F15,0)</f>
        <v>977</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87</v>
      </c>
      <c r="K16" s="1086" t="s">
        <v>715</v>
      </c>
      <c r="L16" s="1087"/>
      <c r="M16" s="1071"/>
    </row>
    <row r="17" spans="1:37" s="1396" customFormat="1" ht="18" customHeight="1">
      <c r="A17" s="981" t="s">
        <v>681</v>
      </c>
      <c r="B17" s="302" t="s">
        <v>716</v>
      </c>
      <c r="C17" s="21">
        <f ca="1">ROUND(F17*(F43+INDIRECT("'数据-取费表'!S"&amp;$G$1))/10000,0)</f>
        <v>831</v>
      </c>
      <c r="D17" s="302" t="s">
        <v>717</v>
      </c>
      <c r="E17" s="302" t="s">
        <v>718</v>
      </c>
      <c r="F17" s="23">
        <f>'数据-取费表'!B35</f>
        <v>200</v>
      </c>
      <c r="G17" s="1395"/>
      <c r="H17" s="981" t="s">
        <v>398</v>
      </c>
      <c r="I17" s="302" t="s">
        <v>719</v>
      </c>
      <c r="J17" s="2313">
        <f ca="1">ROUND(IF(AND(项目基本情况!B11="自然人",项目基本情况!B10="北京市"),J6*M17/(1+'数据-取费表'!C42),J18+J19+J20),2)</f>
        <v>2.33</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586</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21925</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658</v>
      </c>
      <c r="D20" s="323" t="s">
        <v>729</v>
      </c>
      <c r="E20" s="302" t="s">
        <v>712</v>
      </c>
      <c r="F20" s="322">
        <f>'数据-取费表'!B37</f>
        <v>0.03</v>
      </c>
      <c r="G20" s="1395"/>
      <c r="H20" s="981" t="s">
        <v>680</v>
      </c>
      <c r="I20" s="155" t="s">
        <v>730</v>
      </c>
      <c r="J20" s="22">
        <f ca="1">ROUND(M20*M21/10000,2)</f>
        <v>2.33</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15535.59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84.94</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879</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-87</v>
      </c>
      <c r="K25" s="1094" t="s">
        <v>753</v>
      </c>
      <c r="L25" s="1095"/>
      <c r="M25" s="1096"/>
    </row>
    <row r="26" spans="1:37">
      <c r="A26" s="981" t="s">
        <v>397</v>
      </c>
      <c r="B26" s="302" t="s">
        <v>754</v>
      </c>
      <c r="C26" s="21">
        <f ca="1">ROUND((C19+C20)*F26,0)</f>
        <v>2710</v>
      </c>
      <c r="D26" s="323" t="s">
        <v>755</v>
      </c>
      <c r="E26" s="313" t="s">
        <v>756</v>
      </c>
      <c r="F26" s="312">
        <f ca="1">INDIRECT("'数据-取费表'!q"&amp;$G$1)</f>
        <v>0.12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2.3999999999999998E-3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28312</v>
      </c>
      <c r="D29" s="1091"/>
      <c r="E29" s="1089"/>
      <c r="F29" s="1092"/>
      <c r="G29" s="1395"/>
      <c r="H29" s="334" t="s">
        <v>396</v>
      </c>
      <c r="I29" s="335" t="s">
        <v>768</v>
      </c>
      <c r="J29" s="336">
        <f ca="1">ROUND(J26/(1+F40)^F41,0)</f>
        <v>0</v>
      </c>
      <c r="K29" s="337" t="s">
        <v>769</v>
      </c>
      <c r="L29" s="338"/>
      <c r="M29" s="339">
        <f ca="1">INDIRECT("'数据-取费表'!k"&amp;$G$1)</f>
        <v>38652.39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551</v>
      </c>
      <c r="D30" s="1086" t="s">
        <v>715</v>
      </c>
      <c r="E30" s="1087"/>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425.5</v>
      </c>
      <c r="D31" s="1344" t="s">
        <v>720</v>
      </c>
      <c r="E31" s="1343"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133</v>
      </c>
      <c r="D32" s="1343"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290.17</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2.33</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15535.59</v>
      </c>
      <c r="G35" s="1383"/>
      <c r="H35" s="2694"/>
      <c r="I35" s="1397"/>
      <c r="J35" s="1398"/>
      <c r="K35" s="2698"/>
      <c r="L35" s="2697"/>
      <c r="M35" s="2697"/>
    </row>
    <row r="36" spans="1:18" ht="18" customHeight="1">
      <c r="A36" s="1101" t="s">
        <v>402</v>
      </c>
      <c r="B36" s="302" t="s">
        <v>738</v>
      </c>
      <c r="C36" s="21">
        <f ca="1">ROUND(C29*F36,2)</f>
        <v>84.94</v>
      </c>
      <c r="D36" s="1343"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28.31</v>
      </c>
      <c r="D37" s="1343"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12.71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1991</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22644</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5858</v>
      </c>
      <c r="D43" s="337" t="s">
        <v>777</v>
      </c>
      <c r="E43" s="338" t="s">
        <v>778</v>
      </c>
      <c r="F43" s="339">
        <f ca="1">INDIRECT("'数据-取费表'!k"&amp;$G$1)</f>
        <v>38652.39</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-23801</v>
      </c>
      <c r="D46" s="1405" t="str">
        <f>C2</f>
        <v>万元</v>
      </c>
      <c r="E46" s="1399"/>
      <c r="F46" s="1399"/>
      <c r="I46" s="1406" t="s">
        <v>810</v>
      </c>
      <c r="J46" s="1407"/>
      <c r="K46" s="1408"/>
      <c r="L46" s="1409">
        <f ca="1">IF(M47="住宅",0,IF(L48&gt;J51,L60,J60))</f>
        <v>6981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22644</v>
      </c>
      <c r="R47" s="1419" t="s">
        <v>818</v>
      </c>
    </row>
    <row r="48" spans="1:18" s="1383" customFormat="1" ht="28.5" thickBot="1">
      <c r="A48" s="1109" t="s">
        <v>438</v>
      </c>
      <c r="B48" s="300" t="s">
        <v>692</v>
      </c>
      <c r="C48" s="1358">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6981</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28312</v>
      </c>
      <c r="R49" s="1419" t="s">
        <v>818</v>
      </c>
    </row>
    <row r="50" spans="1:18" s="1383" customFormat="1" ht="13.5" thickBot="1">
      <c r="A50" s="975"/>
      <c r="B50" s="978"/>
      <c r="C50" s="1117"/>
      <c r="D50" s="952"/>
      <c r="E50" s="1055" t="s">
        <v>697</v>
      </c>
      <c r="F50" s="1056">
        <f ca="1">F7</f>
        <v>38652.39</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188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29625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28312</v>
      </c>
      <c r="D56" s="1446"/>
      <c r="E56" s="1447"/>
      <c r="F56" s="1439"/>
      <c r="I56" s="1448" t="s">
        <v>842</v>
      </c>
      <c r="J56" s="1449" t="s">
        <v>3444</v>
      </c>
      <c r="K56" s="1420" t="s">
        <v>843</v>
      </c>
      <c r="L56" s="1423" t="str">
        <f ca="1">IF(L48&lt;J51,"——",L48-J53)</f>
        <v>——</v>
      </c>
      <c r="O56" s="1417" t="s">
        <v>403</v>
      </c>
      <c r="P56" s="1418" t="s">
        <v>817</v>
      </c>
      <c r="Q56" s="1419">
        <f ca="1">C40+J29</f>
        <v>22644</v>
      </c>
      <c r="R56" s="1419" t="s">
        <v>818</v>
      </c>
    </row>
    <row r="57" spans="1:18" s="1383" customFormat="1" ht="24.75" thickBot="1">
      <c r="A57" s="1450"/>
      <c r="B57" s="949" t="s">
        <v>767</v>
      </c>
      <c r="C57" s="238">
        <f ca="1">C29</f>
        <v>28312</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115</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20724</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6981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2.33</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22644</v>
      </c>
      <c r="R62" s="1419" t="s">
        <v>410</v>
      </c>
    </row>
    <row r="63" spans="1:18" s="1383" customFormat="1" ht="13.5" thickBot="1">
      <c r="A63" s="326"/>
      <c r="B63" s="955"/>
      <c r="C63" s="26"/>
      <c r="D63" s="965"/>
      <c r="E63" s="949" t="s">
        <v>788</v>
      </c>
      <c r="F63" s="303">
        <f t="shared" ca="1" si="0"/>
        <v>15535.59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84.94</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28.31</v>
      </c>
      <c r="D65" s="963" t="s">
        <v>743</v>
      </c>
      <c r="E65" s="949" t="s">
        <v>744</v>
      </c>
      <c r="F65" s="330">
        <f t="shared" ca="1" si="0"/>
        <v>1E-3</v>
      </c>
      <c r="I65" s="1461" t="s">
        <v>867</v>
      </c>
      <c r="J65" s="1462">
        <v>40</v>
      </c>
      <c r="K65" s="1462">
        <v>30</v>
      </c>
      <c r="L65" s="1462">
        <v>50</v>
      </c>
      <c r="M65" s="1464">
        <v>0.02</v>
      </c>
      <c r="O65" s="1417" t="s">
        <v>403</v>
      </c>
      <c r="P65" s="1418" t="s">
        <v>868</v>
      </c>
      <c r="Q65" s="1419">
        <f ca="1">C40+J29</f>
        <v>22644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-115</v>
      </c>
      <c r="D67" s="962" t="s">
        <v>753</v>
      </c>
      <c r="E67" s="967"/>
      <c r="F67" s="968"/>
      <c r="O67" s="1427" t="s">
        <v>405</v>
      </c>
      <c r="P67" s="1418" t="s">
        <v>850</v>
      </c>
      <c r="Q67" s="1465">
        <f ca="1">L51</f>
        <v>188</v>
      </c>
      <c r="R67" s="1419" t="s">
        <v>870</v>
      </c>
    </row>
    <row r="68" spans="1:18" s="1383" customFormat="1" ht="16.5" thickBot="1">
      <c r="A68" s="946" t="s">
        <v>395</v>
      </c>
      <c r="B68" s="947" t="s">
        <v>774</v>
      </c>
      <c r="C68" s="301">
        <f ca="1">ROUND(C67*(1-((1+F70)/(1+F68))^F69)/(F68-F70),0)</f>
        <v>-1157</v>
      </c>
      <c r="D68" s="964" t="s">
        <v>758</v>
      </c>
      <c r="E68" s="949" t="s">
        <v>759</v>
      </c>
      <c r="F68" s="312">
        <f ca="1">F40</f>
        <v>5.5E-2</v>
      </c>
      <c r="O68" s="1427" t="s">
        <v>406</v>
      </c>
      <c r="P68" s="1466" t="s">
        <v>871</v>
      </c>
      <c r="Q68" s="1419">
        <f ca="1">ROUND(Q69-Q70*Q71,0)</f>
        <v>9</v>
      </c>
      <c r="R68" s="1419" t="s">
        <v>414</v>
      </c>
    </row>
    <row r="69" spans="1:18" s="1383" customFormat="1" ht="13.5" thickBot="1">
      <c r="A69" s="950"/>
      <c r="B69" s="951"/>
      <c r="C69" s="306"/>
      <c r="D69" s="969" t="s">
        <v>762</v>
      </c>
      <c r="E69" s="949" t="s">
        <v>763</v>
      </c>
      <c r="F69" s="333">
        <f ca="1">F41</f>
        <v>15.045</v>
      </c>
      <c r="O69" s="1427" t="s">
        <v>411</v>
      </c>
      <c r="P69" s="1466" t="s">
        <v>872</v>
      </c>
      <c r="Q69" s="1419">
        <f ca="1">C39</f>
        <v>1991</v>
      </c>
      <c r="R69" s="1419" t="s">
        <v>818</v>
      </c>
    </row>
    <row r="70" spans="1:18" s="1383" customFormat="1" ht="13.5" thickBot="1">
      <c r="A70" s="953"/>
      <c r="B70" s="954"/>
      <c r="C70" s="310"/>
      <c r="D70" s="965"/>
      <c r="E70" s="949" t="s">
        <v>766</v>
      </c>
      <c r="F70" s="1053"/>
      <c r="O70" s="1427" t="s">
        <v>412</v>
      </c>
      <c r="P70" s="1466" t="s">
        <v>873</v>
      </c>
      <c r="Q70" s="1419">
        <f ca="1">C13</f>
        <v>28312</v>
      </c>
      <c r="R70" s="1419" t="s">
        <v>818</v>
      </c>
    </row>
    <row r="71" spans="1:18" s="1383" customFormat="1" ht="13.5" thickBot="1">
      <c r="A71" s="970" t="s">
        <v>396</v>
      </c>
      <c r="B71" s="971" t="s">
        <v>776</v>
      </c>
      <c r="C71" s="336">
        <f ca="1">ROUND(C68*10000/F71,0)</f>
        <v>-299</v>
      </c>
      <c r="D71" s="972" t="s">
        <v>777</v>
      </c>
      <c r="E71" s="973" t="s">
        <v>778</v>
      </c>
      <c r="F71" s="339">
        <f ca="1">F43</f>
        <v>38652.39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1982</v>
      </c>
      <c r="D75" s="1383"/>
      <c r="E75" s="1383"/>
      <c r="F75" s="1383"/>
      <c r="K75" s="1401"/>
      <c r="L75" s="1383"/>
      <c r="O75" s="1417" t="s">
        <v>409</v>
      </c>
      <c r="P75" s="1418" t="s">
        <v>838</v>
      </c>
      <c r="Q75" s="1419">
        <f ca="1">Q65+Q66</f>
        <v>22644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5.0000000000000044E-3</v>
      </c>
    </row>
    <row r="80" spans="1:18">
      <c r="B80" s="340" t="s">
        <v>800</v>
      </c>
      <c r="C80" s="274">
        <f ca="1">ROUND(C75/C39,3)</f>
        <v>0.995</v>
      </c>
    </row>
    <row r="81" spans="2:3">
      <c r="B81" s="270" t="s">
        <v>801</v>
      </c>
      <c r="C81" s="238"/>
    </row>
    <row r="82" spans="2:3">
      <c r="B82" s="273" t="s">
        <v>802</v>
      </c>
      <c r="C82" s="275">
        <f ca="1">1-C83</f>
        <v>-0.25</v>
      </c>
    </row>
    <row r="83" spans="2:3">
      <c r="B83" s="273" t="s">
        <v>803</v>
      </c>
      <c r="C83" s="274">
        <f ca="1">ROUND(C13/C40,3)</f>
        <v>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12" t="s">
        <v>694</v>
      </c>
      <c r="C6" s="1073">
        <f ca="1">ROUND(F6*F8*F7*(1-F9),0)</f>
        <v>0</v>
      </c>
      <c r="D6" s="155" t="s">
        <v>2105</v>
      </c>
      <c r="E6" s="302" t="s">
        <v>696</v>
      </c>
      <c r="F6" s="303">
        <f ca="1">INDIRECT("'数据-取费表'!u"&amp;$G$1)</f>
        <v>0</v>
      </c>
      <c r="G6" s="1383"/>
      <c r="H6" s="1068" t="s">
        <v>398</v>
      </c>
      <c r="I6" s="3712" t="s">
        <v>694</v>
      </c>
      <c r="J6" s="301">
        <f ca="1">ROUND(M6*M8*M7*(1-M9),0)</f>
        <v>0</v>
      </c>
      <c r="K6" s="1375" t="s">
        <v>2106</v>
      </c>
      <c r="L6" s="302" t="s">
        <v>696</v>
      </c>
      <c r="M6" s="303">
        <f ca="1">INDIRECT("'数据-取费表'!z"&amp;$G$1)</f>
        <v>0</v>
      </c>
    </row>
    <row r="7" spans="1:37" ht="18" customHeight="1">
      <c r="A7" s="1072"/>
      <c r="B7" s="3713"/>
      <c r="C7" s="1074"/>
      <c r="D7" s="307"/>
      <c r="E7" s="1075" t="s">
        <v>697</v>
      </c>
      <c r="F7" s="303">
        <f ca="1">IF(INDIRECT("'数据-取费表'!ah"&amp;$G$1)="",INDIRECT("'数据-取费表'!k"&amp;$G$1),INDIRECT("'数据-取费表'!ah"&amp;$G$1))</f>
        <v>0</v>
      </c>
      <c r="G7" s="1383"/>
      <c r="H7" s="304"/>
      <c r="I7" s="3713"/>
      <c r="J7" s="306"/>
      <c r="K7" s="307"/>
      <c r="L7" s="302" t="s">
        <v>697</v>
      </c>
      <c r="M7" s="303">
        <f ca="1">F7</f>
        <v>0</v>
      </c>
    </row>
    <row r="8" spans="1:37" ht="18" customHeight="1">
      <c r="A8" s="304"/>
      <c r="B8" s="3713"/>
      <c r="C8" s="306"/>
      <c r="D8" s="307"/>
      <c r="E8" s="302" t="s">
        <v>698</v>
      </c>
      <c r="F8" s="303">
        <f ca="1">INDIRECT("'数据-取费表'!ai"&amp;$G$1)</f>
        <v>0</v>
      </c>
      <c r="G8" s="1383"/>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0</v>
      </c>
      <c r="D36" s="1343" t="s">
        <v>771</v>
      </c>
      <c r="E36" s="302" t="s">
        <v>712</v>
      </c>
      <c r="F36" s="328">
        <f ca="1">INDIRECT("'数据-取费表'!Ak"&amp;$G$1)</f>
        <v>0</v>
      </c>
      <c r="G36" s="1383"/>
      <c r="H36" s="2697"/>
      <c r="I36" s="1397"/>
      <c r="J36" s="1398"/>
      <c r="K36" s="2541"/>
      <c r="L36" s="2697"/>
      <c r="M36" s="2697"/>
    </row>
    <row r="37" spans="1:18" ht="18" customHeight="1">
      <c r="A37" s="981" t="s">
        <v>437</v>
      </c>
      <c r="B37" s="302" t="s">
        <v>742</v>
      </c>
      <c r="C37" s="21">
        <f ca="1">ROUND(C13*F37,0)</f>
        <v>0</v>
      </c>
      <c r="D37" s="1343" t="s">
        <v>743</v>
      </c>
      <c r="E37" s="302" t="s">
        <v>744</v>
      </c>
      <c r="F37" s="330">
        <f ca="1">INDIRECT("'数据-取费表'!Al"&amp;$G$1)</f>
        <v>0</v>
      </c>
      <c r="G37" s="1383"/>
      <c r="H37" s="2697"/>
      <c r="I37" s="1397"/>
      <c r="J37" s="1398"/>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3351</v>
      </c>
      <c r="B45" s="1399"/>
      <c r="C45" s="1471" t="e">
        <f ca="1">ROUND((C68-C40)/10000,4)</f>
        <v>#DIV/0!</v>
      </c>
      <c r="D45" s="3429"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710" t="s">
        <v>837</v>
      </c>
      <c r="L53" s="3711"/>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3358</v>
      </c>
      <c r="E2" s="3441"/>
      <c r="F2" s="2843"/>
      <c r="G2" s="2844"/>
      <c r="H2" s="2845"/>
      <c r="I2" s="2846"/>
      <c r="J2" s="3715" t="s">
        <v>2316</v>
      </c>
      <c r="K2" s="371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7" t="s">
        <v>2326</v>
      </c>
      <c r="K3" s="371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7" t="s">
        <v>2328</v>
      </c>
      <c r="K4" s="371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19" t="s">
        <v>2332</v>
      </c>
      <c r="B6" s="3720"/>
      <c r="C6" s="3721"/>
      <c r="D6" s="2867"/>
      <c r="E6" s="2868"/>
      <c r="F6" s="2869"/>
      <c r="G6" s="2870"/>
      <c r="H6" s="2845"/>
      <c r="I6" s="2846"/>
      <c r="J6" s="3722">
        <v>1</v>
      </c>
      <c r="K6" s="3723"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22"/>
      <c r="K7" s="3724"/>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6" t="s">
        <v>2346</v>
      </c>
      <c r="C8" s="3727"/>
      <c r="D8" s="2886" t="s">
        <v>2347</v>
      </c>
      <c r="E8" s="2887" t="s">
        <v>2348</v>
      </c>
      <c r="F8" s="2888" t="s">
        <v>2349</v>
      </c>
      <c r="G8" s="2889"/>
      <c r="H8" s="2845"/>
      <c r="I8" s="2846"/>
      <c r="J8" s="3722"/>
      <c r="K8" s="3724"/>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6" t="s">
        <v>2352</v>
      </c>
      <c r="C9" s="3727"/>
      <c r="D9" s="2886">
        <f>ROUND(D6*E9,0)</f>
        <v>0</v>
      </c>
      <c r="E9" s="2890"/>
      <c r="F9" s="2891" t="s">
        <v>2353</v>
      </c>
      <c r="G9" s="2870"/>
      <c r="H9" s="2845"/>
      <c r="I9" s="2846"/>
      <c r="J9" s="3722"/>
      <c r="K9" s="3724"/>
      <c r="L9" s="2880" t="s">
        <v>2354</v>
      </c>
      <c r="M9" s="2881"/>
      <c r="N9" s="2857"/>
      <c r="O9" s="2882"/>
      <c r="P9" s="2882"/>
      <c r="Q9" s="2883">
        <v>365</v>
      </c>
      <c r="R9" s="2884">
        <f t="shared" si="0"/>
        <v>0</v>
      </c>
      <c r="S9" s="2838"/>
      <c r="T9" s="2838"/>
      <c r="U9" s="2838"/>
      <c r="V9" s="2846"/>
    </row>
    <row r="10" spans="1:22" s="2850" customFormat="1" ht="13.15" customHeight="1">
      <c r="A10" s="2885">
        <v>2</v>
      </c>
      <c r="B10" s="3726" t="s">
        <v>2355</v>
      </c>
      <c r="C10" s="3727"/>
      <c r="D10" s="2886">
        <f>ROUND(D6*E10,0)</f>
        <v>0</v>
      </c>
      <c r="E10" s="2890"/>
      <c r="F10" s="2891" t="s">
        <v>2356</v>
      </c>
      <c r="G10" s="2870"/>
      <c r="H10" s="2845"/>
      <c r="I10" s="2846"/>
      <c r="J10" s="3722"/>
      <c r="K10" s="3724"/>
      <c r="L10" s="2880" t="s">
        <v>2357</v>
      </c>
      <c r="M10" s="2881"/>
      <c r="N10" s="2857"/>
      <c r="O10" s="2882"/>
      <c r="P10" s="2882"/>
      <c r="Q10" s="2883">
        <v>365</v>
      </c>
      <c r="R10" s="2884">
        <f t="shared" si="0"/>
        <v>0</v>
      </c>
      <c r="S10" s="2838"/>
      <c r="T10" s="2838"/>
      <c r="U10" s="2838"/>
      <c r="V10" s="2846"/>
    </row>
    <row r="11" spans="1:22" s="2850" customFormat="1" ht="13.15" customHeight="1">
      <c r="A11" s="2885">
        <v>3</v>
      </c>
      <c r="B11" s="3726" t="s">
        <v>2358</v>
      </c>
      <c r="C11" s="3727"/>
      <c r="D11" s="2886">
        <f>D12+D14+D15+D16</f>
        <v>0</v>
      </c>
      <c r="E11" s="2892" t="e">
        <f>D11/D6</f>
        <v>#DIV/0!</v>
      </c>
      <c r="F11" s="2888"/>
      <c r="G11" s="2889"/>
      <c r="H11" s="2845"/>
      <c r="I11" s="2846"/>
      <c r="J11" s="3722"/>
      <c r="K11" s="3724"/>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28" t="s">
        <v>2361</v>
      </c>
      <c r="C12" s="3729"/>
      <c r="D12" s="2894">
        <f>ROUND(D13*1.2%*(1-30%),0)</f>
        <v>0</v>
      </c>
      <c r="E12" s="2895">
        <v>1.2E-2</v>
      </c>
      <c r="F12" s="2888" t="s">
        <v>2362</v>
      </c>
      <c r="G12" s="2889"/>
      <c r="H12" s="2845"/>
      <c r="I12" s="2846"/>
      <c r="J12" s="3722"/>
      <c r="K12" s="3724"/>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22"/>
      <c r="K13" s="3724"/>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28" t="s">
        <v>2367</v>
      </c>
      <c r="C14" s="3729"/>
      <c r="D14" s="2894">
        <f>ROUND(E14*B5/10000,0)</f>
        <v>0</v>
      </c>
      <c r="E14" s="2883"/>
      <c r="F14" s="2888" t="s">
        <v>2368</v>
      </c>
      <c r="G14" s="2889"/>
      <c r="H14" s="2845"/>
      <c r="I14" s="2846"/>
      <c r="J14" s="3722"/>
      <c r="K14" s="3725"/>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28" t="s">
        <v>2371</v>
      </c>
      <c r="C15" s="3729"/>
      <c r="D15" s="2894">
        <f>ROUND(D6*E15,0)</f>
        <v>0</v>
      </c>
      <c r="E15" s="2895">
        <v>5.5E-2</v>
      </c>
      <c r="F15" s="2888" t="s">
        <v>2372</v>
      </c>
      <c r="G15" s="2870"/>
      <c r="H15" s="2845"/>
      <c r="I15" s="2846"/>
      <c r="J15" s="3722">
        <v>2</v>
      </c>
      <c r="K15" s="3723"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28" t="s">
        <v>2380</v>
      </c>
      <c r="C16" s="3729"/>
      <c r="D16" s="2905">
        <f>D6*E16</f>
        <v>0</v>
      </c>
      <c r="E16" s="2906"/>
      <c r="F16" s="2891" t="s">
        <v>2381</v>
      </c>
      <c r="G16" s="2870"/>
      <c r="H16" s="2845"/>
      <c r="I16" s="2846"/>
      <c r="J16" s="3722"/>
      <c r="K16" s="3724"/>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2383</v>
      </c>
      <c r="C17" s="3731"/>
      <c r="D17" s="2908">
        <f>ROUND(D6*E17,0)</f>
        <v>0</v>
      </c>
      <c r="E17" s="2909"/>
      <c r="F17" s="2910" t="s">
        <v>2384</v>
      </c>
      <c r="G17" s="2870"/>
      <c r="H17" s="2845"/>
      <c r="I17" s="2846"/>
      <c r="J17" s="3722"/>
      <c r="K17" s="3724"/>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22"/>
      <c r="K18" s="3724"/>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22"/>
      <c r="K19" s="3725"/>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2">
        <v>3</v>
      </c>
      <c r="K20" s="3723"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22"/>
      <c r="K21" s="3724"/>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22"/>
      <c r="K22" s="3724"/>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22"/>
      <c r="K23" s="3724"/>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22"/>
      <c r="K24" s="3725"/>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3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3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15" t="s">
        <v>2316</v>
      </c>
      <c r="K32" s="371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7" t="s">
        <v>2326</v>
      </c>
      <c r="K33" s="371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7" t="s">
        <v>2328</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22">
        <v>1</v>
      </c>
      <c r="K36" s="3723"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22"/>
      <c r="K40" s="3725"/>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2">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3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22" zoomScale="85" zoomScaleNormal="70" zoomScaleSheetLayoutView="85"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3459</v>
      </c>
      <c r="E1" s="1362" t="s">
        <v>678</v>
      </c>
      <c r="F1" s="1061">
        <f ca="1">J53</f>
        <v>15.045</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474" t="s">
        <v>804</v>
      </c>
      <c r="B2" s="1385">
        <f ca="1">C40+J29+L46</f>
        <v>398</v>
      </c>
      <c r="C2" s="1386" t="s">
        <v>805</v>
      </c>
      <c r="D2" s="1386"/>
      <c r="E2" s="1387"/>
      <c r="F2" s="1388"/>
      <c r="G2" s="2703"/>
      <c r="H2" s="2692"/>
      <c r="I2" s="2692"/>
      <c r="J2" s="2692"/>
      <c r="K2" s="2693"/>
      <c r="L2" s="2692"/>
      <c r="M2" s="2692"/>
    </row>
    <row r="3" spans="1:37" ht="18" customHeight="1" thickBot="1">
      <c r="A3" s="3475" t="s">
        <v>806</v>
      </c>
      <c r="B3" s="1390">
        <f ca="1">IF(ISERROR(B2*10000/F43),0,ROUND(B2*10000/F43,0))</f>
        <v>3941</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27</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27</v>
      </c>
      <c r="D6" s="155" t="s">
        <v>2108</v>
      </c>
      <c r="E6" s="302" t="s">
        <v>696</v>
      </c>
      <c r="F6" s="303">
        <f ca="1">INDIRECT("'数据-取费表'!u"&amp;$G$1)</f>
        <v>0.8</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3458" t="s">
        <v>697</v>
      </c>
      <c r="F7" s="303">
        <f ca="1">IF(INDIRECT("'数据-取费表'!ah"&amp;$G$1)="",INDIRECT("'数据-取费表'!k"&amp;$G$1),INDIRECT("'数据-取费表'!ah"&amp;$G$1))</f>
        <v>1010.02</v>
      </c>
      <c r="G7" s="1383"/>
      <c r="H7" s="304"/>
      <c r="I7" s="3713"/>
      <c r="J7" s="306"/>
      <c r="K7" s="307"/>
      <c r="L7" s="302" t="s">
        <v>697</v>
      </c>
      <c r="M7" s="303">
        <f ca="1">F7</f>
        <v>1010.02</v>
      </c>
    </row>
    <row r="8" spans="1:37" ht="18" customHeight="1">
      <c r="A8" s="304"/>
      <c r="B8" s="3713"/>
      <c r="C8" s="306"/>
      <c r="D8" s="307"/>
      <c r="E8" s="302" t="s">
        <v>698</v>
      </c>
      <c r="F8" s="303">
        <f ca="1">INDIRECT("'数据-取费表'!ai"&amp;$G$1)</f>
        <v>365</v>
      </c>
      <c r="G8" s="1383"/>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3441</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696</v>
      </c>
      <c r="D13" s="3455" t="s">
        <v>705</v>
      </c>
      <c r="E13" s="3455"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511</v>
      </c>
      <c r="D14" s="3461" t="s">
        <v>708</v>
      </c>
      <c r="E14" s="3460"/>
      <c r="F14" s="319"/>
      <c r="G14" s="1383"/>
      <c r="H14" s="981" t="s">
        <v>398</v>
      </c>
      <c r="I14" s="302" t="s">
        <v>709</v>
      </c>
      <c r="J14" s="21">
        <f ca="1">C29</f>
        <v>696</v>
      </c>
      <c r="K14" s="3457"/>
      <c r="L14" s="806"/>
      <c r="M14" s="807"/>
    </row>
    <row r="15" spans="1:37" s="1396" customFormat="1" ht="18" customHeight="1" thickBot="1">
      <c r="A15" s="981" t="s">
        <v>399</v>
      </c>
      <c r="B15" s="302" t="s">
        <v>710</v>
      </c>
      <c r="C15" s="21">
        <f ca="1">ROUND(C14*F15,0)</f>
        <v>26</v>
      </c>
      <c r="D15" s="3456" t="s">
        <v>711</v>
      </c>
      <c r="E15" s="3456"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v>
      </c>
      <c r="K16" s="1086" t="s">
        <v>715</v>
      </c>
      <c r="L16" s="3463"/>
      <c r="M16" s="1071"/>
    </row>
    <row r="17" spans="1:37" s="1396" customFormat="1" ht="18" customHeight="1">
      <c r="A17" s="981" t="s">
        <v>681</v>
      </c>
      <c r="B17" s="302" t="s">
        <v>716</v>
      </c>
      <c r="C17" s="21">
        <f ca="1">ROUND(F17*(F43+INDIRECT("'数据-取费表'!S"&amp;$G$1))/10000,0)</f>
        <v>22</v>
      </c>
      <c r="D17" s="302" t="s">
        <v>717</v>
      </c>
      <c r="E17" s="302" t="s">
        <v>718</v>
      </c>
      <c r="F17" s="23">
        <f>'数据-取费表'!B35</f>
        <v>200</v>
      </c>
      <c r="G17" s="1395"/>
      <c r="H17" s="981" t="s">
        <v>398</v>
      </c>
      <c r="I17" s="302" t="s">
        <v>719</v>
      </c>
      <c r="J17" s="2313">
        <f ca="1">ROUND(IF(AND(项目基本情况!B11="自然人",项目基本情况!B10="北京市"),J6*M17/(1+'数据-取费表'!C42),J18+J19+J20),2)</f>
        <v>0.06</v>
      </c>
      <c r="K17" s="3461" t="s">
        <v>720</v>
      </c>
      <c r="L17" s="3462"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v>
      </c>
      <c r="D18" s="302" t="s">
        <v>711</v>
      </c>
      <c r="E18" s="302" t="s">
        <v>712</v>
      </c>
      <c r="F18" s="322">
        <f>'数据-取费表'!B36</f>
        <v>0.03</v>
      </c>
      <c r="G18" s="1395"/>
      <c r="H18" s="981" t="s">
        <v>397</v>
      </c>
      <c r="I18" s="302" t="s">
        <v>723</v>
      </c>
      <c r="J18" s="21">
        <f ca="1">ROUND(J6*M18/(1+'数据-取费表'!C42),2)</f>
        <v>0</v>
      </c>
      <c r="K18" s="3462"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574</v>
      </c>
      <c r="D19" s="131" t="s">
        <v>726</v>
      </c>
      <c r="E19" s="3465"/>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17</v>
      </c>
      <c r="D20" s="2425" t="s">
        <v>729</v>
      </c>
      <c r="E20" s="302" t="s">
        <v>712</v>
      </c>
      <c r="F20" s="322">
        <f>'数据-取费表'!B37</f>
        <v>0.03</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5" t="s">
        <v>734</v>
      </c>
      <c r="E21" s="302" t="s">
        <v>735</v>
      </c>
      <c r="F21" s="322">
        <f>'数据-取费表'!B38</f>
        <v>0.02</v>
      </c>
      <c r="G21" s="1395"/>
      <c r="H21" s="326"/>
      <c r="I21" s="311"/>
      <c r="J21" s="26"/>
      <c r="K21" s="327"/>
      <c r="L21" s="302" t="s">
        <v>736</v>
      </c>
      <c r="M21" s="303">
        <f ca="1">INDIRECT("'数据-取费表'!r"&amp;$G$1)</f>
        <v>405.96000000000004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5"/>
      <c r="F22" s="23"/>
      <c r="G22" s="1383"/>
      <c r="H22" s="981" t="s">
        <v>402</v>
      </c>
      <c r="I22" s="302" t="s">
        <v>738</v>
      </c>
      <c r="J22" s="21">
        <f ca="1">ROUND(J14*M22,2)</f>
        <v>2.09</v>
      </c>
      <c r="K22" s="3462"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23</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3462"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65"/>
      <c r="F25" s="23"/>
      <c r="G25" s="1383"/>
      <c r="H25" s="1078" t="s">
        <v>394</v>
      </c>
      <c r="I25" s="1093" t="s">
        <v>752</v>
      </c>
      <c r="J25" s="310">
        <f ca="1">J5-J16</f>
        <v>-2</v>
      </c>
      <c r="K25" s="1094" t="s">
        <v>753</v>
      </c>
      <c r="L25" s="1095"/>
      <c r="M25" s="1096"/>
    </row>
    <row r="26" spans="1:37">
      <c r="A26" s="981" t="s">
        <v>397</v>
      </c>
      <c r="B26" s="302" t="s">
        <v>754</v>
      </c>
      <c r="C26" s="21">
        <f ca="1">ROUND((C19+C20)*F26,0)</f>
        <v>30</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5" t="s">
        <v>761</v>
      </c>
      <c r="E27" s="3456"/>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696</v>
      </c>
      <c r="D29" s="1091"/>
      <c r="E29" s="1089"/>
      <c r="F29" s="1092"/>
      <c r="G29" s="1395"/>
      <c r="H29" s="334" t="s">
        <v>396</v>
      </c>
      <c r="I29" s="335" t="s">
        <v>768</v>
      </c>
      <c r="J29" s="336">
        <f ca="1">ROUND(J26/(1+F40)^F41,0)</f>
        <v>0</v>
      </c>
      <c r="K29" s="337" t="s">
        <v>769</v>
      </c>
      <c r="L29" s="338"/>
      <c r="M29" s="339">
        <f ca="1">INDIRECT("'数据-取费表'!k"&amp;$G$1)</f>
        <v>1010.02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v>
      </c>
      <c r="D30" s="1086" t="s">
        <v>715</v>
      </c>
      <c r="E30" s="3463"/>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4.5599999999999996</v>
      </c>
      <c r="D31" s="3461" t="s">
        <v>720</v>
      </c>
      <c r="E31" s="3462"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1.41</v>
      </c>
      <c r="D32" s="3462"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3.09</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0.06</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405.96000000000004</v>
      </c>
      <c r="G35" s="1383"/>
      <c r="H35" s="2694"/>
      <c r="I35" s="1397"/>
      <c r="J35" s="1398"/>
      <c r="K35" s="2698"/>
      <c r="L35" s="2697"/>
      <c r="M35" s="2697"/>
    </row>
    <row r="36" spans="1:18" ht="18" customHeight="1">
      <c r="A36" s="1101" t="s">
        <v>402</v>
      </c>
      <c r="B36" s="302" t="s">
        <v>738</v>
      </c>
      <c r="C36" s="21">
        <f ca="1">ROUND(C29*F36,2)</f>
        <v>2.09</v>
      </c>
      <c r="D36" s="3462"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0.7</v>
      </c>
      <c r="D37" s="3462"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0.14000000000000001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20</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227</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2247</v>
      </c>
      <c r="D43" s="337" t="s">
        <v>777</v>
      </c>
      <c r="E43" s="338" t="s">
        <v>778</v>
      </c>
      <c r="F43" s="339">
        <f ca="1">INDIRECT("'数据-取费表'!k"&amp;$G$1)</f>
        <v>1010.02</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-257</v>
      </c>
      <c r="D46" s="1405" t="str">
        <f>C2</f>
        <v>万元</v>
      </c>
      <c r="E46" s="1399"/>
      <c r="F46" s="1399"/>
      <c r="I46" s="1406" t="s">
        <v>810</v>
      </c>
      <c r="J46" s="1407"/>
      <c r="K46" s="1408"/>
      <c r="L46" s="1409">
        <f ca="1">IF(M47="住宅",0,IF(L48&gt;J51,L60,J60))</f>
        <v>171</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227</v>
      </c>
      <c r="R47" s="1419" t="s">
        <v>818</v>
      </c>
    </row>
    <row r="48" spans="1:18" s="1383" customFormat="1" ht="28.5" thickBot="1">
      <c r="A48" s="1109" t="s">
        <v>438</v>
      </c>
      <c r="B48" s="300" t="s">
        <v>692</v>
      </c>
      <c r="C48" s="3464">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171</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696</v>
      </c>
      <c r="R49" s="1419" t="s">
        <v>818</v>
      </c>
    </row>
    <row r="50" spans="1:18" s="1383" customFormat="1" ht="13.5" thickBot="1">
      <c r="A50" s="975"/>
      <c r="B50" s="978"/>
      <c r="C50" s="1117"/>
      <c r="D50" s="952"/>
      <c r="E50" s="1055" t="s">
        <v>697</v>
      </c>
      <c r="F50" s="1056">
        <f ca="1">F7</f>
        <v>1010.02</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365</v>
      </c>
      <c r="I51" s="1431" t="s">
        <v>829</v>
      </c>
      <c r="J51" s="1432">
        <f>IF(J49="",J50,J49+J50-YEAR('数据-取费表'!B2))</f>
        <v>59</v>
      </c>
      <c r="K51" s="1433" t="s">
        <v>830</v>
      </c>
      <c r="L51" s="1434">
        <f ca="1">ROUND(-PV(INDIRECT("'数据-取费表'!h"&amp;$G$1),J51,(C39-C13*C76),0),0)</f>
        <v>-591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398</v>
      </c>
      <c r="R53" s="1419" t="s">
        <v>410</v>
      </c>
    </row>
    <row r="54" spans="1:18" s="1383" customFormat="1" ht="13.5" thickBot="1">
      <c r="A54" s="1152"/>
      <c r="B54" s="1366" t="s">
        <v>679</v>
      </c>
      <c r="C54" s="958"/>
      <c r="D54" s="1365"/>
      <c r="E54" s="3459"/>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9"/>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696</v>
      </c>
      <c r="D56" s="1446"/>
      <c r="E56" s="1447"/>
      <c r="F56" s="1439"/>
      <c r="I56" s="1448" t="s">
        <v>842</v>
      </c>
      <c r="J56" s="1449" t="s">
        <v>3444</v>
      </c>
      <c r="K56" s="1420" t="s">
        <v>843</v>
      </c>
      <c r="L56" s="1423" t="str">
        <f ca="1">IF(L48&lt;J51,"——",L48-J53)</f>
        <v>——</v>
      </c>
      <c r="O56" s="1417" t="s">
        <v>403</v>
      </c>
      <c r="P56" s="1418" t="s">
        <v>817</v>
      </c>
      <c r="Q56" s="1419">
        <f ca="1">C40+J29</f>
        <v>227</v>
      </c>
      <c r="R56" s="1419" t="s">
        <v>818</v>
      </c>
    </row>
    <row r="57" spans="1:18" s="1383" customFormat="1" ht="24.75" thickBot="1">
      <c r="A57" s="1450"/>
      <c r="B57" s="949" t="s">
        <v>767</v>
      </c>
      <c r="C57" s="238">
        <f ca="1">C29</f>
        <v>696</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509</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171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227</v>
      </c>
      <c r="R62" s="1419" t="s">
        <v>410</v>
      </c>
    </row>
    <row r="63" spans="1:18" s="1383" customFormat="1" ht="13.5" thickBot="1">
      <c r="A63" s="326"/>
      <c r="B63" s="955"/>
      <c r="C63" s="26"/>
      <c r="D63" s="965"/>
      <c r="E63" s="949" t="s">
        <v>788</v>
      </c>
      <c r="F63" s="303">
        <f t="shared" ca="1" si="0"/>
        <v>405.96000000000004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2.09</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v>
      </c>
      <c r="D65" s="963" t="s">
        <v>743</v>
      </c>
      <c r="E65" s="949" t="s">
        <v>744</v>
      </c>
      <c r="F65" s="330">
        <f t="shared" ca="1" si="0"/>
        <v>1E-3</v>
      </c>
      <c r="I65" s="1461" t="s">
        <v>867</v>
      </c>
      <c r="J65" s="1462">
        <v>40</v>
      </c>
      <c r="K65" s="1462">
        <v>30</v>
      </c>
      <c r="L65" s="1462">
        <v>50</v>
      </c>
      <c r="M65" s="1464">
        <v>0.02</v>
      </c>
      <c r="O65" s="1417" t="s">
        <v>403</v>
      </c>
      <c r="P65" s="1418" t="s">
        <v>868</v>
      </c>
      <c r="Q65" s="1419">
        <f ca="1">C40+J29</f>
        <v>227</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v>
      </c>
      <c r="D67" s="962" t="s">
        <v>753</v>
      </c>
      <c r="E67" s="967"/>
      <c r="F67" s="968"/>
      <c r="O67" s="1427" t="s">
        <v>405</v>
      </c>
      <c r="P67" s="1418" t="s">
        <v>850</v>
      </c>
      <c r="Q67" s="1465">
        <f ca="1">L51</f>
        <v>-591</v>
      </c>
      <c r="R67" s="1419" t="s">
        <v>870</v>
      </c>
    </row>
    <row r="68" spans="1:18" s="1383" customFormat="1" ht="16.5" thickBot="1">
      <c r="A68" s="946" t="s">
        <v>395</v>
      </c>
      <c r="B68" s="947" t="s">
        <v>774</v>
      </c>
      <c r="C68" s="301">
        <f ca="1">ROUND(C67*(1-((1+F70)/(1+F68))^F69)/(F68-F70),0)</f>
        <v>-30</v>
      </c>
      <c r="D68" s="964" t="s">
        <v>758</v>
      </c>
      <c r="E68" s="949" t="s">
        <v>759</v>
      </c>
      <c r="F68" s="312">
        <f ca="1">F40</f>
        <v>5.5E-2</v>
      </c>
      <c r="O68" s="1427" t="s">
        <v>406</v>
      </c>
      <c r="P68" s="1466" t="s">
        <v>871</v>
      </c>
      <c r="Q68" s="1419">
        <f ca="1">ROUND(Q69-Q70*Q71,0)</f>
        <v>-29</v>
      </c>
      <c r="R68" s="1419" t="s">
        <v>414</v>
      </c>
    </row>
    <row r="69" spans="1:18" s="1383" customFormat="1" ht="13.5" thickBot="1">
      <c r="A69" s="950"/>
      <c r="B69" s="951"/>
      <c r="C69" s="306"/>
      <c r="D69" s="969" t="s">
        <v>762</v>
      </c>
      <c r="E69" s="949" t="s">
        <v>763</v>
      </c>
      <c r="F69" s="333">
        <f ca="1">F41</f>
        <v>15.045</v>
      </c>
      <c r="O69" s="1427" t="s">
        <v>411</v>
      </c>
      <c r="P69" s="1466" t="s">
        <v>872</v>
      </c>
      <c r="Q69" s="1419">
        <f ca="1">C39</f>
        <v>20</v>
      </c>
      <c r="R69" s="1419" t="s">
        <v>818</v>
      </c>
    </row>
    <row r="70" spans="1:18" s="1383" customFormat="1" ht="13.5" thickBot="1">
      <c r="A70" s="953"/>
      <c r="B70" s="954"/>
      <c r="C70" s="310"/>
      <c r="D70" s="965"/>
      <c r="E70" s="949" t="s">
        <v>766</v>
      </c>
      <c r="F70" s="1053"/>
      <c r="O70" s="1427" t="s">
        <v>412</v>
      </c>
      <c r="P70" s="1466" t="s">
        <v>873</v>
      </c>
      <c r="Q70" s="1419">
        <f ca="1">C13</f>
        <v>696</v>
      </c>
      <c r="R70" s="1419" t="s">
        <v>818</v>
      </c>
    </row>
    <row r="71" spans="1:18" s="1383" customFormat="1" ht="13.5" thickBot="1">
      <c r="A71" s="970" t="s">
        <v>396</v>
      </c>
      <c r="B71" s="971" t="s">
        <v>776</v>
      </c>
      <c r="C71" s="336">
        <f ca="1">ROUND(C68*10000/F71,0)</f>
        <v>-297</v>
      </c>
      <c r="D71" s="972" t="s">
        <v>777</v>
      </c>
      <c r="E71" s="973" t="s">
        <v>778</v>
      </c>
      <c r="F71" s="339">
        <f ca="1">F43</f>
        <v>1010.02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49</v>
      </c>
      <c r="D75" s="1383"/>
      <c r="E75" s="1383"/>
      <c r="F75" s="1383"/>
      <c r="K75" s="1401"/>
      <c r="L75" s="1383"/>
      <c r="O75" s="1417" t="s">
        <v>409</v>
      </c>
      <c r="P75" s="1418" t="s">
        <v>838</v>
      </c>
      <c r="Q75" s="1419">
        <f ca="1">Q65+Q66</f>
        <v>227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-1.4500000000000002</v>
      </c>
    </row>
    <row r="80" spans="1:18">
      <c r="B80" s="340" t="s">
        <v>800</v>
      </c>
      <c r="C80" s="274">
        <f ca="1">ROUND(C75/C39,3)</f>
        <v>2.4500000000000002</v>
      </c>
    </row>
    <row r="81" spans="2:3">
      <c r="B81" s="270" t="s">
        <v>801</v>
      </c>
      <c r="C81" s="238"/>
    </row>
    <row r="82" spans="2:3">
      <c r="B82" s="273" t="s">
        <v>802</v>
      </c>
      <c r="C82" s="275">
        <f ca="1">1-C83</f>
        <v>-2.0659999999999998</v>
      </c>
    </row>
    <row r="83" spans="2:3">
      <c r="B83" s="273" t="s">
        <v>803</v>
      </c>
      <c r="C83" s="274">
        <f ca="1">ROUND(C13/C40,3)</f>
        <v>3.0659999999999998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32" sqref="D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3332</v>
      </c>
      <c r="D1" s="1361" t="s">
        <v>3459</v>
      </c>
      <c r="E1" s="1362" t="s">
        <v>678</v>
      </c>
      <c r="F1" s="1061">
        <f ca="1">J53</f>
        <v>15.045</v>
      </c>
      <c r="G1" s="1377">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474" t="s">
        <v>804</v>
      </c>
      <c r="B2" s="1385">
        <f ca="1">C40+J29+L46</f>
        <v>1104</v>
      </c>
      <c r="C2" s="1386" t="s">
        <v>805</v>
      </c>
      <c r="D2" s="1386"/>
      <c r="E2" s="1387"/>
      <c r="F2" s="1388"/>
      <c r="G2" s="2703"/>
      <c r="H2" s="2692"/>
      <c r="I2" s="2692"/>
      <c r="J2" s="2692"/>
      <c r="K2" s="2693"/>
      <c r="L2" s="2692"/>
      <c r="M2" s="2692"/>
    </row>
    <row r="3" spans="1:37" ht="18" customHeight="1" thickBot="1">
      <c r="A3" s="3475" t="s">
        <v>806</v>
      </c>
      <c r="B3" s="1390">
        <f ca="1">IF(ISERROR(B2*10000/F43),0,ROUND(B2*10000/F43,0))</f>
        <v>2132</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42</v>
      </c>
      <c r="D5" s="1363" t="s">
        <v>693</v>
      </c>
      <c r="E5" s="1070"/>
      <c r="F5" s="1071"/>
      <c r="G5" s="1383"/>
      <c r="H5" s="299">
        <v>1</v>
      </c>
      <c r="I5" s="300" t="s">
        <v>692</v>
      </c>
      <c r="J5" s="1069">
        <f ca="1">J6+J10+J12</f>
        <v>0</v>
      </c>
      <c r="K5" s="1363" t="s">
        <v>693</v>
      </c>
      <c r="L5" s="1070"/>
      <c r="M5" s="1071"/>
    </row>
    <row r="6" spans="1:37" ht="18" customHeight="1">
      <c r="A6" s="1068" t="s">
        <v>398</v>
      </c>
      <c r="B6" s="3712" t="s">
        <v>694</v>
      </c>
      <c r="C6" s="1073">
        <f ca="1">ROUND(F6*F8*F7*(1-F9)/10000,0)</f>
        <v>42</v>
      </c>
      <c r="D6" s="155" t="s">
        <v>2108</v>
      </c>
      <c r="E6" s="302" t="s">
        <v>696</v>
      </c>
      <c r="F6" s="303">
        <f ca="1">INDIRECT("'数据-取费表'!u"&amp;$G$1)</f>
        <v>300</v>
      </c>
      <c r="G6" s="1383"/>
      <c r="H6" s="1068" t="s">
        <v>398</v>
      </c>
      <c r="I6" s="3712" t="s">
        <v>694</v>
      </c>
      <c r="J6" s="301">
        <f ca="1">ROUND(M6*M8*M7*(1-M9)/10000,0)</f>
        <v>0</v>
      </c>
      <c r="K6" s="155" t="s">
        <v>2107</v>
      </c>
      <c r="L6" s="302" t="s">
        <v>696</v>
      </c>
      <c r="M6" s="303">
        <f ca="1">INDIRECT("'数据-取费表'!z"&amp;$G$1)</f>
        <v>0</v>
      </c>
    </row>
    <row r="7" spans="1:37" ht="18" customHeight="1">
      <c r="A7" s="1072"/>
      <c r="B7" s="3713"/>
      <c r="C7" s="1074"/>
      <c r="D7" s="307"/>
      <c r="E7" s="3458" t="s">
        <v>697</v>
      </c>
      <c r="F7" s="303">
        <f ca="1">IF(INDIRECT("'数据-取费表'!ah"&amp;$G$1)="",INDIRECT("'数据-取费表'!k"&amp;$G$1),INDIRECT("'数据-取费表'!ah"&amp;$G$1))</f>
        <v>129</v>
      </c>
      <c r="G7" s="1383"/>
      <c r="H7" s="304"/>
      <c r="I7" s="3713"/>
      <c r="J7" s="306"/>
      <c r="K7" s="307"/>
      <c r="L7" s="302" t="s">
        <v>697</v>
      </c>
      <c r="M7" s="303">
        <f ca="1">F7</f>
        <v>129</v>
      </c>
    </row>
    <row r="8" spans="1:37" ht="18" customHeight="1">
      <c r="A8" s="304"/>
      <c r="B8" s="3713"/>
      <c r="C8" s="306"/>
      <c r="D8" s="307"/>
      <c r="E8" s="302" t="s">
        <v>698</v>
      </c>
      <c r="F8" s="303">
        <f ca="1">INDIRECT("'数据-取费表'!ai"&amp;$G$1)</f>
        <v>12</v>
      </c>
      <c r="G8" s="1383"/>
      <c r="H8" s="304"/>
      <c r="I8" s="3713"/>
      <c r="J8" s="306"/>
      <c r="K8" s="307"/>
      <c r="L8" s="302" t="s">
        <v>698</v>
      </c>
      <c r="M8" s="303">
        <f ca="1">INDIRECT("'数据-取费表'!ai"&amp;$G$1)</f>
        <v>12</v>
      </c>
    </row>
    <row r="9" spans="1:37" ht="18" customHeight="1">
      <c r="A9" s="304"/>
      <c r="B9" s="3714"/>
      <c r="C9" s="306"/>
      <c r="D9" s="307"/>
      <c r="E9" s="302" t="s">
        <v>699</v>
      </c>
      <c r="F9" s="312">
        <f ca="1">INDIRECT("'数据-取费表'!w"&amp;$G$1)</f>
        <v>0.1</v>
      </c>
      <c r="G9" s="1383"/>
      <c r="H9" s="304"/>
      <c r="I9" s="3714"/>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3558</v>
      </c>
      <c r="D13" s="3455" t="s">
        <v>705</v>
      </c>
      <c r="E13" s="3455"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2617</v>
      </c>
      <c r="D14" s="3461" t="s">
        <v>708</v>
      </c>
      <c r="E14" s="3460"/>
      <c r="F14" s="319"/>
      <c r="G14" s="1383"/>
      <c r="H14" s="981" t="s">
        <v>398</v>
      </c>
      <c r="I14" s="302" t="s">
        <v>709</v>
      </c>
      <c r="J14" s="21">
        <f ca="1">C29</f>
        <v>3558</v>
      </c>
      <c r="K14" s="3457"/>
      <c r="L14" s="806"/>
      <c r="M14" s="807"/>
    </row>
    <row r="15" spans="1:37" s="1396" customFormat="1" ht="18" customHeight="1" thickBot="1">
      <c r="A15" s="981" t="s">
        <v>399</v>
      </c>
      <c r="B15" s="302" t="s">
        <v>710</v>
      </c>
      <c r="C15" s="21">
        <f ca="1">ROUND(C14*F15,0)</f>
        <v>131</v>
      </c>
      <c r="D15" s="3456" t="s">
        <v>711</v>
      </c>
      <c r="E15" s="3456"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11</v>
      </c>
      <c r="K16" s="1086" t="s">
        <v>715</v>
      </c>
      <c r="L16" s="3463"/>
      <c r="M16" s="1071"/>
    </row>
    <row r="17" spans="1:37" s="1396" customFormat="1" ht="18" customHeight="1">
      <c r="A17" s="981" t="s">
        <v>681</v>
      </c>
      <c r="B17" s="302" t="s">
        <v>716</v>
      </c>
      <c r="C17" s="21">
        <f ca="1">ROUND(F17*(F43+INDIRECT("'数据-取费表'!S"&amp;$G$1))/10000,0)</f>
        <v>111</v>
      </c>
      <c r="D17" s="302" t="s">
        <v>717</v>
      </c>
      <c r="E17" s="302" t="s">
        <v>718</v>
      </c>
      <c r="F17" s="23">
        <f>'数据-取费表'!B35</f>
        <v>200</v>
      </c>
      <c r="G17" s="1395"/>
      <c r="H17" s="981" t="s">
        <v>398</v>
      </c>
      <c r="I17" s="302" t="s">
        <v>719</v>
      </c>
      <c r="J17" s="2313">
        <f ca="1">ROUND(IF(AND(项目基本情况!B11="自然人",项目基本情况!B10="北京市"),J6*M17/(1+'数据-取费表'!C42),J18+J19+J20),2)</f>
        <v>0.31</v>
      </c>
      <c r="K17" s="3461" t="s">
        <v>720</v>
      </c>
      <c r="L17" s="3462"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79</v>
      </c>
      <c r="D18" s="302" t="s">
        <v>711</v>
      </c>
      <c r="E18" s="302" t="s">
        <v>712</v>
      </c>
      <c r="F18" s="322">
        <f>'数据-取费表'!B36</f>
        <v>0.03</v>
      </c>
      <c r="G18" s="1395"/>
      <c r="H18" s="981" t="s">
        <v>397</v>
      </c>
      <c r="I18" s="302" t="s">
        <v>723</v>
      </c>
      <c r="J18" s="21">
        <f ca="1">ROUND(J6*M18/(1+'数据-取费表'!C42),2)</f>
        <v>0</v>
      </c>
      <c r="K18" s="3462"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2938</v>
      </c>
      <c r="D19" s="131" t="s">
        <v>726</v>
      </c>
      <c r="E19" s="3465"/>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88</v>
      </c>
      <c r="D20" s="2425" t="s">
        <v>729</v>
      </c>
      <c r="E20" s="302" t="s">
        <v>712</v>
      </c>
      <c r="F20" s="322">
        <f>'数据-取费表'!B37</f>
        <v>0.03</v>
      </c>
      <c r="G20" s="1395"/>
      <c r="H20" s="981" t="s">
        <v>680</v>
      </c>
      <c r="I20" s="155" t="s">
        <v>730</v>
      </c>
      <c r="J20" s="22">
        <f ca="1">ROUND(M20*M21/10000,2)</f>
        <v>0.31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5" t="s">
        <v>734</v>
      </c>
      <c r="E21" s="302" t="s">
        <v>735</v>
      </c>
      <c r="F21" s="322">
        <f>'数据-取费表'!B38</f>
        <v>0.02</v>
      </c>
      <c r="G21" s="1395"/>
      <c r="H21" s="326"/>
      <c r="I21" s="311"/>
      <c r="J21" s="26"/>
      <c r="K21" s="327"/>
      <c r="L21" s="302" t="s">
        <v>736</v>
      </c>
      <c r="M21" s="303">
        <f ca="1">INDIRECT("'数据-取费表'!r"&amp;$G$1)</f>
        <v>2081.5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65"/>
      <c r="F22" s="23"/>
      <c r="G22" s="1383"/>
      <c r="H22" s="981" t="s">
        <v>402</v>
      </c>
      <c r="I22" s="302" t="s">
        <v>738</v>
      </c>
      <c r="J22" s="21">
        <f ca="1">ROUND(J14*M22,2)</f>
        <v>10.67</v>
      </c>
      <c r="K22" s="3462"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117</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3462"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65"/>
      <c r="F25" s="23"/>
      <c r="G25" s="1383"/>
      <c r="H25" s="1078" t="s">
        <v>394</v>
      </c>
      <c r="I25" s="1093" t="s">
        <v>752</v>
      </c>
      <c r="J25" s="310">
        <f ca="1">J5-J16</f>
        <v>-11</v>
      </c>
      <c r="K25" s="1094" t="s">
        <v>753</v>
      </c>
      <c r="L25" s="1095"/>
      <c r="M25" s="1096"/>
    </row>
    <row r="26" spans="1:37">
      <c r="A26" s="981" t="s">
        <v>397</v>
      </c>
      <c r="B26" s="302" t="s">
        <v>754</v>
      </c>
      <c r="C26" s="21">
        <f ca="1">ROUND((C19+C20)*F26,0)</f>
        <v>151</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2425" t="s">
        <v>761</v>
      </c>
      <c r="E27" s="3456"/>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3558</v>
      </c>
      <c r="D29" s="1091"/>
      <c r="E29" s="1089"/>
      <c r="F29" s="1092"/>
      <c r="G29" s="1395"/>
      <c r="H29" s="334" t="s">
        <v>396</v>
      </c>
      <c r="I29" s="335" t="s">
        <v>768</v>
      </c>
      <c r="J29" s="336">
        <f ca="1">ROUND(J26/(1+F40)^F41,0)</f>
        <v>0</v>
      </c>
      <c r="K29" s="337" t="s">
        <v>769</v>
      </c>
      <c r="L29" s="338"/>
      <c r="M29" s="339">
        <f ca="1">INDIRECT("'数据-取费表'!k"&amp;$G$1)</f>
        <v>5178.7700000000004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22</v>
      </c>
      <c r="D30" s="1086" t="s">
        <v>715</v>
      </c>
      <c r="E30" s="3463"/>
      <c r="F30" s="1071"/>
      <c r="G30" s="1383"/>
      <c r="H30" s="2694"/>
      <c r="I30" s="1397"/>
      <c r="J30" s="1398"/>
      <c r="K30" s="2472"/>
      <c r="L30" s="2695"/>
      <c r="M30" s="2696"/>
    </row>
    <row r="31" spans="1:37" ht="18" customHeight="1">
      <c r="A31" s="981" t="s">
        <v>398</v>
      </c>
      <c r="B31" s="302" t="s">
        <v>719</v>
      </c>
      <c r="C31" s="2313">
        <f ca="1">ROUND(IF(AND(项目基本情况!B11="自然人",项目基本情况!B10="北京市"),C6*F31/(1+'数据-取费表'!C42),C32+C33+C34),2)</f>
        <v>7.31</v>
      </c>
      <c r="D31" s="3461" t="s">
        <v>720</v>
      </c>
      <c r="E31" s="3462" t="s">
        <v>770</v>
      </c>
      <c r="F31" s="2312" t="str">
        <f>IF(项目基本情况!B11="企业","——",IF(M47="住宅",IF(F6*F7*F8/12/(1+'数据-取费表'!F30)&gt;100000,4%,2.5%),IF(F6*F7*F8/12/(1+'数据-取费表'!F30)&gt;100000,12%,7%)))</f>
        <v>——</v>
      </c>
      <c r="G31" s="1383"/>
      <c r="H31" s="2805" t="s">
        <v>2305</v>
      </c>
      <c r="I31" s="1397"/>
      <c r="J31" s="1398"/>
      <c r="K31" s="2472"/>
      <c r="L31" s="2695"/>
      <c r="M31" s="2696"/>
    </row>
    <row r="32" spans="1:37" ht="18" customHeight="1">
      <c r="A32" s="981" t="s">
        <v>397</v>
      </c>
      <c r="B32" s="302" t="s">
        <v>723</v>
      </c>
      <c r="C32" s="21">
        <f ca="1">IF(项目基本情况!B11="自然人","——",ROUND(C6*F32/(1+'数据-取费表'!C42),2))</f>
        <v>2.2000000000000002</v>
      </c>
      <c r="D32" s="3462" t="s">
        <v>724</v>
      </c>
      <c r="E32" s="302" t="s">
        <v>712</v>
      </c>
      <c r="F32" s="331">
        <f>'数据-取费表'!B41</f>
        <v>5.5000000000000007E-2</v>
      </c>
      <c r="G32" s="1383"/>
      <c r="H32" s="2694"/>
      <c r="I32" s="1397"/>
      <c r="J32" s="1398"/>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4.8</v>
      </c>
      <c r="D33" s="1369" t="s">
        <v>3335</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0.31</v>
      </c>
      <c r="D34" s="324" t="s">
        <v>731</v>
      </c>
      <c r="E34" s="302" t="s">
        <v>732</v>
      </c>
      <c r="F34" s="325">
        <f>'数据-取费表'!B52</f>
        <v>1.5</v>
      </c>
      <c r="G34" s="1383"/>
      <c r="H34" s="2694"/>
      <c r="I34" s="1397"/>
      <c r="J34" s="1398"/>
      <c r="K34" s="2699"/>
      <c r="L34" s="2700"/>
      <c r="M34" s="2700"/>
    </row>
    <row r="35" spans="1:18" ht="18" customHeight="1">
      <c r="A35" s="1102"/>
      <c r="B35" s="1100"/>
      <c r="C35" s="26"/>
      <c r="D35" s="327"/>
      <c r="E35" s="302" t="s">
        <v>736</v>
      </c>
      <c r="F35" s="303">
        <f ca="1">INDIRECT("'数据-取费表'!r"&amp;$G$1)</f>
        <v>2081.5</v>
      </c>
      <c r="G35" s="1383"/>
      <c r="H35" s="2694"/>
      <c r="I35" s="1397"/>
      <c r="J35" s="1398"/>
      <c r="K35" s="2698"/>
      <c r="L35" s="2697"/>
      <c r="M35" s="2697"/>
    </row>
    <row r="36" spans="1:18" ht="18" customHeight="1">
      <c r="A36" s="1101" t="s">
        <v>402</v>
      </c>
      <c r="B36" s="302" t="s">
        <v>738</v>
      </c>
      <c r="C36" s="21">
        <f ca="1">ROUND(C29*F36,2)</f>
        <v>10.67</v>
      </c>
      <c r="D36" s="3462" t="s">
        <v>771</v>
      </c>
      <c r="E36" s="302" t="s">
        <v>712</v>
      </c>
      <c r="F36" s="328">
        <f ca="1">INDIRECT("'数据-取费表'!Ak"&amp;$G$1)</f>
        <v>3.0000000000000001E-3</v>
      </c>
      <c r="G36" s="1383"/>
      <c r="H36" s="2697"/>
      <c r="I36" s="1397"/>
      <c r="J36" s="1398"/>
      <c r="K36" s="2541"/>
      <c r="L36" s="2697"/>
      <c r="M36" s="2697"/>
    </row>
    <row r="37" spans="1:18" ht="18" customHeight="1">
      <c r="A37" s="981" t="s">
        <v>437</v>
      </c>
      <c r="B37" s="302" t="s">
        <v>742</v>
      </c>
      <c r="C37" s="21">
        <f ca="1">ROUND(C13*F37,2)</f>
        <v>3.56</v>
      </c>
      <c r="D37" s="3462" t="s">
        <v>743</v>
      </c>
      <c r="E37" s="302" t="s">
        <v>744</v>
      </c>
      <c r="F37" s="330">
        <f ca="1">INDIRECT("'数据-取费表'!Al"&amp;$G$1)</f>
        <v>1E-3</v>
      </c>
      <c r="G37" s="1383"/>
      <c r="H37" s="2697"/>
      <c r="I37" s="1397"/>
      <c r="J37" s="1398"/>
      <c r="K37" s="2541"/>
      <c r="L37" s="2697"/>
      <c r="M37" s="2697"/>
    </row>
    <row r="38" spans="1:18" ht="18" customHeight="1" thickBot="1">
      <c r="A38" s="1088" t="s">
        <v>684</v>
      </c>
      <c r="B38" s="1089" t="s">
        <v>728</v>
      </c>
      <c r="C38" s="1090">
        <f ca="1">ROUND(C5*F38,2)</f>
        <v>0.21</v>
      </c>
      <c r="D38" s="1091" t="s">
        <v>748</v>
      </c>
      <c r="E38" s="1089" t="s">
        <v>744</v>
      </c>
      <c r="F38" s="1085">
        <f ca="1">INDIRECT("'数据-取费表'!Am"&amp;$G$1)</f>
        <v>5.0000000000000001E-3</v>
      </c>
      <c r="G38" s="1383"/>
      <c r="H38" s="2697"/>
      <c r="I38" s="1397"/>
      <c r="J38" s="1398"/>
      <c r="K38" s="2701"/>
      <c r="L38" s="2697"/>
      <c r="M38" s="2697"/>
    </row>
    <row r="39" spans="1:18" ht="24.6" customHeight="1" thickTop="1">
      <c r="A39" s="1078" t="s">
        <v>394</v>
      </c>
      <c r="B39" s="1093" t="s">
        <v>772</v>
      </c>
      <c r="C39" s="310">
        <f ca="1">C5-C30</f>
        <v>20</v>
      </c>
      <c r="D39" s="1094" t="s">
        <v>773</v>
      </c>
      <c r="E39" s="1095"/>
      <c r="F39" s="1096"/>
      <c r="G39" s="1383"/>
      <c r="H39" s="2697"/>
      <c r="I39" s="1397"/>
      <c r="J39" s="1398"/>
      <c r="K39" s="2701"/>
      <c r="L39" s="2697"/>
      <c r="M39" s="2697"/>
    </row>
    <row r="40" spans="1:18" ht="18" customHeight="1">
      <c r="A40" s="299" t="s">
        <v>395</v>
      </c>
      <c r="B40" s="300" t="s">
        <v>774</v>
      </c>
      <c r="C40" s="301">
        <f ca="1">ROUND(C39*(1-((1+F42)/(1+F40))^F41)/(F40-F42),0)</f>
        <v>227</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15.045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438</v>
      </c>
      <c r="D43" s="337" t="s">
        <v>777</v>
      </c>
      <c r="E43" s="338" t="s">
        <v>778</v>
      </c>
      <c r="F43" s="339">
        <f ca="1">INDIRECT("'数据-取费表'!k"&amp;$G$1)</f>
        <v>5178.7700000000004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-368</v>
      </c>
      <c r="D46" s="1405" t="str">
        <f>C2</f>
        <v>万元</v>
      </c>
      <c r="E46" s="1399"/>
      <c r="F46" s="1399"/>
      <c r="I46" s="1406" t="s">
        <v>810</v>
      </c>
      <c r="J46" s="1407"/>
      <c r="K46" s="1408"/>
      <c r="L46" s="1409">
        <f ca="1">IF(M47="住宅",0,IF(L48&gt;J51,L60,J60))</f>
        <v>877</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3442</v>
      </c>
      <c r="K47" s="1415" t="s">
        <v>816</v>
      </c>
      <c r="L47" s="1416">
        <f ca="1">INDIRECT("'数据-取费表'!d"&amp;$G$1)</f>
        <v>20</v>
      </c>
      <c r="M47" s="1379" t="str">
        <f>IF(ISNUMBER(FIND("住宅",C1)),"住宅","非住宅")</f>
        <v>非住宅</v>
      </c>
      <c r="O47" s="1417" t="s">
        <v>403</v>
      </c>
      <c r="P47" s="1418" t="s">
        <v>817</v>
      </c>
      <c r="Q47" s="1419">
        <f ca="1">C40+J29</f>
        <v>227</v>
      </c>
      <c r="R47" s="1419" t="s">
        <v>818</v>
      </c>
    </row>
    <row r="48" spans="1:18" s="1383" customFormat="1" ht="28.5" thickBot="1">
      <c r="A48" s="1109" t="s">
        <v>438</v>
      </c>
      <c r="B48" s="300" t="s">
        <v>692</v>
      </c>
      <c r="C48" s="3464">
        <f ca="1">C49+C53+C55</f>
        <v>0</v>
      </c>
      <c r="D48" s="1111"/>
      <c r="E48" s="1112"/>
      <c r="F48" s="961"/>
      <c r="G48" s="722"/>
      <c r="H48" s="723"/>
      <c r="I48" s="1420" t="s">
        <v>819</v>
      </c>
      <c r="J48" s="1421" t="s">
        <v>3443</v>
      </c>
      <c r="K48" s="1422" t="s">
        <v>820</v>
      </c>
      <c r="L48" s="1423">
        <f ca="1">INDIRECT("'数据-取费表'!f"&amp;$G$1)</f>
        <v>15.07</v>
      </c>
      <c r="O48" s="1417" t="s">
        <v>404</v>
      </c>
      <c r="P48" s="1418" t="s">
        <v>821</v>
      </c>
      <c r="Q48" s="1419">
        <f ca="1">J60</f>
        <v>877</v>
      </c>
      <c r="R48" s="1419" t="s">
        <v>822</v>
      </c>
    </row>
    <row r="49" spans="1:18" s="1383" customFormat="1" ht="13.5" thickBot="1">
      <c r="A49" s="974" t="s">
        <v>439</v>
      </c>
      <c r="B49" s="1370" t="s">
        <v>779</v>
      </c>
      <c r="C49" s="1113">
        <f ca="1">ROUND(F49*F51*F50*(1-F52)/10000,0)</f>
        <v>0</v>
      </c>
      <c r="D49" s="1054" t="s">
        <v>2109</v>
      </c>
      <c r="E49" s="1371" t="s">
        <v>780</v>
      </c>
      <c r="F49" s="1059"/>
      <c r="G49" s="1424"/>
      <c r="H49" s="723"/>
      <c r="I49" s="1420" t="s">
        <v>823</v>
      </c>
      <c r="J49" s="1425">
        <v>2024</v>
      </c>
      <c r="K49" s="1422" t="s">
        <v>824</v>
      </c>
      <c r="L49" s="1426"/>
      <c r="O49" s="1427" t="s">
        <v>405</v>
      </c>
      <c r="P49" s="1418" t="s">
        <v>825</v>
      </c>
      <c r="Q49" s="1419">
        <f ca="1">C29</f>
        <v>3558</v>
      </c>
      <c r="R49" s="1419" t="s">
        <v>818</v>
      </c>
    </row>
    <row r="50" spans="1:18" s="1383" customFormat="1" ht="13.5" thickBot="1">
      <c r="A50" s="975"/>
      <c r="B50" s="978"/>
      <c r="C50" s="1117"/>
      <c r="D50" s="952"/>
      <c r="E50" s="1055" t="s">
        <v>697</v>
      </c>
      <c r="F50" s="1056">
        <f ca="1">F7</f>
        <v>129</v>
      </c>
      <c r="H50" s="723"/>
      <c r="I50" s="1420" t="s">
        <v>826</v>
      </c>
      <c r="J50" s="1428">
        <f>SUMPRODUCT((I63:I65=J47)*(J62:L62=J48)*(J63:L65))</f>
        <v>60</v>
      </c>
      <c r="K50" s="1422" t="s">
        <v>827</v>
      </c>
      <c r="L50" s="1426"/>
      <c r="M50" s="1429"/>
      <c r="O50" s="1427" t="s">
        <v>406</v>
      </c>
      <c r="P50" s="1418" t="s">
        <v>828</v>
      </c>
      <c r="Q50" s="1430">
        <f ca="1">J58</f>
        <v>0.73199999999999998</v>
      </c>
      <c r="R50" s="1419"/>
    </row>
    <row r="51" spans="1:18" s="1383" customFormat="1" ht="13.5" thickBot="1">
      <c r="A51" s="976"/>
      <c r="B51" s="978"/>
      <c r="C51" s="979"/>
      <c r="D51" s="952"/>
      <c r="E51" s="980" t="s">
        <v>698</v>
      </c>
      <c r="F51" s="303">
        <f ca="1">F8</f>
        <v>12</v>
      </c>
      <c r="I51" s="1431" t="s">
        <v>829</v>
      </c>
      <c r="J51" s="1432">
        <f>IF(J49="",J50,J49+J50-YEAR('数据-取费表'!B2))</f>
        <v>59</v>
      </c>
      <c r="K51" s="1433" t="s">
        <v>830</v>
      </c>
      <c r="L51" s="1434">
        <f ca="1">ROUND(-PV(INDIRECT("'数据-取费表'!h"&amp;$G$1),J51,(C39-C13*C76),0),0)</f>
        <v>-4711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15.045</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15.045</v>
      </c>
      <c r="K53" s="3710" t="s">
        <v>837</v>
      </c>
      <c r="L53" s="3711"/>
      <c r="O53" s="1417" t="s">
        <v>409</v>
      </c>
      <c r="P53" s="1418" t="s">
        <v>838</v>
      </c>
      <c r="Q53" s="1419">
        <f ca="1">Q47+Q48</f>
        <v>1104</v>
      </c>
      <c r="R53" s="1419" t="s">
        <v>410</v>
      </c>
    </row>
    <row r="54" spans="1:18" s="1383" customFormat="1" ht="13.5" thickBot="1">
      <c r="A54" s="1152"/>
      <c r="B54" s="1366" t="s">
        <v>679</v>
      </c>
      <c r="C54" s="958"/>
      <c r="D54" s="1365"/>
      <c r="E54" s="3459"/>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59"/>
      <c r="F55" s="1439"/>
      <c r="I55" s="1442" t="s">
        <v>840</v>
      </c>
      <c r="J55" s="1443">
        <f ca="1">ROUND(IF(J47="钢混",J57/J50,1-(1-2%)*(J50-J57)/J50),3)</f>
        <v>0.73199999999999998</v>
      </c>
      <c r="K55" s="1444" t="s">
        <v>841</v>
      </c>
      <c r="L55" s="1445"/>
      <c r="O55" s="1410" t="s">
        <v>811</v>
      </c>
      <c r="P55" s="1411" t="s">
        <v>812</v>
      </c>
      <c r="Q55" s="1412" t="s">
        <v>813</v>
      </c>
      <c r="R55" s="1412" t="s">
        <v>814</v>
      </c>
    </row>
    <row r="56" spans="1:18" s="1383" customFormat="1" ht="25.5" thickTop="1" thickBot="1">
      <c r="A56" s="956">
        <v>2</v>
      </c>
      <c r="B56" s="957" t="s">
        <v>704</v>
      </c>
      <c r="C56" s="232">
        <f ca="1">C13</f>
        <v>3558</v>
      </c>
      <c r="D56" s="1446"/>
      <c r="E56" s="1447"/>
      <c r="F56" s="1439"/>
      <c r="I56" s="1448" t="s">
        <v>842</v>
      </c>
      <c r="J56" s="1449" t="s">
        <v>3444</v>
      </c>
      <c r="K56" s="1420" t="s">
        <v>843</v>
      </c>
      <c r="L56" s="1423" t="str">
        <f ca="1">IF(L48&lt;J51,"——",L48-J53)</f>
        <v>——</v>
      </c>
      <c r="O56" s="1417" t="s">
        <v>403</v>
      </c>
      <c r="P56" s="1418" t="s">
        <v>817</v>
      </c>
      <c r="Q56" s="1419">
        <f ca="1">C40+J29</f>
        <v>227</v>
      </c>
      <c r="R56" s="1419" t="s">
        <v>818</v>
      </c>
    </row>
    <row r="57" spans="1:18" s="1383" customFormat="1" ht="24.75" thickBot="1">
      <c r="A57" s="1450"/>
      <c r="B57" s="949" t="s">
        <v>767</v>
      </c>
      <c r="C57" s="238">
        <f ca="1">C29</f>
        <v>3558</v>
      </c>
      <c r="D57" s="1451"/>
      <c r="E57" s="1452"/>
      <c r="F57" s="1453"/>
      <c r="I57" s="1454" t="s">
        <v>844</v>
      </c>
      <c r="J57" s="1455">
        <f ca="1">IF(OR(M47="住宅",J51&lt;L48,J56="是"),"——",J51-L48)</f>
        <v>43.93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14</v>
      </c>
      <c r="D58" s="959" t="s">
        <v>715</v>
      </c>
      <c r="E58" s="960"/>
      <c r="F58" s="961"/>
      <c r="I58" s="1454" t="s">
        <v>848</v>
      </c>
      <c r="J58" s="1456">
        <f ca="1">IF(J55&lt;0.4,0.4,J55)</f>
        <v>0.73199999999999998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2604</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877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1" t="s">
        <v>784</v>
      </c>
      <c r="B62" s="948" t="s">
        <v>785</v>
      </c>
      <c r="C62" s="22">
        <f ca="1">IF(项目基本情况!B11="自然人","——",ROUND(F62*F63/10000,2))</f>
        <v>0.31</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227</v>
      </c>
      <c r="R62" s="1419" t="s">
        <v>410</v>
      </c>
    </row>
    <row r="63" spans="1:18" s="1383" customFormat="1" ht="13.5" thickBot="1">
      <c r="A63" s="326"/>
      <c r="B63" s="955"/>
      <c r="C63" s="26"/>
      <c r="D63" s="965"/>
      <c r="E63" s="949" t="s">
        <v>788</v>
      </c>
      <c r="F63" s="303">
        <f t="shared" ca="1" si="0"/>
        <v>2081.5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10.67</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3.56</v>
      </c>
      <c r="D65" s="963" t="s">
        <v>743</v>
      </c>
      <c r="E65" s="949" t="s">
        <v>744</v>
      </c>
      <c r="F65" s="330">
        <f t="shared" ca="1" si="0"/>
        <v>1E-3</v>
      </c>
      <c r="I65" s="1461" t="s">
        <v>867</v>
      </c>
      <c r="J65" s="1462">
        <v>40</v>
      </c>
      <c r="K65" s="1462">
        <v>30</v>
      </c>
      <c r="L65" s="1462">
        <v>50</v>
      </c>
      <c r="M65" s="1464">
        <v>0.02</v>
      </c>
      <c r="O65" s="1417" t="s">
        <v>403</v>
      </c>
      <c r="P65" s="1418" t="s">
        <v>868</v>
      </c>
      <c r="Q65" s="1419">
        <f ca="1">C40+J29</f>
        <v>227</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-14</v>
      </c>
      <c r="D67" s="962" t="s">
        <v>753</v>
      </c>
      <c r="E67" s="967"/>
      <c r="F67" s="968"/>
      <c r="O67" s="1427" t="s">
        <v>405</v>
      </c>
      <c r="P67" s="1418" t="s">
        <v>850</v>
      </c>
      <c r="Q67" s="1465">
        <f ca="1">L51</f>
        <v>-4711</v>
      </c>
      <c r="R67" s="1419" t="s">
        <v>870</v>
      </c>
    </row>
    <row r="68" spans="1:18" s="1383" customFormat="1" ht="16.5" thickBot="1">
      <c r="A68" s="946" t="s">
        <v>395</v>
      </c>
      <c r="B68" s="947" t="s">
        <v>774</v>
      </c>
      <c r="C68" s="301">
        <f ca="1">ROUND(C67*(1-((1+F70)/(1+F68))^F69)/(F68-F70),0)</f>
        <v>-141</v>
      </c>
      <c r="D68" s="964" t="s">
        <v>758</v>
      </c>
      <c r="E68" s="949" t="s">
        <v>759</v>
      </c>
      <c r="F68" s="312">
        <f ca="1">F40</f>
        <v>5.5E-2</v>
      </c>
      <c r="O68" s="1427" t="s">
        <v>406</v>
      </c>
      <c r="P68" s="1466" t="s">
        <v>871</v>
      </c>
      <c r="Q68" s="1419">
        <f ca="1">ROUND(Q69-Q70*Q71,0)</f>
        <v>-229</v>
      </c>
      <c r="R68" s="1419" t="s">
        <v>414</v>
      </c>
    </row>
    <row r="69" spans="1:18" s="1383" customFormat="1" ht="13.5" thickBot="1">
      <c r="A69" s="950"/>
      <c r="B69" s="951"/>
      <c r="C69" s="306"/>
      <c r="D69" s="969" t="s">
        <v>762</v>
      </c>
      <c r="E69" s="949" t="s">
        <v>763</v>
      </c>
      <c r="F69" s="333">
        <f ca="1">F41</f>
        <v>15.045</v>
      </c>
      <c r="O69" s="1427" t="s">
        <v>411</v>
      </c>
      <c r="P69" s="1466" t="s">
        <v>872</v>
      </c>
      <c r="Q69" s="1419">
        <f ca="1">C39</f>
        <v>20</v>
      </c>
      <c r="R69" s="1419" t="s">
        <v>818</v>
      </c>
    </row>
    <row r="70" spans="1:18" s="1383" customFormat="1" ht="13.5" thickBot="1">
      <c r="A70" s="953"/>
      <c r="B70" s="954"/>
      <c r="C70" s="310"/>
      <c r="D70" s="965"/>
      <c r="E70" s="949" t="s">
        <v>766</v>
      </c>
      <c r="F70" s="1053"/>
      <c r="O70" s="1427" t="s">
        <v>412</v>
      </c>
      <c r="P70" s="1466" t="s">
        <v>873</v>
      </c>
      <c r="Q70" s="1419">
        <f ca="1">C13</f>
        <v>3558</v>
      </c>
      <c r="R70" s="1419" t="s">
        <v>818</v>
      </c>
    </row>
    <row r="71" spans="1:18" s="1383" customFormat="1" ht="13.5" thickBot="1">
      <c r="A71" s="970" t="s">
        <v>396</v>
      </c>
      <c r="B71" s="971" t="s">
        <v>776</v>
      </c>
      <c r="C71" s="336">
        <f ca="1">ROUND(C68*10000/F71,0)</f>
        <v>-272</v>
      </c>
      <c r="D71" s="972" t="s">
        <v>777</v>
      </c>
      <c r="E71" s="973" t="s">
        <v>778</v>
      </c>
      <c r="F71" s="339">
        <f ca="1">F43</f>
        <v>5178.7700000000004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249</v>
      </c>
      <c r="D75" s="1383"/>
      <c r="E75" s="1383"/>
      <c r="F75" s="1383"/>
      <c r="K75" s="1401"/>
      <c r="L75" s="1383"/>
      <c r="O75" s="1417" t="s">
        <v>409</v>
      </c>
      <c r="P75" s="1418" t="s">
        <v>838</v>
      </c>
      <c r="Q75" s="1419">
        <f ca="1">Q65+Q66</f>
        <v>227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-11.45</v>
      </c>
    </row>
    <row r="80" spans="1:18">
      <c r="B80" s="340" t="s">
        <v>800</v>
      </c>
      <c r="C80" s="274">
        <f ca="1">ROUND(C75/C39,3)</f>
        <v>12.45</v>
      </c>
    </row>
    <row r="81" spans="2:3">
      <c r="B81" s="270" t="s">
        <v>801</v>
      </c>
      <c r="C81" s="238"/>
    </row>
    <row r="82" spans="2:3">
      <c r="B82" s="273" t="s">
        <v>802</v>
      </c>
      <c r="C82" s="275">
        <f ca="1">1-C83</f>
        <v>-14.673999999999999</v>
      </c>
    </row>
    <row r="83" spans="2:3">
      <c r="B83" s="273" t="s">
        <v>803</v>
      </c>
      <c r="C83" s="274">
        <f ca="1">ROUND(C13/C40,3)</f>
        <v>15.673999999999999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5" sqref="B5:C5"/>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4" t="s">
        <v>1657</v>
      </c>
      <c r="B1" s="1865"/>
      <c r="C1" s="1865"/>
      <c r="D1" s="1865"/>
      <c r="E1" s="1866"/>
      <c r="F1" s="2704"/>
      <c r="G1" s="1488"/>
      <c r="H1" s="1488"/>
      <c r="I1" s="1488"/>
      <c r="J1" s="1488"/>
      <c r="K1" s="1488"/>
      <c r="L1" s="1488"/>
      <c r="M1" s="1488"/>
      <c r="N1" s="1488"/>
      <c r="O1" s="1488"/>
      <c r="P1" s="1488"/>
      <c r="Q1" s="1488"/>
      <c r="R1" s="1488"/>
      <c r="S1" s="1488"/>
    </row>
    <row r="2" spans="1:22" ht="15.75">
      <c r="A2" s="1867" t="s">
        <v>1461</v>
      </c>
      <c r="B2" s="1868">
        <f ca="1">SUMIF(B6:B13,"&lt;&gt;#ref!",B6:B13)</f>
        <v>31127</v>
      </c>
      <c r="C2" s="1869" t="s">
        <v>1650</v>
      </c>
      <c r="D2" s="1870" t="s">
        <v>1651</v>
      </c>
      <c r="E2" s="2604">
        <f>SUM(E6:E13)</f>
        <v>48207.299999999996</v>
      </c>
      <c r="F2" s="2704"/>
      <c r="G2" s="1488"/>
      <c r="H2" s="1488"/>
      <c r="I2" s="1488"/>
      <c r="J2" s="1488"/>
      <c r="K2" s="1488"/>
      <c r="L2" s="1488"/>
      <c r="M2" s="1488"/>
      <c r="N2" s="1488"/>
      <c r="O2" s="1488"/>
      <c r="P2" s="1488"/>
      <c r="Q2" s="1488"/>
      <c r="R2" s="1488"/>
      <c r="S2" s="1488"/>
    </row>
    <row r="3" spans="1:22" ht="15.75">
      <c r="A3" s="1867" t="s">
        <v>686</v>
      </c>
      <c r="B3" s="2598">
        <f ca="1">ROUND(B2*10000/E2,0)</f>
        <v>6457</v>
      </c>
      <c r="C3" s="1869" t="s">
        <v>1658</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0" t="s">
        <v>1652</v>
      </c>
      <c r="B5" s="3734" t="s">
        <v>1653</v>
      </c>
      <c r="C5" s="3735"/>
      <c r="D5" s="2705"/>
      <c r="E5" s="1871" t="s">
        <v>1654</v>
      </c>
      <c r="F5" s="1872" t="s">
        <v>1655</v>
      </c>
      <c r="G5" s="1488"/>
      <c r="H5" s="1488"/>
      <c r="I5" s="1488"/>
      <c r="J5" s="1488"/>
      <c r="K5" s="1488"/>
      <c r="L5" s="1488"/>
      <c r="M5" s="1488"/>
      <c r="N5" s="1488"/>
      <c r="O5" s="1488"/>
      <c r="P5" s="1488"/>
      <c r="Q5" s="1488"/>
      <c r="R5" s="1488"/>
      <c r="S5" s="1488"/>
    </row>
    <row r="6" spans="1:22">
      <c r="A6" s="2601" t="str">
        <f>'数据-取费表'!AN6</f>
        <v>收益法</v>
      </c>
      <c r="B6" s="2599">
        <f ca="1">IF(F6="是",'数据-取费表'!AO6,0)</f>
        <v>29625</v>
      </c>
      <c r="C6" s="1869" t="s">
        <v>1650</v>
      </c>
      <c r="D6" s="2706"/>
      <c r="E6" s="2603">
        <f>IF(OR(A6=0,F6="否"),0,'数据-取费表'!K6+'数据-取费表'!S6)</f>
        <v>41553.93</v>
      </c>
      <c r="F6" s="1873" t="s">
        <v>1656</v>
      </c>
      <c r="G6" s="1488"/>
      <c r="H6" s="1488"/>
      <c r="I6" s="1488"/>
      <c r="J6" s="1488"/>
      <c r="K6" s="1488"/>
      <c r="L6" s="1488"/>
      <c r="M6" s="1488"/>
      <c r="N6" s="1488"/>
      <c r="O6" s="1488"/>
      <c r="P6" s="1488"/>
      <c r="Q6" s="1488"/>
      <c r="R6" s="1488"/>
      <c r="S6" s="1488"/>
    </row>
    <row r="7" spans="1:22">
      <c r="A7" s="2601" t="str">
        <f>'数据-取费表'!AN7</f>
        <v>收益法(仓储)</v>
      </c>
      <c r="B7" s="2599">
        <f ca="1">IF(F7="是",'数据-取费表'!AO7,0)</f>
        <v>398</v>
      </c>
      <c r="C7" s="1869" t="s">
        <v>1650</v>
      </c>
      <c r="D7" s="2706"/>
      <c r="E7" s="2603">
        <f>IF(OR(A7=0,F7="否"),0,'数据-取费表'!K7+'数据-取费表'!S7)</f>
        <v>1085.8399999999999</v>
      </c>
      <c r="F7" s="1873" t="s">
        <v>1656</v>
      </c>
      <c r="G7" s="1488"/>
      <c r="H7" s="1488"/>
      <c r="I7" s="1488"/>
      <c r="J7" s="1488"/>
      <c r="K7" s="1488"/>
      <c r="L7" s="1488"/>
      <c r="M7" s="1488"/>
      <c r="N7" s="1488"/>
      <c r="O7" s="1488"/>
      <c r="P7" s="1488"/>
      <c r="Q7" s="1488"/>
      <c r="R7" s="1488"/>
      <c r="S7" s="1488"/>
    </row>
    <row r="8" spans="1:22">
      <c r="A8" s="2601" t="str">
        <f>'数据-取费表'!AN8</f>
        <v>收益法(车库)</v>
      </c>
      <c r="B8" s="2599">
        <f ca="1">IF(F8="是",'数据-取费表'!AO8,0)</f>
        <v>1104</v>
      </c>
      <c r="C8" s="1869" t="s">
        <v>1650</v>
      </c>
      <c r="D8" s="2706"/>
      <c r="E8" s="2603">
        <f>IF(OR(A8=0,F8="否"),0,'数据-取费表'!K8+'数据-取费表'!S8)</f>
        <v>5567.5300000000007</v>
      </c>
      <c r="F8" s="1873" t="s">
        <v>1656</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69" t="s">
        <v>1650</v>
      </c>
      <c r="D9" s="2706"/>
      <c r="E9" s="2603">
        <f>IF(OR(A9=0,F9="否"),0,'数据-取费表'!K9+'数据-取费表'!S9)</f>
        <v>0</v>
      </c>
      <c r="F9" s="1873" t="s">
        <v>1656</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69" t="s">
        <v>1650</v>
      </c>
      <c r="D10" s="2706"/>
      <c r="E10" s="2603">
        <f>IF(OR(A10=0,F10="否"),0,'数据-取费表'!K10+'数据-取费表'!S10)</f>
        <v>0</v>
      </c>
      <c r="F10" s="1873" t="s">
        <v>1656</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69" t="s">
        <v>1650</v>
      </c>
      <c r="D11" s="2706"/>
      <c r="E11" s="2603">
        <f>IF(OR(A11=0,F11="否"),0,'数据-取费表'!K11+'数据-取费表'!S11)</f>
        <v>0</v>
      </c>
      <c r="F11" s="1873" t="s">
        <v>1656</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69" t="s">
        <v>1650</v>
      </c>
      <c r="D12" s="2706"/>
      <c r="E12" s="2603">
        <f>IF(OR(A12=0,F12="否"),0,'数据-取费表'!K12+'数据-取费表'!S12)</f>
        <v>0</v>
      </c>
      <c r="F12" s="1873" t="s">
        <v>1656</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5" t="s">
        <v>1660</v>
      </c>
      <c r="C1" s="1237" t="s">
        <v>1661</v>
      </c>
      <c r="D1" s="1224"/>
      <c r="E1" s="3423"/>
      <c r="F1" s="1876"/>
      <c r="G1" s="1234" t="s">
        <v>1662</v>
      </c>
      <c r="H1" s="1233"/>
      <c r="I1" s="1233"/>
      <c r="J1" s="1233"/>
      <c r="K1" s="1235"/>
      <c r="L1" s="1236"/>
      <c r="M1" s="1237"/>
      <c r="N1" s="1237"/>
      <c r="O1" s="1237"/>
      <c r="P1" s="1877"/>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1663</v>
      </c>
      <c r="F2" s="1880"/>
      <c r="G2" s="906"/>
      <c r="H2" s="906"/>
      <c r="I2" s="906"/>
      <c r="J2" s="906"/>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48207.299999999996</v>
      </c>
      <c r="E3" s="906"/>
      <c r="F3" s="1885"/>
      <c r="G3" s="906"/>
      <c r="H3" s="906"/>
      <c r="I3" s="906"/>
      <c r="J3" s="906"/>
      <c r="K3" s="1881"/>
      <c r="L3" s="2710"/>
      <c r="M3" s="2711"/>
      <c r="N3" s="2711"/>
      <c r="O3" s="2711"/>
      <c r="P3" s="1882"/>
      <c r="Q3" s="1883"/>
      <c r="R3" s="1883"/>
      <c r="S3" s="1883"/>
      <c r="T3" s="1883"/>
      <c r="U3" s="1883"/>
      <c r="V3" s="1883"/>
      <c r="W3" s="1883"/>
      <c r="X3" s="1883"/>
      <c r="Y3" s="1883"/>
      <c r="Z3" s="1883"/>
      <c r="AA3" s="1883"/>
      <c r="AB3" s="1883"/>
      <c r="AC3" s="1060"/>
    </row>
    <row r="4" spans="1:29" ht="15">
      <c r="A4" s="355" t="s">
        <v>1665</v>
      </c>
      <c r="B4" s="356"/>
      <c r="C4" s="3754" t="s">
        <v>1666</v>
      </c>
      <c r="D4" s="3755"/>
      <c r="E4" s="3756" t="s">
        <v>1667</v>
      </c>
      <c r="F4" s="3757"/>
      <c r="G4" s="3754" t="s">
        <v>1668</v>
      </c>
      <c r="H4" s="3755"/>
      <c r="I4" s="3754" t="s">
        <v>1669</v>
      </c>
      <c r="J4" s="3755"/>
      <c r="K4" s="1886" t="s">
        <v>1670</v>
      </c>
      <c r="L4" s="2712"/>
      <c r="M4" s="2713"/>
      <c r="N4" s="2713"/>
      <c r="O4" s="2713"/>
      <c r="P4" s="3758" t="s">
        <v>1671</v>
      </c>
      <c r="Q4" s="3759"/>
      <c r="R4" s="3741" t="s">
        <v>1667</v>
      </c>
      <c r="S4" s="3742"/>
      <c r="T4" s="3741" t="s">
        <v>1668</v>
      </c>
      <c r="U4" s="3742"/>
      <c r="V4" s="3766" t="s">
        <v>1669</v>
      </c>
      <c r="W4" s="3766"/>
      <c r="X4" s="1354"/>
      <c r="Y4" s="3741" t="s">
        <v>1671</v>
      </c>
      <c r="Z4" s="3742"/>
      <c r="AA4" s="3736" t="s">
        <v>1667</v>
      </c>
      <c r="AB4" s="3736" t="s">
        <v>1668</v>
      </c>
      <c r="AC4" s="3736" t="s">
        <v>1669</v>
      </c>
    </row>
    <row r="5" spans="1:29" ht="15">
      <c r="A5" s="358"/>
      <c r="B5" s="359"/>
      <c r="C5" s="3747" t="s">
        <v>1672</v>
      </c>
      <c r="D5" s="3748"/>
      <c r="E5" s="3745" t="s">
        <v>1673</v>
      </c>
      <c r="F5" s="3746"/>
      <c r="G5" s="3747" t="s">
        <v>1674</v>
      </c>
      <c r="H5" s="3748"/>
      <c r="I5" s="3747" t="s">
        <v>1675</v>
      </c>
      <c r="J5" s="3748"/>
      <c r="K5" s="1887"/>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1887"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739" t="s">
        <v>1679</v>
      </c>
      <c r="Q7" s="3767"/>
      <c r="R7" s="701" t="s">
        <v>20</v>
      </c>
      <c r="S7" s="702">
        <f t="shared" ref="S7:S15" si="0">F7</f>
        <v>0</v>
      </c>
      <c r="T7" s="701" t="s">
        <v>20</v>
      </c>
      <c r="U7" s="702">
        <f t="shared" ref="U7:U15" si="1">H7</f>
        <v>0</v>
      </c>
      <c r="V7" s="701" t="s">
        <v>20</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739" t="s">
        <v>1682</v>
      </c>
      <c r="Q8" s="3740"/>
      <c r="R8" s="701" t="s">
        <v>20</v>
      </c>
      <c r="S8" s="702">
        <f t="shared" si="0"/>
        <v>100</v>
      </c>
      <c r="T8" s="701" t="s">
        <v>20</v>
      </c>
      <c r="U8" s="702">
        <f t="shared" si="1"/>
        <v>100</v>
      </c>
      <c r="V8" s="701" t="s">
        <v>20</v>
      </c>
      <c r="W8" s="702">
        <f t="shared" si="2"/>
        <v>100</v>
      </c>
      <c r="X8" s="703"/>
      <c r="Y8" s="3739" t="s">
        <v>1682</v>
      </c>
      <c r="Z8" s="374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53"/>
      <c r="Q11" s="1342" t="str">
        <f t="shared" si="6"/>
        <v>容积率</v>
      </c>
      <c r="R11" s="701" t="s">
        <v>18</v>
      </c>
      <c r="S11" s="702" t="e">
        <f t="shared" si="0"/>
        <v>#N/A</v>
      </c>
      <c r="T11" s="701" t="s">
        <v>18</v>
      </c>
      <c r="U11" s="702" t="e">
        <f t="shared" si="1"/>
        <v>#N/A</v>
      </c>
      <c r="V11" s="701" t="s">
        <v>18</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53"/>
      <c r="Q12" s="1342">
        <f t="shared" si="6"/>
        <v>111</v>
      </c>
      <c r="R12" s="701" t="s">
        <v>18</v>
      </c>
      <c r="S12" s="702">
        <f t="shared" si="0"/>
        <v>100</v>
      </c>
      <c r="T12" s="701" t="s">
        <v>18</v>
      </c>
      <c r="U12" s="702">
        <f t="shared" si="1"/>
        <v>100</v>
      </c>
      <c r="V12" s="701" t="s">
        <v>18</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53"/>
      <c r="Q13" s="1342">
        <f t="shared" si="6"/>
        <v>111</v>
      </c>
      <c r="R13" s="701" t="s">
        <v>18</v>
      </c>
      <c r="S13" s="702">
        <f t="shared" si="0"/>
        <v>100</v>
      </c>
      <c r="T13" s="701" t="s">
        <v>18</v>
      </c>
      <c r="U13" s="702">
        <f t="shared" si="1"/>
        <v>100</v>
      </c>
      <c r="V13" s="701" t="s">
        <v>18</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53"/>
      <c r="Q14" s="1342">
        <f t="shared" si="6"/>
        <v>111</v>
      </c>
      <c r="R14" s="701" t="s">
        <v>18</v>
      </c>
      <c r="S14" s="702">
        <f t="shared" si="0"/>
        <v>100</v>
      </c>
      <c r="T14" s="701" t="s">
        <v>18</v>
      </c>
      <c r="U14" s="702">
        <f t="shared" si="1"/>
        <v>100</v>
      </c>
      <c r="V14" s="701" t="s">
        <v>18</v>
      </c>
      <c r="W14" s="702">
        <f t="shared" si="2"/>
        <v>100</v>
      </c>
      <c r="X14" s="703"/>
      <c r="Y14" s="3664"/>
      <c r="Z14" s="52">
        <f t="shared" si="7"/>
        <v>111</v>
      </c>
      <c r="AA14" s="704">
        <f t="shared" si="3"/>
        <v>1</v>
      </c>
      <c r="AB14" s="704">
        <f t="shared" si="4"/>
        <v>1</v>
      </c>
      <c r="AC14" s="704">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0" t="s">
        <v>1690</v>
      </c>
      <c r="Q15" s="1351" t="str">
        <f t="shared" si="6"/>
        <v>居住社区成熟度</v>
      </c>
      <c r="R15" s="705" t="s">
        <v>18</v>
      </c>
      <c r="S15" s="706">
        <f t="shared" si="0"/>
        <v>100</v>
      </c>
      <c r="T15" s="705" t="s">
        <v>18</v>
      </c>
      <c r="U15" s="706">
        <f t="shared" si="1"/>
        <v>100</v>
      </c>
      <c r="V15" s="705" t="s">
        <v>18</v>
      </c>
      <c r="W15" s="706">
        <f t="shared" si="2"/>
        <v>100</v>
      </c>
      <c r="X15" s="1354"/>
      <c r="Y15" s="3773" t="s">
        <v>1690</v>
      </c>
      <c r="Z15" s="1355" t="str">
        <f t="shared" si="7"/>
        <v>居住社区成熟度</v>
      </c>
      <c r="AA15" s="1352">
        <f t="shared" si="3"/>
        <v>1</v>
      </c>
      <c r="AB15" s="1352">
        <f t="shared" si="4"/>
        <v>1</v>
      </c>
      <c r="AC15" s="1352">
        <f t="shared" si="5"/>
        <v>1</v>
      </c>
    </row>
    <row r="16" spans="1:29" ht="15">
      <c r="A16" s="379"/>
      <c r="B16" s="397"/>
      <c r="C16" s="398"/>
      <c r="D16" s="399"/>
      <c r="E16" s="1894"/>
      <c r="F16" s="399"/>
      <c r="G16" s="1895"/>
      <c r="H16" s="401"/>
      <c r="I16" s="1895"/>
      <c r="J16" s="399"/>
      <c r="K16" s="1896"/>
      <c r="L16" s="2719"/>
      <c r="M16" s="2713"/>
      <c r="N16" s="2713"/>
      <c r="O16" s="2713"/>
      <c r="P16" s="3781"/>
      <c r="Q16" s="1351"/>
      <c r="R16" s="705"/>
      <c r="S16" s="706"/>
      <c r="T16" s="705"/>
      <c r="U16" s="706"/>
      <c r="V16" s="705"/>
      <c r="W16" s="706"/>
      <c r="X16" s="1354"/>
      <c r="Y16" s="3774"/>
      <c r="Z16" s="1355"/>
      <c r="AA16" s="1352">
        <v>1</v>
      </c>
      <c r="AB16" s="1352">
        <v>1</v>
      </c>
      <c r="AC16" s="1352">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1"/>
      <c r="Q17" s="1351" t="str">
        <f>B17</f>
        <v>交通便捷度</v>
      </c>
      <c r="R17" s="705" t="s">
        <v>18</v>
      </c>
      <c r="S17" s="706">
        <f>F17</f>
        <v>100</v>
      </c>
      <c r="T17" s="705" t="s">
        <v>18</v>
      </c>
      <c r="U17" s="706">
        <f>H17</f>
        <v>100</v>
      </c>
      <c r="V17" s="705" t="s">
        <v>18</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899"/>
      <c r="F18" s="401"/>
      <c r="G18" s="1900"/>
      <c r="H18" s="399"/>
      <c r="I18" s="1900"/>
      <c r="J18" s="399"/>
      <c r="K18" s="1896"/>
      <c r="L18" s="2719"/>
      <c r="M18" s="2713"/>
      <c r="N18" s="2713"/>
      <c r="O18" s="2713"/>
      <c r="P18" s="3781"/>
      <c r="Q18" s="1351"/>
      <c r="R18" s="705"/>
      <c r="S18" s="706"/>
      <c r="T18" s="705"/>
      <c r="U18" s="706"/>
      <c r="V18" s="705"/>
      <c r="W18" s="706"/>
      <c r="X18" s="1354"/>
      <c r="Y18" s="3774"/>
      <c r="Z18" s="1355"/>
      <c r="AA18" s="1352">
        <v>1</v>
      </c>
      <c r="AB18" s="1352">
        <v>1</v>
      </c>
      <c r="AC18" s="1352">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1"/>
      <c r="Q19" s="1351" t="str">
        <f>B19</f>
        <v>公共配套设施</v>
      </c>
      <c r="R19" s="705" t="s">
        <v>18</v>
      </c>
      <c r="S19" s="706">
        <f>F19</f>
        <v>100</v>
      </c>
      <c r="T19" s="705" t="s">
        <v>18</v>
      </c>
      <c r="U19" s="706">
        <f>H19</f>
        <v>100</v>
      </c>
      <c r="V19" s="705" t="s">
        <v>18</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4"/>
      <c r="F20" s="399"/>
      <c r="G20" s="1895"/>
      <c r="H20" s="399"/>
      <c r="I20" s="1895"/>
      <c r="J20" s="399"/>
      <c r="K20" s="1896"/>
      <c r="L20" s="2719"/>
      <c r="M20" s="2713"/>
      <c r="N20" s="2713"/>
      <c r="O20" s="2713"/>
      <c r="P20" s="3781"/>
      <c r="Q20" s="1351"/>
      <c r="R20" s="705"/>
      <c r="S20" s="706"/>
      <c r="T20" s="705"/>
      <c r="U20" s="706"/>
      <c r="V20" s="705"/>
      <c r="W20" s="706"/>
      <c r="X20" s="1354"/>
      <c r="Y20" s="3774"/>
      <c r="Z20" s="1355"/>
      <c r="AA20" s="1352">
        <v>1</v>
      </c>
      <c r="AB20" s="1352">
        <v>1</v>
      </c>
      <c r="AC20" s="1352">
        <v>1</v>
      </c>
    </row>
    <row r="21" spans="1:29" ht="28.5">
      <c r="A21" s="379"/>
      <c r="B21" s="1130"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399"/>
      <c r="G22" s="1901"/>
      <c r="H22" s="399"/>
      <c r="I22" s="398"/>
      <c r="J22" s="399"/>
      <c r="K22" s="1902"/>
      <c r="L22" s="2719"/>
      <c r="M22" s="2713"/>
      <c r="N22" s="2713"/>
      <c r="O22" s="2713"/>
      <c r="P22" s="3781"/>
      <c r="Q22" s="1351"/>
      <c r="R22" s="705"/>
      <c r="S22" s="706"/>
      <c r="T22" s="705"/>
      <c r="U22" s="706"/>
      <c r="V22" s="705"/>
      <c r="W22" s="706"/>
      <c r="X22" s="1354"/>
      <c r="Y22" s="3774"/>
      <c r="Z22" s="1355"/>
      <c r="AA22" s="1352">
        <v>1</v>
      </c>
      <c r="AB22" s="1352">
        <v>1</v>
      </c>
      <c r="AC22" s="1352">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1"/>
      <c r="Q23" s="1351" t="str">
        <f>B23</f>
        <v>自然及人文环境</v>
      </c>
      <c r="R23" s="705" t="s">
        <v>18</v>
      </c>
      <c r="S23" s="706">
        <f>F23</f>
        <v>100</v>
      </c>
      <c r="T23" s="705" t="s">
        <v>18</v>
      </c>
      <c r="U23" s="706">
        <f>H23</f>
        <v>100</v>
      </c>
      <c r="V23" s="705" t="s">
        <v>18</v>
      </c>
      <c r="W23" s="706">
        <f>J23</f>
        <v>100</v>
      </c>
      <c r="X23" s="1354"/>
      <c r="Y23" s="3774"/>
      <c r="Z23" s="1355" t="str">
        <f>Q23</f>
        <v>自然及人文环境</v>
      </c>
      <c r="AA23" s="1352">
        <f>D23/F23</f>
        <v>1</v>
      </c>
      <c r="AB23" s="1352">
        <f>D23/H23</f>
        <v>1</v>
      </c>
      <c r="AC23" s="1352">
        <f>D23/J23</f>
        <v>1</v>
      </c>
    </row>
    <row r="24" spans="1:29" ht="15">
      <c r="A24" s="379"/>
      <c r="B24" s="407"/>
      <c r="C24" s="398"/>
      <c r="D24" s="399"/>
      <c r="E24" s="1894"/>
      <c r="F24" s="399"/>
      <c r="G24" s="1895"/>
      <c r="H24" s="399"/>
      <c r="I24" s="1895"/>
      <c r="J24" s="399"/>
      <c r="K24" s="1896"/>
      <c r="L24" s="2719"/>
      <c r="M24" s="2713"/>
      <c r="N24" s="2713"/>
      <c r="O24" s="2713"/>
      <c r="P24" s="3781"/>
      <c r="Q24" s="1351"/>
      <c r="R24" s="705"/>
      <c r="S24" s="706"/>
      <c r="T24" s="705"/>
      <c r="U24" s="706"/>
      <c r="V24" s="705"/>
      <c r="W24" s="706"/>
      <c r="X24" s="1354"/>
      <c r="Y24" s="3774"/>
      <c r="Z24" s="1355"/>
      <c r="AA24" s="1352">
        <v>1</v>
      </c>
      <c r="AB24" s="1352">
        <v>1</v>
      </c>
      <c r="AC24" s="1352">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8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74"/>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81"/>
      <c r="Q26" s="1351" t="str">
        <f t="shared" si="11"/>
        <v>朝向</v>
      </c>
      <c r="R26" s="705" t="s">
        <v>18</v>
      </c>
      <c r="S26" s="706">
        <f t="shared" si="12"/>
        <v>100</v>
      </c>
      <c r="T26" s="705" t="s">
        <v>18</v>
      </c>
      <c r="U26" s="706">
        <f t="shared" si="13"/>
        <v>100</v>
      </c>
      <c r="V26" s="705" t="s">
        <v>18</v>
      </c>
      <c r="W26" s="706">
        <f t="shared" si="14"/>
        <v>100</v>
      </c>
      <c r="X26" s="1354"/>
      <c r="Y26" s="377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81"/>
      <c r="Q27" s="1342">
        <f t="shared" si="11"/>
        <v>111</v>
      </c>
      <c r="R27" s="701" t="s">
        <v>18</v>
      </c>
      <c r="S27" s="702">
        <f t="shared" si="12"/>
        <v>100</v>
      </c>
      <c r="T27" s="701" t="s">
        <v>18</v>
      </c>
      <c r="U27" s="702">
        <f t="shared" si="13"/>
        <v>100</v>
      </c>
      <c r="V27" s="701" t="s">
        <v>18</v>
      </c>
      <c r="W27" s="702">
        <f t="shared" si="14"/>
        <v>100</v>
      </c>
      <c r="X27" s="703"/>
      <c r="Y27" s="377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81"/>
      <c r="Q28" s="1351">
        <f t="shared" si="11"/>
        <v>111</v>
      </c>
      <c r="R28" s="705" t="s">
        <v>18</v>
      </c>
      <c r="S28" s="706">
        <f t="shared" si="12"/>
        <v>100</v>
      </c>
      <c r="T28" s="705" t="s">
        <v>18</v>
      </c>
      <c r="U28" s="706">
        <f t="shared" si="13"/>
        <v>100</v>
      </c>
      <c r="V28" s="705" t="s">
        <v>18</v>
      </c>
      <c r="W28" s="706">
        <f t="shared" si="14"/>
        <v>100</v>
      </c>
      <c r="X28" s="1354"/>
      <c r="Y28" s="377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81"/>
      <c r="Q29" s="1351">
        <f t="shared" si="11"/>
        <v>111</v>
      </c>
      <c r="R29" s="705" t="s">
        <v>18</v>
      </c>
      <c r="S29" s="706">
        <f t="shared" si="12"/>
        <v>100</v>
      </c>
      <c r="T29" s="705" t="s">
        <v>18</v>
      </c>
      <c r="U29" s="706">
        <f t="shared" si="13"/>
        <v>100</v>
      </c>
      <c r="V29" s="705" t="s">
        <v>18</v>
      </c>
      <c r="W29" s="706">
        <f t="shared" si="14"/>
        <v>100</v>
      </c>
      <c r="X29" s="1354"/>
      <c r="Y29" s="377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81"/>
      <c r="Q30" s="1351">
        <f t="shared" si="11"/>
        <v>111</v>
      </c>
      <c r="R30" s="705" t="s">
        <v>18</v>
      </c>
      <c r="S30" s="706">
        <f t="shared" si="12"/>
        <v>100</v>
      </c>
      <c r="T30" s="705" t="s">
        <v>18</v>
      </c>
      <c r="U30" s="706">
        <f t="shared" si="13"/>
        <v>100</v>
      </c>
      <c r="V30" s="705" t="s">
        <v>18</v>
      </c>
      <c r="W30" s="706">
        <f t="shared" si="14"/>
        <v>100</v>
      </c>
      <c r="X30" s="1354"/>
      <c r="Y30" s="377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81"/>
      <c r="Q31" s="1351">
        <f t="shared" si="11"/>
        <v>111</v>
      </c>
      <c r="R31" s="705" t="s">
        <v>18</v>
      </c>
      <c r="S31" s="706">
        <f t="shared" si="12"/>
        <v>100</v>
      </c>
      <c r="T31" s="705" t="s">
        <v>18</v>
      </c>
      <c r="U31" s="706">
        <f t="shared" si="13"/>
        <v>100</v>
      </c>
      <c r="V31" s="705" t="s">
        <v>18</v>
      </c>
      <c r="W31" s="706">
        <f t="shared" si="14"/>
        <v>100</v>
      </c>
      <c r="X31" s="1354"/>
      <c r="Y31" s="3774"/>
      <c r="Z31" s="1355">
        <f t="shared" si="18"/>
        <v>111</v>
      </c>
      <c r="AA31" s="1352">
        <f t="shared" si="15"/>
        <v>1</v>
      </c>
      <c r="AB31" s="1352">
        <f t="shared" si="16"/>
        <v>1</v>
      </c>
      <c r="AC31" s="1352">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75" t="s">
        <v>1695</v>
      </c>
      <c r="Q32" s="1351" t="str">
        <f t="shared" si="11"/>
        <v>建筑类型</v>
      </c>
      <c r="R32" s="705" t="s">
        <v>18</v>
      </c>
      <c r="S32" s="706">
        <f t="shared" si="12"/>
        <v>100</v>
      </c>
      <c r="T32" s="705" t="s">
        <v>18</v>
      </c>
      <c r="U32" s="706">
        <f t="shared" si="13"/>
        <v>100</v>
      </c>
      <c r="V32" s="705" t="s">
        <v>18</v>
      </c>
      <c r="W32" s="706">
        <f t="shared" si="14"/>
        <v>100</v>
      </c>
      <c r="X32" s="1354"/>
      <c r="Y32" s="3778"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76"/>
      <c r="Q33" s="707" t="str">
        <f t="shared" si="11"/>
        <v>项目建筑规模</v>
      </c>
      <c r="R33" s="708" t="s">
        <v>18</v>
      </c>
      <c r="S33" s="709" t="e">
        <f t="shared" si="12"/>
        <v>#N/A</v>
      </c>
      <c r="T33" s="708" t="s">
        <v>18</v>
      </c>
      <c r="U33" s="709" t="e">
        <f t="shared" si="13"/>
        <v>#N/A</v>
      </c>
      <c r="V33" s="708" t="s">
        <v>18</v>
      </c>
      <c r="W33" s="709" t="e">
        <f t="shared" si="14"/>
        <v>#N/A</v>
      </c>
      <c r="X33" s="710"/>
      <c r="Y33" s="3778"/>
      <c r="Z33" s="711" t="str">
        <f t="shared" si="18"/>
        <v>项目建筑规模</v>
      </c>
      <c r="AA33" s="1352" t="e">
        <f t="shared" si="15"/>
        <v>#N/A</v>
      </c>
      <c r="AB33" s="1352" t="e">
        <f t="shared" si="16"/>
        <v>#N/A</v>
      </c>
      <c r="AC33" s="1352"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76"/>
      <c r="Q34" s="1351" t="str">
        <f t="shared" si="11"/>
        <v>建筑结构</v>
      </c>
      <c r="R34" s="705" t="s">
        <v>18</v>
      </c>
      <c r="S34" s="706">
        <f t="shared" si="12"/>
        <v>100</v>
      </c>
      <c r="T34" s="705" t="s">
        <v>18</v>
      </c>
      <c r="U34" s="706">
        <f t="shared" si="13"/>
        <v>100</v>
      </c>
      <c r="V34" s="705" t="s">
        <v>18</v>
      </c>
      <c r="W34" s="706">
        <f t="shared" si="14"/>
        <v>100</v>
      </c>
      <c r="X34" s="1354"/>
      <c r="Y34" s="3778"/>
      <c r="Z34" s="1355" t="str">
        <f t="shared" si="18"/>
        <v>建筑结构</v>
      </c>
      <c r="AA34" s="1352">
        <f t="shared" si="15"/>
        <v>1</v>
      </c>
      <c r="AB34" s="1352">
        <f t="shared" si="16"/>
        <v>1</v>
      </c>
      <c r="AC34" s="1352">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76"/>
      <c r="Q35" s="1351" t="str">
        <f t="shared" si="11"/>
        <v>建筑品质</v>
      </c>
      <c r="R35" s="705" t="s">
        <v>18</v>
      </c>
      <c r="S35" s="706">
        <f t="shared" si="12"/>
        <v>100</v>
      </c>
      <c r="T35" s="705" t="s">
        <v>18</v>
      </c>
      <c r="U35" s="706">
        <f t="shared" si="13"/>
        <v>100</v>
      </c>
      <c r="V35" s="705" t="s">
        <v>18</v>
      </c>
      <c r="W35" s="706">
        <f t="shared" si="14"/>
        <v>100</v>
      </c>
      <c r="X35" s="1354"/>
      <c r="Y35" s="3778"/>
      <c r="Z35" s="1355" t="str">
        <f t="shared" si="18"/>
        <v>建筑品质</v>
      </c>
      <c r="AA35" s="1352">
        <f t="shared" si="15"/>
        <v>1</v>
      </c>
      <c r="AB35" s="1352">
        <f t="shared" si="16"/>
        <v>1</v>
      </c>
      <c r="AC35" s="1352">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76"/>
      <c r="Q36" s="1351" t="str">
        <f t="shared" si="11"/>
        <v>公共部分装修</v>
      </c>
      <c r="R36" s="705" t="s">
        <v>18</v>
      </c>
      <c r="S36" s="706">
        <f t="shared" si="12"/>
        <v>100</v>
      </c>
      <c r="T36" s="705" t="s">
        <v>18</v>
      </c>
      <c r="U36" s="706">
        <f t="shared" si="13"/>
        <v>100</v>
      </c>
      <c r="V36" s="705" t="s">
        <v>18</v>
      </c>
      <c r="W36" s="706">
        <f t="shared" si="14"/>
        <v>100</v>
      </c>
      <c r="X36" s="1354"/>
      <c r="Y36" s="3778"/>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6"/>
      <c r="Q37" s="1342" t="str">
        <f t="shared" si="11"/>
        <v>成新度</v>
      </c>
      <c r="R37" s="701" t="s">
        <v>18</v>
      </c>
      <c r="S37" s="702" t="e">
        <f t="shared" si="12"/>
        <v>#N/A</v>
      </c>
      <c r="T37" s="701" t="s">
        <v>18</v>
      </c>
      <c r="U37" s="702" t="e">
        <f t="shared" si="13"/>
        <v>#N/A</v>
      </c>
      <c r="V37" s="701" t="s">
        <v>18</v>
      </c>
      <c r="W37" s="702" t="e">
        <f t="shared" si="14"/>
        <v>#N/A</v>
      </c>
      <c r="X37" s="703"/>
      <c r="Y37" s="3778"/>
      <c r="Z37" s="52" t="str">
        <f t="shared" si="18"/>
        <v>成新度</v>
      </c>
      <c r="AA37" s="704" t="e">
        <f t="shared" si="15"/>
        <v>#N/A</v>
      </c>
      <c r="AB37" s="704" t="e">
        <f t="shared" si="16"/>
        <v>#N/A</v>
      </c>
      <c r="AC37" s="704"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76" t="s">
        <v>1695</v>
      </c>
      <c r="Q38" s="1351" t="str">
        <f t="shared" si="11"/>
        <v>物业管理</v>
      </c>
      <c r="R38" s="705" t="s">
        <v>18</v>
      </c>
      <c r="S38" s="706">
        <f t="shared" si="12"/>
        <v>100</v>
      </c>
      <c r="T38" s="705" t="s">
        <v>18</v>
      </c>
      <c r="U38" s="706">
        <f t="shared" si="13"/>
        <v>100</v>
      </c>
      <c r="V38" s="705" t="s">
        <v>18</v>
      </c>
      <c r="W38" s="706">
        <f t="shared" si="14"/>
        <v>100</v>
      </c>
      <c r="X38" s="1354"/>
      <c r="Y38" s="3778" t="s">
        <v>1695</v>
      </c>
      <c r="Z38" s="1355" t="str">
        <f t="shared" si="18"/>
        <v>物业管理</v>
      </c>
      <c r="AA38" s="1352">
        <f t="shared" si="15"/>
        <v>1</v>
      </c>
      <c r="AB38" s="1352">
        <f t="shared" si="16"/>
        <v>1</v>
      </c>
      <c r="AC38" s="1352">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76"/>
      <c r="Q39" s="1351" t="str">
        <f t="shared" si="11"/>
        <v>市政基础设施</v>
      </c>
      <c r="R39" s="705" t="s">
        <v>18</v>
      </c>
      <c r="S39" s="706">
        <f t="shared" si="12"/>
        <v>100</v>
      </c>
      <c r="T39" s="705" t="s">
        <v>18</v>
      </c>
      <c r="U39" s="706">
        <f t="shared" si="13"/>
        <v>100</v>
      </c>
      <c r="V39" s="705" t="s">
        <v>18</v>
      </c>
      <c r="W39" s="706">
        <f t="shared" si="14"/>
        <v>100</v>
      </c>
      <c r="X39" s="1354"/>
      <c r="Y39" s="3778"/>
      <c r="Z39" s="1355" t="str">
        <f t="shared" si="18"/>
        <v>市政基础设施</v>
      </c>
      <c r="AA39" s="1352">
        <f t="shared" si="15"/>
        <v>1</v>
      </c>
      <c r="AB39" s="1352">
        <f t="shared" si="16"/>
        <v>1</v>
      </c>
      <c r="AC39" s="1352">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76"/>
      <c r="Q40" s="1351" t="str">
        <f t="shared" si="11"/>
        <v>房型</v>
      </c>
      <c r="R40" s="705" t="s">
        <v>18</v>
      </c>
      <c r="S40" s="706">
        <f t="shared" si="12"/>
        <v>100</v>
      </c>
      <c r="T40" s="705" t="s">
        <v>18</v>
      </c>
      <c r="U40" s="706">
        <f t="shared" si="13"/>
        <v>100</v>
      </c>
      <c r="V40" s="705" t="s">
        <v>18</v>
      </c>
      <c r="W40" s="706">
        <f t="shared" si="14"/>
        <v>100</v>
      </c>
      <c r="X40" s="1354"/>
      <c r="Y40" s="3778"/>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76"/>
      <c r="Q41" s="707" t="str">
        <f t="shared" si="11"/>
        <v>单套/主力户型建筑面积</v>
      </c>
      <c r="R41" s="708" t="s">
        <v>18</v>
      </c>
      <c r="S41" s="709">
        <f t="shared" si="12"/>
        <v>100</v>
      </c>
      <c r="T41" s="708" t="s">
        <v>18</v>
      </c>
      <c r="U41" s="709">
        <f t="shared" si="13"/>
        <v>100</v>
      </c>
      <c r="V41" s="708" t="s">
        <v>18</v>
      </c>
      <c r="W41" s="709">
        <f t="shared" si="14"/>
        <v>100</v>
      </c>
      <c r="X41" s="710"/>
      <c r="Y41" s="3778"/>
      <c r="Z41" s="711" t="str">
        <f t="shared" si="18"/>
        <v>单套/主力户型建筑面积</v>
      </c>
      <c r="AA41" s="1352">
        <f t="shared" si="15"/>
        <v>1</v>
      </c>
      <c r="AB41" s="1352">
        <f t="shared" si="16"/>
        <v>1</v>
      </c>
      <c r="AC41" s="1352">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76"/>
      <c r="Q42" s="1351" t="str">
        <f t="shared" si="11"/>
        <v>内部装修</v>
      </c>
      <c r="R42" s="705" t="s">
        <v>18</v>
      </c>
      <c r="S42" s="706">
        <f t="shared" si="12"/>
        <v>100</v>
      </c>
      <c r="T42" s="705" t="s">
        <v>18</v>
      </c>
      <c r="U42" s="706">
        <f t="shared" si="13"/>
        <v>100</v>
      </c>
      <c r="V42" s="705" t="s">
        <v>18</v>
      </c>
      <c r="W42" s="706">
        <f t="shared" si="14"/>
        <v>100</v>
      </c>
      <c r="X42" s="1354"/>
      <c r="Y42" s="3778"/>
      <c r="Z42" s="1355" t="str">
        <f t="shared" si="18"/>
        <v>内部装修</v>
      </c>
      <c r="AA42" s="1352">
        <f t="shared" si="15"/>
        <v>1</v>
      </c>
      <c r="AB42" s="1352">
        <f t="shared" si="16"/>
        <v>1</v>
      </c>
      <c r="AC42" s="1352">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76"/>
      <c r="Q43" s="1351" t="str">
        <f t="shared" si="11"/>
        <v>内部装修维护情况</v>
      </c>
      <c r="R43" s="705" t="s">
        <v>18</v>
      </c>
      <c r="S43" s="706">
        <f t="shared" si="12"/>
        <v>100</v>
      </c>
      <c r="T43" s="705" t="s">
        <v>18</v>
      </c>
      <c r="U43" s="706">
        <f t="shared" si="13"/>
        <v>100</v>
      </c>
      <c r="V43" s="705" t="s">
        <v>18</v>
      </c>
      <c r="W43" s="706">
        <f t="shared" si="14"/>
        <v>100</v>
      </c>
      <c r="X43" s="1354"/>
      <c r="Y43" s="377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76"/>
      <c r="Q44" s="1342">
        <f t="shared" si="11"/>
        <v>111</v>
      </c>
      <c r="R44" s="701" t="s">
        <v>18</v>
      </c>
      <c r="S44" s="702">
        <f t="shared" si="12"/>
        <v>100</v>
      </c>
      <c r="T44" s="701" t="s">
        <v>18</v>
      </c>
      <c r="U44" s="702">
        <f t="shared" si="13"/>
        <v>100</v>
      </c>
      <c r="V44" s="701" t="s">
        <v>18</v>
      </c>
      <c r="W44" s="702">
        <f t="shared" si="14"/>
        <v>100</v>
      </c>
      <c r="X44" s="703"/>
      <c r="Y44" s="377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76"/>
      <c r="Q45" s="1351">
        <f t="shared" si="11"/>
        <v>111</v>
      </c>
      <c r="R45" s="705" t="s">
        <v>18</v>
      </c>
      <c r="S45" s="706">
        <f t="shared" si="12"/>
        <v>100</v>
      </c>
      <c r="T45" s="705" t="s">
        <v>18</v>
      </c>
      <c r="U45" s="706">
        <f t="shared" si="13"/>
        <v>100</v>
      </c>
      <c r="V45" s="705" t="s">
        <v>18</v>
      </c>
      <c r="W45" s="706">
        <f t="shared" si="14"/>
        <v>100</v>
      </c>
      <c r="X45" s="1354"/>
      <c r="Y45" s="3778"/>
      <c r="Z45" s="1355">
        <f t="shared" si="18"/>
        <v>111</v>
      </c>
      <c r="AA45" s="1352">
        <f t="shared" si="15"/>
        <v>1</v>
      </c>
      <c r="AB45" s="1352">
        <f t="shared" si="16"/>
        <v>1</v>
      </c>
      <c r="AC45" s="1352">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77"/>
      <c r="Q46" s="1351">
        <f t="shared" si="11"/>
        <v>111</v>
      </c>
      <c r="R46" s="705" t="s">
        <v>17</v>
      </c>
      <c r="S46" s="706">
        <f t="shared" si="12"/>
        <v>100</v>
      </c>
      <c r="T46" s="705" t="s">
        <v>17</v>
      </c>
      <c r="U46" s="706">
        <f t="shared" si="13"/>
        <v>100</v>
      </c>
      <c r="V46" s="705" t="s">
        <v>17</v>
      </c>
      <c r="W46" s="706">
        <f t="shared" si="14"/>
        <v>100</v>
      </c>
      <c r="X46" s="1354"/>
      <c r="Y46" s="3779"/>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1"/>
      <c r="M47" s="2722"/>
      <c r="N47" s="2713"/>
      <c r="O47" s="2722"/>
      <c r="P47" s="3771" t="str">
        <f>A47</f>
        <v>成交单价（元/平方米）</v>
      </c>
      <c r="Q47" s="3771"/>
      <c r="R47" s="3772">
        <f>E47</f>
        <v>0</v>
      </c>
      <c r="S47" s="3772"/>
      <c r="T47" s="3772">
        <f>G47</f>
        <v>0</v>
      </c>
      <c r="U47" s="3772"/>
      <c r="V47" s="3772">
        <f>I47</f>
        <v>0</v>
      </c>
      <c r="W47" s="3772"/>
      <c r="X47" s="690"/>
      <c r="Y47" s="712"/>
      <c r="Z47" s="690"/>
      <c r="AA47" s="690"/>
      <c r="AB47" s="690"/>
      <c r="AC47" s="690"/>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1"/>
      <c r="M48" s="2722"/>
      <c r="N48" s="2722"/>
      <c r="O48" s="2722"/>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75" thickBot="1">
      <c r="A49" s="441" t="s">
        <v>1709</v>
      </c>
      <c r="B49" s="442"/>
      <c r="C49" s="1161" t="e">
        <f>R49</f>
        <v>#DIV/0!</v>
      </c>
      <c r="D49" s="1162"/>
      <c r="E49" s="1162"/>
      <c r="F49" s="1162"/>
      <c r="G49" s="1162"/>
      <c r="H49" s="1162"/>
      <c r="I49" s="1162"/>
      <c r="J49" s="1162"/>
      <c r="K49" s="1912"/>
      <c r="L49" s="2721"/>
      <c r="M49" s="2722"/>
      <c r="N49" s="2722"/>
      <c r="O49" s="2722"/>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0"/>
      <c r="L57" s="941"/>
      <c r="M57" s="939"/>
      <c r="N57" s="939"/>
      <c r="O57" s="939"/>
      <c r="P57" s="1915"/>
      <c r="Q57" s="453"/>
    </row>
    <row r="58" spans="1:29" s="457" customFormat="1" ht="15">
      <c r="A58" s="454" t="s">
        <v>1714</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1733</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1734</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1737</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1738</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1739</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1740</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1741</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1742</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估价对象为北京市房地产，为所有。根据《国有土地使用证》[]，估价对象（分摊）出让国有建设用地使用权面积为18023.05平方米，建筑面积为48207.3平方米。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估价对象为北京市房地产,属开发建设的，该项目尚在开发建设中。根据《国有土地使用证》[]，估价对象（分摊）出让国有建设用地使用权面积为18023.05平方米，规划建筑面积为48207.3平方米。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5" t="s">
        <v>1765</v>
      </c>
      <c r="C1" s="1237" t="s">
        <v>1661</v>
      </c>
      <c r="D1" s="1224"/>
      <c r="E1" s="3423"/>
      <c r="F1" s="1876"/>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1462</v>
      </c>
      <c r="F2" s="1880"/>
      <c r="G2" s="907"/>
      <c r="H2" s="907"/>
      <c r="I2" s="907"/>
      <c r="J2" s="907"/>
      <c r="K2" s="907"/>
      <c r="L2" s="2731"/>
      <c r="M2" s="2732"/>
      <c r="N2" s="2732"/>
      <c r="O2" s="2732"/>
      <c r="P2" s="1949"/>
      <c r="Q2" s="911"/>
      <c r="R2" s="911"/>
      <c r="S2" s="911"/>
      <c r="T2" s="911"/>
      <c r="U2" s="911"/>
      <c r="V2" s="911"/>
      <c r="W2" s="911"/>
      <c r="X2" s="911"/>
      <c r="Y2" s="911"/>
      <c r="Z2" s="911"/>
      <c r="AA2" s="911"/>
      <c r="AB2" s="911"/>
      <c r="AC2" s="1950"/>
    </row>
    <row r="3" spans="1:29" s="352" customFormat="1" ht="28.5" customHeight="1" thickBot="1">
      <c r="A3" s="203" t="s">
        <v>1463</v>
      </c>
      <c r="B3" s="558">
        <f>IF(C2="——",C49,ROUND(B2*10000/D3,0))</f>
        <v>0</v>
      </c>
      <c r="C3" s="354" t="s">
        <v>1767</v>
      </c>
      <c r="D3" s="353">
        <f>IF(D1="",'数据-汇总表'!E3,SUMIF('数据-汇总表'!$C19:$C33,D1,'数据-汇总表'!$E19:$E33))</f>
        <v>48207.299999999996</v>
      </c>
      <c r="E3" s="1951"/>
      <c r="F3" s="908"/>
      <c r="G3" s="907"/>
      <c r="H3" s="907"/>
      <c r="I3" s="907"/>
      <c r="J3" s="907"/>
      <c r="K3" s="909"/>
      <c r="L3" s="2731"/>
      <c r="M3" s="2732"/>
      <c r="N3" s="2732"/>
      <c r="O3" s="2732"/>
      <c r="P3" s="1949"/>
      <c r="Q3" s="911"/>
      <c r="R3" s="911"/>
      <c r="S3" s="911"/>
      <c r="T3" s="911"/>
      <c r="U3" s="911"/>
      <c r="V3" s="911"/>
      <c r="W3" s="911"/>
      <c r="X3" s="911"/>
      <c r="Y3" s="911"/>
      <c r="Z3" s="911"/>
      <c r="AA3" s="911"/>
      <c r="AB3" s="911"/>
      <c r="AC3" s="1951"/>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66"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66"/>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66"/>
      <c r="AC6" s="3738"/>
    </row>
    <row r="7" spans="1:29" s="108" customFormat="1" ht="15.75" thickBot="1">
      <c r="A7" s="362" t="s">
        <v>1678</v>
      </c>
      <c r="B7" s="363"/>
      <c r="C7" s="364">
        <f>'数据-取费表'!B2</f>
        <v>45722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53"/>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53"/>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53"/>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53"/>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80" t="s">
        <v>1690</v>
      </c>
      <c r="Q15" s="1351" t="str">
        <f t="shared" si="6"/>
        <v>商业繁华度</v>
      </c>
      <c r="R15" s="705" t="s">
        <v>14</v>
      </c>
      <c r="S15" s="706">
        <f t="shared" si="0"/>
        <v>100</v>
      </c>
      <c r="T15" s="705" t="s">
        <v>14</v>
      </c>
      <c r="U15" s="706">
        <f t="shared" si="1"/>
        <v>100</v>
      </c>
      <c r="V15" s="705" t="s">
        <v>14</v>
      </c>
      <c r="W15" s="706">
        <f t="shared" si="2"/>
        <v>100</v>
      </c>
      <c r="X15" s="1354"/>
      <c r="Y15" s="3773"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781"/>
      <c r="Q16" s="1351"/>
      <c r="R16" s="705"/>
      <c r="S16" s="706"/>
      <c r="T16" s="705"/>
      <c r="U16" s="706"/>
      <c r="V16" s="705"/>
      <c r="W16" s="706"/>
      <c r="X16" s="1354"/>
      <c r="Y16" s="3774"/>
      <c r="Z16" s="1355"/>
      <c r="AA16" s="1352">
        <v>1</v>
      </c>
      <c r="AB16" s="1352">
        <v>1</v>
      </c>
      <c r="AC16" s="1352">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1"/>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2719"/>
      <c r="M18" s="2713"/>
      <c r="N18" s="2713"/>
      <c r="O18" s="2713"/>
      <c r="P18" s="3781"/>
      <c r="Q18" s="1351"/>
      <c r="R18" s="705"/>
      <c r="S18" s="706"/>
      <c r="T18" s="705"/>
      <c r="U18" s="706"/>
      <c r="V18" s="705"/>
      <c r="W18" s="706"/>
      <c r="X18" s="1354"/>
      <c r="Y18" s="3774"/>
      <c r="Z18" s="1355"/>
      <c r="AA18" s="1352">
        <v>1</v>
      </c>
      <c r="AB18" s="1352">
        <v>1</v>
      </c>
      <c r="AC18" s="1352">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1"/>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2719"/>
      <c r="M20" s="2713"/>
      <c r="N20" s="2713"/>
      <c r="O20" s="2713"/>
      <c r="P20" s="3781"/>
      <c r="Q20" s="1351"/>
      <c r="R20" s="705"/>
      <c r="S20" s="706"/>
      <c r="T20" s="705"/>
      <c r="U20" s="706"/>
      <c r="V20" s="705"/>
      <c r="W20" s="706"/>
      <c r="X20" s="1354"/>
      <c r="Y20" s="3774"/>
      <c r="Z20" s="1355"/>
      <c r="AA20" s="1352">
        <v>1</v>
      </c>
      <c r="AB20" s="1352">
        <v>1</v>
      </c>
      <c r="AC20" s="1352">
        <v>1</v>
      </c>
    </row>
    <row r="21" spans="1:29" ht="28.5">
      <c r="A21" s="379"/>
      <c r="B21" s="1130"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2719"/>
      <c r="M22" s="2713"/>
      <c r="N22" s="2713"/>
      <c r="O22" s="2713"/>
      <c r="P22" s="3781"/>
      <c r="Q22" s="1351"/>
      <c r="R22" s="705"/>
      <c r="S22" s="706"/>
      <c r="T22" s="705"/>
      <c r="U22" s="706"/>
      <c r="V22" s="705"/>
      <c r="W22" s="706"/>
      <c r="X22" s="1354"/>
      <c r="Y22" s="3774"/>
      <c r="Z22" s="1355"/>
      <c r="AA22" s="1352">
        <v>1</v>
      </c>
      <c r="AB22" s="1352">
        <v>1</v>
      </c>
      <c r="AC22" s="1352">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81"/>
      <c r="Q23" s="1351" t="str">
        <f>B23</f>
        <v>自然及人文环境</v>
      </c>
      <c r="R23" s="705" t="s">
        <v>14</v>
      </c>
      <c r="S23" s="706">
        <f>F23</f>
        <v>100</v>
      </c>
      <c r="T23" s="705" t="s">
        <v>14</v>
      </c>
      <c r="U23" s="706">
        <f>H23</f>
        <v>100</v>
      </c>
      <c r="V23" s="705" t="s">
        <v>14</v>
      </c>
      <c r="W23" s="706">
        <f>J23</f>
        <v>100</v>
      </c>
      <c r="X23" s="1354"/>
      <c r="Y23" s="3774"/>
      <c r="Z23" s="1355" t="str">
        <f>Q23</f>
        <v>自然及人文环境</v>
      </c>
      <c r="AA23" s="1352">
        <f t="shared" si="3"/>
        <v>1</v>
      </c>
      <c r="AB23" s="1352">
        <f t="shared" si="4"/>
        <v>1</v>
      </c>
      <c r="AC23" s="1352">
        <f t="shared" si="5"/>
        <v>1</v>
      </c>
    </row>
    <row r="24" spans="1:29" ht="15">
      <c r="A24" s="379"/>
      <c r="B24" s="407"/>
      <c r="C24" s="398"/>
      <c r="D24" s="399"/>
      <c r="E24" s="1895"/>
      <c r="F24" s="400"/>
      <c r="G24" s="1894"/>
      <c r="H24" s="399"/>
      <c r="I24" s="1895"/>
      <c r="J24" s="399"/>
      <c r="K24" s="564"/>
      <c r="L24" s="2719"/>
      <c r="M24" s="2713"/>
      <c r="N24" s="2713"/>
      <c r="O24" s="2713"/>
      <c r="P24" s="3781"/>
      <c r="Q24" s="1351"/>
      <c r="R24" s="705"/>
      <c r="S24" s="706"/>
      <c r="T24" s="705"/>
      <c r="U24" s="706"/>
      <c r="V24" s="705"/>
      <c r="W24" s="706"/>
      <c r="X24" s="1354"/>
      <c r="Y24" s="3774"/>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81"/>
      <c r="Q25" s="1351" t="str">
        <f t="shared" ref="Q25:Q46" si="11">B25</f>
        <v>临街状况</v>
      </c>
      <c r="R25" s="705" t="s">
        <v>14</v>
      </c>
      <c r="S25" s="706">
        <f>F25</f>
        <v>100</v>
      </c>
      <c r="T25" s="705" t="s">
        <v>14</v>
      </c>
      <c r="U25" s="706">
        <f>H25</f>
        <v>100</v>
      </c>
      <c r="V25" s="705" t="s">
        <v>14</v>
      </c>
      <c r="W25" s="706">
        <f>J25</f>
        <v>100</v>
      </c>
      <c r="X25" s="1354"/>
      <c r="Y25" s="3774"/>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1"/>
      <c r="Q26" s="1351" t="str">
        <f t="shared" si="11"/>
        <v>平面位置/可视性</v>
      </c>
      <c r="R26" s="705" t="s">
        <v>14</v>
      </c>
      <c r="S26" s="706">
        <f>F26</f>
        <v>100</v>
      </c>
      <c r="T26" s="705" t="s">
        <v>14</v>
      </c>
      <c r="U26" s="706">
        <f>H26</f>
        <v>100</v>
      </c>
      <c r="V26" s="705" t="s">
        <v>14</v>
      </c>
      <c r="W26" s="706">
        <f>J26</f>
        <v>100</v>
      </c>
      <c r="X26" s="1354"/>
      <c r="Y26" s="3774"/>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81"/>
      <c r="Q27" s="1342" t="str">
        <f t="shared" si="11"/>
        <v>人流量</v>
      </c>
      <c r="R27" s="701" t="s">
        <v>14</v>
      </c>
      <c r="S27" s="702">
        <f>F27</f>
        <v>100</v>
      </c>
      <c r="T27" s="701" t="s">
        <v>14</v>
      </c>
      <c r="U27" s="702">
        <f>H27</f>
        <v>100</v>
      </c>
      <c r="V27" s="701" t="s">
        <v>14</v>
      </c>
      <c r="W27" s="702">
        <f>J27</f>
        <v>100</v>
      </c>
      <c r="X27" s="703"/>
      <c r="Y27" s="3774"/>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8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7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1"/>
      <c r="Q29" s="1351">
        <f t="shared" si="11"/>
        <v>111</v>
      </c>
      <c r="R29" s="705" t="s">
        <v>14</v>
      </c>
      <c r="S29" s="706">
        <f t="shared" si="12"/>
        <v>100</v>
      </c>
      <c r="T29" s="705" t="s">
        <v>14</v>
      </c>
      <c r="U29" s="706">
        <f t="shared" si="13"/>
        <v>100</v>
      </c>
      <c r="V29" s="705" t="s">
        <v>14</v>
      </c>
      <c r="W29" s="706">
        <f t="shared" si="14"/>
        <v>100</v>
      </c>
      <c r="X29" s="1354"/>
      <c r="Y29" s="377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1"/>
      <c r="Q30" s="1351">
        <f t="shared" si="11"/>
        <v>111</v>
      </c>
      <c r="R30" s="705" t="s">
        <v>14</v>
      </c>
      <c r="S30" s="706">
        <f t="shared" si="12"/>
        <v>100</v>
      </c>
      <c r="T30" s="705" t="s">
        <v>14</v>
      </c>
      <c r="U30" s="706">
        <f t="shared" si="13"/>
        <v>100</v>
      </c>
      <c r="V30" s="705" t="s">
        <v>14</v>
      </c>
      <c r="W30" s="706">
        <f t="shared" si="14"/>
        <v>100</v>
      </c>
      <c r="X30" s="1354"/>
      <c r="Y30" s="377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1"/>
      <c r="Q31" s="1351">
        <f t="shared" si="11"/>
        <v>111</v>
      </c>
      <c r="R31" s="705" t="s">
        <v>14</v>
      </c>
      <c r="S31" s="706">
        <f t="shared" si="12"/>
        <v>100</v>
      </c>
      <c r="T31" s="705" t="s">
        <v>14</v>
      </c>
      <c r="U31" s="706">
        <f t="shared" si="13"/>
        <v>100</v>
      </c>
      <c r="V31" s="705" t="s">
        <v>14</v>
      </c>
      <c r="W31" s="706">
        <f t="shared" si="14"/>
        <v>100</v>
      </c>
      <c r="X31" s="1354"/>
      <c r="Y31" s="3774"/>
      <c r="Z31" s="1355">
        <f t="shared" si="15"/>
        <v>111</v>
      </c>
      <c r="AA31" s="1352">
        <f t="shared" si="3"/>
        <v>1</v>
      </c>
      <c r="AB31" s="1352">
        <f t="shared" si="4"/>
        <v>1</v>
      </c>
      <c r="AC31" s="1352">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775" t="s">
        <v>1695</v>
      </c>
      <c r="Q32" s="1351" t="str">
        <f t="shared" si="11"/>
        <v>商业类型</v>
      </c>
      <c r="R32" s="705" t="s">
        <v>14</v>
      </c>
      <c r="S32" s="706">
        <f t="shared" si="12"/>
        <v>100</v>
      </c>
      <c r="T32" s="705" t="s">
        <v>14</v>
      </c>
      <c r="U32" s="706">
        <f t="shared" si="13"/>
        <v>100</v>
      </c>
      <c r="V32" s="705" t="s">
        <v>14</v>
      </c>
      <c r="W32" s="706">
        <f t="shared" si="14"/>
        <v>100</v>
      </c>
      <c r="X32" s="1354"/>
      <c r="Y32" s="3778"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76"/>
      <c r="Q33" s="707" t="str">
        <f t="shared" si="11"/>
        <v>项目建筑规模</v>
      </c>
      <c r="R33" s="708" t="s">
        <v>14</v>
      </c>
      <c r="S33" s="709" t="e">
        <f t="shared" si="12"/>
        <v>#N/A</v>
      </c>
      <c r="T33" s="708" t="s">
        <v>14</v>
      </c>
      <c r="U33" s="709" t="e">
        <f t="shared" si="13"/>
        <v>#N/A</v>
      </c>
      <c r="V33" s="708" t="s">
        <v>14</v>
      </c>
      <c r="W33" s="709" t="e">
        <f t="shared" si="14"/>
        <v>#N/A</v>
      </c>
      <c r="X33" s="710"/>
      <c r="Y33" s="3778"/>
      <c r="Z33" s="711" t="str">
        <f t="shared" si="15"/>
        <v>项目建筑规模</v>
      </c>
      <c r="AA33" s="1352" t="e">
        <f t="shared" si="3"/>
        <v>#N/A</v>
      </c>
      <c r="AB33" s="1352" t="e">
        <f t="shared" si="4"/>
        <v>#N/A</v>
      </c>
      <c r="AC33" s="1352"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776"/>
      <c r="Q34" s="1351" t="str">
        <f t="shared" si="11"/>
        <v>建筑结构</v>
      </c>
      <c r="R34" s="705" t="s">
        <v>14</v>
      </c>
      <c r="S34" s="706">
        <f t="shared" si="12"/>
        <v>100</v>
      </c>
      <c r="T34" s="705" t="s">
        <v>14</v>
      </c>
      <c r="U34" s="706">
        <f t="shared" si="13"/>
        <v>100</v>
      </c>
      <c r="V34" s="705" t="s">
        <v>14</v>
      </c>
      <c r="W34" s="706">
        <f t="shared" si="14"/>
        <v>100</v>
      </c>
      <c r="X34" s="1354"/>
      <c r="Y34" s="3778"/>
      <c r="Z34" s="1355" t="str">
        <f t="shared" si="15"/>
        <v>建筑结构</v>
      </c>
      <c r="AA34" s="1352">
        <f t="shared" si="3"/>
        <v>1</v>
      </c>
      <c r="AB34" s="1352">
        <f t="shared" si="4"/>
        <v>1</v>
      </c>
      <c r="AC34" s="1352">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76"/>
      <c r="Q35" s="1351" t="str">
        <f t="shared" si="11"/>
        <v>公共部分装修</v>
      </c>
      <c r="R35" s="705" t="s">
        <v>14</v>
      </c>
      <c r="S35" s="706">
        <f t="shared" si="12"/>
        <v>100</v>
      </c>
      <c r="T35" s="705" t="s">
        <v>14</v>
      </c>
      <c r="U35" s="706">
        <f t="shared" si="13"/>
        <v>100</v>
      </c>
      <c r="V35" s="705" t="s">
        <v>14</v>
      </c>
      <c r="W35" s="706">
        <f t="shared" si="14"/>
        <v>100</v>
      </c>
      <c r="X35" s="1354"/>
      <c r="Y35" s="3778"/>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76"/>
      <c r="Q36" s="1351" t="str">
        <f t="shared" si="11"/>
        <v>成新度</v>
      </c>
      <c r="R36" s="705" t="s">
        <v>14</v>
      </c>
      <c r="S36" s="706" t="e">
        <f t="shared" si="12"/>
        <v>#N/A</v>
      </c>
      <c r="T36" s="705" t="s">
        <v>14</v>
      </c>
      <c r="U36" s="706" t="e">
        <f t="shared" si="13"/>
        <v>#N/A</v>
      </c>
      <c r="V36" s="705" t="s">
        <v>14</v>
      </c>
      <c r="W36" s="706" t="e">
        <f t="shared" si="14"/>
        <v>#N/A</v>
      </c>
      <c r="X36" s="1354"/>
      <c r="Y36" s="3778"/>
      <c r="Z36" s="1355" t="str">
        <f t="shared" si="15"/>
        <v>成新度</v>
      </c>
      <c r="AA36" s="1352" t="e">
        <f t="shared" si="3"/>
        <v>#N/A</v>
      </c>
      <c r="AB36" s="1352" t="e">
        <f t="shared" si="4"/>
        <v>#N/A</v>
      </c>
      <c r="AC36" s="1352"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76"/>
      <c r="Q37" s="1342" t="str">
        <f t="shared" si="11"/>
        <v>市政基础设施</v>
      </c>
      <c r="R37" s="701" t="s">
        <v>14</v>
      </c>
      <c r="S37" s="702">
        <f t="shared" si="12"/>
        <v>100</v>
      </c>
      <c r="T37" s="701" t="s">
        <v>14</v>
      </c>
      <c r="U37" s="702">
        <f t="shared" si="13"/>
        <v>100</v>
      </c>
      <c r="V37" s="701" t="s">
        <v>14</v>
      </c>
      <c r="W37" s="702">
        <f t="shared" si="14"/>
        <v>100</v>
      </c>
      <c r="X37" s="703"/>
      <c r="Y37" s="3778"/>
      <c r="Z37" s="52" t="str">
        <f t="shared" si="15"/>
        <v>市政基础设施</v>
      </c>
      <c r="AA37" s="704">
        <f t="shared" si="3"/>
        <v>1</v>
      </c>
      <c r="AB37" s="704">
        <f t="shared" si="4"/>
        <v>1</v>
      </c>
      <c r="AC37" s="704">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776" t="s">
        <v>1695</v>
      </c>
      <c r="Q38" s="1351" t="str">
        <f t="shared" si="11"/>
        <v>业态</v>
      </c>
      <c r="R38" s="705" t="s">
        <v>14</v>
      </c>
      <c r="S38" s="706">
        <f t="shared" si="12"/>
        <v>100</v>
      </c>
      <c r="T38" s="705" t="s">
        <v>14</v>
      </c>
      <c r="U38" s="706">
        <f t="shared" si="13"/>
        <v>100</v>
      </c>
      <c r="V38" s="705" t="s">
        <v>14</v>
      </c>
      <c r="W38" s="706">
        <f t="shared" si="14"/>
        <v>100</v>
      </c>
      <c r="X38" s="1354"/>
      <c r="Y38" s="3778" t="s">
        <v>1695</v>
      </c>
      <c r="Z38" s="1355" t="str">
        <f t="shared" si="15"/>
        <v>业态</v>
      </c>
      <c r="AA38" s="1352">
        <f t="shared" si="3"/>
        <v>1</v>
      </c>
      <c r="AB38" s="1352">
        <f t="shared" si="4"/>
        <v>1</v>
      </c>
      <c r="AC38" s="1352">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76"/>
      <c r="Q39" s="1351" t="str">
        <f t="shared" si="11"/>
        <v>层高</v>
      </c>
      <c r="R39" s="705" t="s">
        <v>14</v>
      </c>
      <c r="S39" s="706">
        <f t="shared" si="12"/>
        <v>100</v>
      </c>
      <c r="T39" s="705" t="s">
        <v>14</v>
      </c>
      <c r="U39" s="706">
        <f t="shared" si="13"/>
        <v>100</v>
      </c>
      <c r="V39" s="705" t="s">
        <v>14</v>
      </c>
      <c r="W39" s="706">
        <f t="shared" si="14"/>
        <v>100</v>
      </c>
      <c r="X39" s="1354"/>
      <c r="Y39" s="3778"/>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6"/>
      <c r="Q40" s="1351" t="str">
        <f t="shared" si="11"/>
        <v>单套建筑面积</v>
      </c>
      <c r="R40" s="705" t="s">
        <v>14</v>
      </c>
      <c r="S40" s="706">
        <f t="shared" si="12"/>
        <v>100</v>
      </c>
      <c r="T40" s="705" t="s">
        <v>14</v>
      </c>
      <c r="U40" s="706">
        <f t="shared" si="13"/>
        <v>100</v>
      </c>
      <c r="V40" s="705" t="s">
        <v>14</v>
      </c>
      <c r="W40" s="706">
        <f t="shared" si="14"/>
        <v>100</v>
      </c>
      <c r="X40" s="1354"/>
      <c r="Y40" s="3778"/>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6"/>
      <c r="Q41" s="707" t="str">
        <f t="shared" si="11"/>
        <v>进深比</v>
      </c>
      <c r="R41" s="708" t="s">
        <v>14</v>
      </c>
      <c r="S41" s="709">
        <f t="shared" si="12"/>
        <v>100</v>
      </c>
      <c r="T41" s="708" t="s">
        <v>14</v>
      </c>
      <c r="U41" s="709">
        <f t="shared" si="13"/>
        <v>100</v>
      </c>
      <c r="V41" s="708" t="s">
        <v>14</v>
      </c>
      <c r="W41" s="709">
        <f t="shared" si="14"/>
        <v>100</v>
      </c>
      <c r="X41" s="710"/>
      <c r="Y41" s="3778"/>
      <c r="Z41" s="711" t="str">
        <f t="shared" si="15"/>
        <v>进深比</v>
      </c>
      <c r="AA41" s="1352">
        <f t="shared" si="3"/>
        <v>1</v>
      </c>
      <c r="AB41" s="1352">
        <f t="shared" si="4"/>
        <v>1</v>
      </c>
      <c r="AC41" s="1352">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776"/>
      <c r="Q42" s="1351" t="str">
        <f t="shared" si="11"/>
        <v>内部装修</v>
      </c>
      <c r="R42" s="705" t="s">
        <v>14</v>
      </c>
      <c r="S42" s="706">
        <f t="shared" si="12"/>
        <v>100</v>
      </c>
      <c r="T42" s="705" t="s">
        <v>14</v>
      </c>
      <c r="U42" s="706">
        <f t="shared" si="13"/>
        <v>100</v>
      </c>
      <c r="V42" s="705" t="s">
        <v>14</v>
      </c>
      <c r="W42" s="706">
        <f t="shared" si="14"/>
        <v>100</v>
      </c>
      <c r="X42" s="1354"/>
      <c r="Y42" s="3778"/>
      <c r="Z42" s="1355" t="str">
        <f t="shared" si="15"/>
        <v>内部装修</v>
      </c>
      <c r="AA42" s="1352">
        <f t="shared" si="3"/>
        <v>1</v>
      </c>
      <c r="AB42" s="1352">
        <f t="shared" si="4"/>
        <v>1</v>
      </c>
      <c r="AC42" s="1352">
        <f t="shared" si="5"/>
        <v>1</v>
      </c>
    </row>
    <row r="43" spans="1:29" ht="15">
      <c r="A43" s="423"/>
      <c r="B43" s="375" t="s">
        <v>1706</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776"/>
      <c r="Q43" s="1351" t="str">
        <f t="shared" si="11"/>
        <v>内部装修维护情况</v>
      </c>
      <c r="R43" s="705" t="s">
        <v>14</v>
      </c>
      <c r="S43" s="706">
        <f t="shared" si="12"/>
        <v>100</v>
      </c>
      <c r="T43" s="705" t="s">
        <v>14</v>
      </c>
      <c r="U43" s="706">
        <f t="shared" si="13"/>
        <v>100</v>
      </c>
      <c r="V43" s="705" t="s">
        <v>14</v>
      </c>
      <c r="W43" s="706">
        <f t="shared" si="14"/>
        <v>100</v>
      </c>
      <c r="X43" s="1354"/>
      <c r="Y43" s="377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6"/>
      <c r="Q44" s="1342">
        <f t="shared" si="11"/>
        <v>111</v>
      </c>
      <c r="R44" s="701" t="s">
        <v>14</v>
      </c>
      <c r="S44" s="702">
        <f t="shared" si="12"/>
        <v>100</v>
      </c>
      <c r="T44" s="701" t="s">
        <v>14</v>
      </c>
      <c r="U44" s="702">
        <f t="shared" si="13"/>
        <v>100</v>
      </c>
      <c r="V44" s="701" t="s">
        <v>14</v>
      </c>
      <c r="W44" s="702">
        <f t="shared" si="14"/>
        <v>100</v>
      </c>
      <c r="X44" s="703"/>
      <c r="Y44" s="3778"/>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6"/>
      <c r="Q45" s="1351">
        <f t="shared" si="11"/>
        <v>111</v>
      </c>
      <c r="R45" s="705" t="s">
        <v>14</v>
      </c>
      <c r="S45" s="706">
        <f t="shared" si="12"/>
        <v>100</v>
      </c>
      <c r="T45" s="705" t="s">
        <v>14</v>
      </c>
      <c r="U45" s="706">
        <f t="shared" si="13"/>
        <v>100</v>
      </c>
      <c r="V45" s="705" t="s">
        <v>14</v>
      </c>
      <c r="W45" s="706">
        <f t="shared" si="14"/>
        <v>100</v>
      </c>
      <c r="X45" s="1354"/>
      <c r="Y45" s="3778"/>
      <c r="Z45" s="1355">
        <f t="shared" si="15"/>
        <v>111</v>
      </c>
      <c r="AA45" s="1352">
        <f t="shared" si="3"/>
        <v>1</v>
      </c>
      <c r="AB45" s="1352">
        <f t="shared" si="4"/>
        <v>1</v>
      </c>
      <c r="AC45" s="1352">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77"/>
      <c r="Q46" s="1351">
        <f t="shared" si="11"/>
        <v>111</v>
      </c>
      <c r="R46" s="705" t="s">
        <v>14</v>
      </c>
      <c r="S46" s="706">
        <f t="shared" si="12"/>
        <v>100</v>
      </c>
      <c r="T46" s="705" t="s">
        <v>14</v>
      </c>
      <c r="U46" s="706">
        <f t="shared" si="13"/>
        <v>100</v>
      </c>
      <c r="V46" s="705" t="s">
        <v>14</v>
      </c>
      <c r="W46" s="706">
        <f t="shared" si="14"/>
        <v>100</v>
      </c>
      <c r="X46" s="1354"/>
      <c r="Y46" s="3779"/>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4"/>
      <c r="L47" s="2721"/>
      <c r="M47" s="2722"/>
      <c r="N47" s="2713"/>
      <c r="O47" s="2722"/>
      <c r="P47" s="3771" t="str">
        <f>A47</f>
        <v>成交单价（元/平方米）</v>
      </c>
      <c r="Q47" s="3771"/>
      <c r="R47" s="3766">
        <f>E47</f>
        <v>0</v>
      </c>
      <c r="S47" s="3766"/>
      <c r="T47" s="3766">
        <f>G47</f>
        <v>0</v>
      </c>
      <c r="U47" s="3766"/>
      <c r="V47" s="3766">
        <f>I47</f>
        <v>0</v>
      </c>
      <c r="W47" s="3766"/>
      <c r="X47" s="690"/>
      <c r="Y47" s="712"/>
      <c r="Z47" s="690"/>
      <c r="AA47" s="690"/>
      <c r="AB47" s="690"/>
      <c r="AC47" s="690"/>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1"/>
      <c r="M48" s="2722"/>
      <c r="N48" s="2713"/>
      <c r="O48" s="2722"/>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0"/>
      <c r="Y48" s="690"/>
      <c r="Z48" s="690"/>
      <c r="AA48" s="690"/>
      <c r="AB48" s="690"/>
      <c r="AC48" s="690"/>
    </row>
    <row r="49" spans="1:29" ht="15.75" thickBot="1">
      <c r="A49" s="441" t="s">
        <v>1793</v>
      </c>
      <c r="B49" s="442"/>
      <c r="C49" s="1162" t="e">
        <f>R49</f>
        <v>#DIV/0!</v>
      </c>
      <c r="D49" s="1162"/>
      <c r="E49" s="1162"/>
      <c r="F49" s="1162"/>
      <c r="G49" s="1162"/>
      <c r="H49" s="1162"/>
      <c r="I49" s="1162"/>
      <c r="J49" s="1162"/>
      <c r="K49" s="715"/>
      <c r="L49" s="2721"/>
      <c r="M49" s="2722"/>
      <c r="N49" s="2713"/>
      <c r="O49" s="2722"/>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1462</v>
      </c>
      <c r="F2" s="1880"/>
      <c r="G2" s="907"/>
      <c r="H2" s="907"/>
      <c r="I2" s="907"/>
      <c r="J2" s="907"/>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48207.299999999996</v>
      </c>
      <c r="E3" s="1951"/>
      <c r="F3" s="908"/>
      <c r="G3" s="907"/>
      <c r="H3" s="907"/>
      <c r="I3" s="907"/>
      <c r="J3" s="907"/>
      <c r="K3" s="909"/>
      <c r="L3" s="2731"/>
      <c r="M3" s="2732"/>
      <c r="N3" s="2732"/>
      <c r="O3" s="2732"/>
      <c r="P3" s="699"/>
      <c r="Q3" s="699"/>
      <c r="R3" s="699"/>
      <c r="S3" s="699"/>
      <c r="T3" s="699"/>
      <c r="U3" s="699"/>
      <c r="V3" s="699"/>
      <c r="W3" s="699"/>
      <c r="X3" s="699"/>
      <c r="Y3" s="699"/>
      <c r="Z3" s="699"/>
      <c r="AA3" s="699"/>
      <c r="AB3" s="699"/>
      <c r="AC3" s="700"/>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88" t="s">
        <v>1774</v>
      </c>
      <c r="Q4" s="3789"/>
      <c r="R4" s="3783" t="s">
        <v>1770</v>
      </c>
      <c r="S4" s="3784"/>
      <c r="T4" s="3783" t="s">
        <v>1771</v>
      </c>
      <c r="U4" s="3784"/>
      <c r="V4" s="3792" t="s">
        <v>1772</v>
      </c>
      <c r="W4" s="3792"/>
      <c r="X4" s="1955"/>
      <c r="Y4" s="3783" t="s">
        <v>1774</v>
      </c>
      <c r="Z4" s="3784"/>
      <c r="AA4" s="3782" t="s">
        <v>1770</v>
      </c>
      <c r="AB4" s="3782" t="s">
        <v>1771</v>
      </c>
      <c r="AC4" s="3785" t="s">
        <v>1772</v>
      </c>
    </row>
    <row r="5" spans="1:29" ht="15">
      <c r="A5" s="358"/>
      <c r="B5" s="359"/>
      <c r="C5" s="3747" t="s">
        <v>1672</v>
      </c>
      <c r="D5" s="3748"/>
      <c r="E5" s="3745" t="s">
        <v>1673</v>
      </c>
      <c r="F5" s="3746"/>
      <c r="G5" s="3747" t="s">
        <v>1674</v>
      </c>
      <c r="H5" s="3748"/>
      <c r="I5" s="3747" t="s">
        <v>1675</v>
      </c>
      <c r="J5" s="3748"/>
      <c r="K5" s="559"/>
      <c r="L5" s="2712"/>
      <c r="M5" s="2713"/>
      <c r="N5" s="2713"/>
      <c r="O5" s="2713"/>
      <c r="P5" s="3790"/>
      <c r="Q5" s="3761"/>
      <c r="R5" s="3743"/>
      <c r="S5" s="3744"/>
      <c r="T5" s="3743"/>
      <c r="U5" s="3744"/>
      <c r="V5" s="3766"/>
      <c r="W5" s="3766"/>
      <c r="X5" s="1354"/>
      <c r="Y5" s="3743"/>
      <c r="Z5" s="3744"/>
      <c r="AA5" s="3737"/>
      <c r="AB5" s="3737"/>
      <c r="AC5" s="3786"/>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91"/>
      <c r="Q6" s="3763"/>
      <c r="R6" s="3743"/>
      <c r="S6" s="3744"/>
      <c r="T6" s="3764"/>
      <c r="U6" s="3765"/>
      <c r="V6" s="3766"/>
      <c r="W6" s="3766"/>
      <c r="X6" s="1354"/>
      <c r="Y6" s="3764"/>
      <c r="Z6" s="3765"/>
      <c r="AA6" s="3738"/>
      <c r="AB6" s="3738"/>
      <c r="AC6" s="3787"/>
    </row>
    <row r="7" spans="1:29" s="108" customFormat="1" ht="15.75" thickBot="1">
      <c r="A7" s="362" t="s">
        <v>1678</v>
      </c>
      <c r="B7" s="363"/>
      <c r="C7" s="364">
        <f>'数据-取费表'!B2</f>
        <v>45722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93"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93" t="s">
        <v>1682</v>
      </c>
      <c r="Q8" s="3740"/>
      <c r="R8" s="701" t="s">
        <v>14</v>
      </c>
      <c r="S8" s="702">
        <f t="shared" si="0"/>
        <v>100</v>
      </c>
      <c r="T8" s="701" t="s">
        <v>14</v>
      </c>
      <c r="U8" s="702">
        <f t="shared" si="1"/>
        <v>100</v>
      </c>
      <c r="V8" s="701" t="s">
        <v>14</v>
      </c>
      <c r="W8" s="702">
        <f t="shared" si="2"/>
        <v>100</v>
      </c>
      <c r="X8" s="703"/>
      <c r="Y8" s="3739" t="s">
        <v>1682</v>
      </c>
      <c r="Z8" s="3740"/>
      <c r="AA8" s="704">
        <f t="shared" ref="AA8:AA47" si="3">D8/F8</f>
        <v>1</v>
      </c>
      <c r="AB8" s="704">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53"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1956">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53"/>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53"/>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53"/>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53"/>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53"/>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0" t="s">
        <v>1690</v>
      </c>
      <c r="Q15" s="1351" t="str">
        <f t="shared" si="6"/>
        <v>办公集聚程度</v>
      </c>
      <c r="R15" s="705" t="s">
        <v>14</v>
      </c>
      <c r="S15" s="706">
        <f t="shared" si="0"/>
        <v>100</v>
      </c>
      <c r="T15" s="705" t="s">
        <v>14</v>
      </c>
      <c r="U15" s="706">
        <f t="shared" si="1"/>
        <v>100</v>
      </c>
      <c r="V15" s="705" t="s">
        <v>14</v>
      </c>
      <c r="W15" s="706">
        <f t="shared" si="2"/>
        <v>100</v>
      </c>
      <c r="X15" s="1354"/>
      <c r="Y15" s="3773" t="s">
        <v>1690</v>
      </c>
      <c r="Z15" s="1355" t="str">
        <f t="shared" si="7"/>
        <v>办公集聚程度</v>
      </c>
      <c r="AA15" s="1352">
        <f t="shared" si="3"/>
        <v>1</v>
      </c>
      <c r="AB15" s="1352">
        <f t="shared" si="4"/>
        <v>1</v>
      </c>
      <c r="AC15" s="1959">
        <f t="shared" si="5"/>
        <v>1</v>
      </c>
    </row>
    <row r="16" spans="1:29" ht="15">
      <c r="A16" s="379"/>
      <c r="B16" s="578"/>
      <c r="C16" s="1901"/>
      <c r="D16" s="399"/>
      <c r="E16" s="398"/>
      <c r="F16" s="399"/>
      <c r="G16" s="1901"/>
      <c r="H16" s="401"/>
      <c r="I16" s="398"/>
      <c r="J16" s="399"/>
      <c r="K16" s="564"/>
      <c r="L16" s="2719"/>
      <c r="M16" s="2713"/>
      <c r="N16" s="2713"/>
      <c r="O16" s="2713"/>
      <c r="P16" s="3781"/>
      <c r="Q16" s="1351"/>
      <c r="R16" s="705"/>
      <c r="S16" s="706"/>
      <c r="T16" s="705"/>
      <c r="U16" s="706"/>
      <c r="V16" s="705"/>
      <c r="W16" s="706"/>
      <c r="X16" s="1354"/>
      <c r="Y16" s="3774"/>
      <c r="Z16" s="1355"/>
      <c r="AA16" s="1352">
        <v>1</v>
      </c>
      <c r="AB16" s="1352">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1"/>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959">
        <f t="shared" si="5"/>
        <v>1</v>
      </c>
    </row>
    <row r="18" spans="1:29" ht="15">
      <c r="A18" s="379"/>
      <c r="B18" s="580"/>
      <c r="C18" s="1961"/>
      <c r="D18" s="401"/>
      <c r="E18" s="1899"/>
      <c r="F18" s="401"/>
      <c r="G18" s="1900"/>
      <c r="H18" s="399"/>
      <c r="I18" s="1900"/>
      <c r="J18" s="399"/>
      <c r="K18" s="564"/>
      <c r="L18" s="2719"/>
      <c r="M18" s="2713"/>
      <c r="N18" s="2713"/>
      <c r="O18" s="2713"/>
      <c r="P18" s="3781"/>
      <c r="Q18" s="1351"/>
      <c r="R18" s="705"/>
      <c r="S18" s="706"/>
      <c r="T18" s="705"/>
      <c r="U18" s="706"/>
      <c r="V18" s="705"/>
      <c r="W18" s="706"/>
      <c r="X18" s="1354"/>
      <c r="Y18" s="3774"/>
      <c r="Z18" s="1355"/>
      <c r="AA18" s="1352">
        <v>1</v>
      </c>
      <c r="AB18" s="1352">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1"/>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959">
        <f t="shared" si="5"/>
        <v>1</v>
      </c>
    </row>
    <row r="20" spans="1:29" ht="15">
      <c r="A20" s="379"/>
      <c r="B20" s="580"/>
      <c r="C20" s="1901"/>
      <c r="D20" s="399"/>
      <c r="E20" s="1894"/>
      <c r="F20" s="399"/>
      <c r="G20" s="1895"/>
      <c r="H20" s="399"/>
      <c r="I20" s="1895"/>
      <c r="J20" s="399"/>
      <c r="K20" s="564"/>
      <c r="L20" s="2719"/>
      <c r="M20" s="2713"/>
      <c r="N20" s="2713"/>
      <c r="O20" s="2713"/>
      <c r="P20" s="3781"/>
      <c r="Q20" s="1351"/>
      <c r="R20" s="705"/>
      <c r="S20" s="706"/>
      <c r="T20" s="705"/>
      <c r="U20" s="706"/>
      <c r="V20" s="705"/>
      <c r="W20" s="706"/>
      <c r="X20" s="1354"/>
      <c r="Y20" s="3774"/>
      <c r="Z20" s="1355"/>
      <c r="AA20" s="1352">
        <v>1</v>
      </c>
      <c r="AB20" s="1352">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1"/>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1"/>
      <c r="H22" s="399"/>
      <c r="I22" s="1901"/>
      <c r="J22" s="399"/>
      <c r="K22" s="1129"/>
      <c r="L22" s="2719"/>
      <c r="M22" s="2713"/>
      <c r="N22" s="2713"/>
      <c r="O22" s="2713"/>
      <c r="P22" s="3781"/>
      <c r="Q22" s="1351"/>
      <c r="R22" s="705"/>
      <c r="S22" s="706"/>
      <c r="T22" s="705"/>
      <c r="U22" s="706"/>
      <c r="V22" s="705"/>
      <c r="W22" s="706"/>
      <c r="X22" s="1354"/>
      <c r="Y22" s="3774"/>
      <c r="Z22" s="1355"/>
      <c r="AA22" s="1352">
        <v>1</v>
      </c>
      <c r="AB22" s="1352">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1"/>
      <c r="Q23" s="1351" t="str">
        <f>B23</f>
        <v>环境质量</v>
      </c>
      <c r="R23" s="705" t="s">
        <v>14</v>
      </c>
      <c r="S23" s="706">
        <f>F23</f>
        <v>100</v>
      </c>
      <c r="T23" s="705" t="s">
        <v>14</v>
      </c>
      <c r="U23" s="706">
        <f>H23</f>
        <v>100</v>
      </c>
      <c r="V23" s="705" t="s">
        <v>14</v>
      </c>
      <c r="W23" s="706">
        <f>J23</f>
        <v>100</v>
      </c>
      <c r="X23" s="1354"/>
      <c r="Y23" s="3774"/>
      <c r="Z23" s="1355" t="str">
        <f>Q23</f>
        <v>环境质量</v>
      </c>
      <c r="AA23" s="1352">
        <f t="shared" si="3"/>
        <v>1</v>
      </c>
      <c r="AB23" s="1352">
        <f t="shared" si="4"/>
        <v>1</v>
      </c>
      <c r="AC23" s="1959">
        <f t="shared" si="5"/>
        <v>1</v>
      </c>
    </row>
    <row r="24" spans="1:29" ht="15">
      <c r="A24" s="379"/>
      <c r="B24" s="581"/>
      <c r="C24" s="1901"/>
      <c r="D24" s="399"/>
      <c r="E24" s="1894"/>
      <c r="F24" s="399"/>
      <c r="G24" s="1895"/>
      <c r="H24" s="399"/>
      <c r="I24" s="1895"/>
      <c r="J24" s="399"/>
      <c r="K24" s="564"/>
      <c r="L24" s="2719"/>
      <c r="M24" s="2713"/>
      <c r="N24" s="2713"/>
      <c r="O24" s="2713"/>
      <c r="P24" s="3781"/>
      <c r="Q24" s="1351"/>
      <c r="R24" s="705"/>
      <c r="S24" s="706"/>
      <c r="T24" s="705"/>
      <c r="U24" s="706"/>
      <c r="V24" s="705"/>
      <c r="W24" s="706"/>
      <c r="X24" s="1354"/>
      <c r="Y24" s="3774"/>
      <c r="Z24" s="1355"/>
      <c r="AA24" s="1352">
        <v>1</v>
      </c>
      <c r="AB24" s="1352">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81"/>
      <c r="Q25" s="1351" t="str">
        <f>B25</f>
        <v>毗邻道路的类型与等级</v>
      </c>
      <c r="R25" s="705" t="s">
        <v>14</v>
      </c>
      <c r="S25" s="706">
        <f>F25</f>
        <v>100</v>
      </c>
      <c r="T25" s="705" t="s">
        <v>14</v>
      </c>
      <c r="U25" s="706">
        <f>H25</f>
        <v>100</v>
      </c>
      <c r="V25" s="705" t="s">
        <v>14</v>
      </c>
      <c r="W25" s="706">
        <f>J25</f>
        <v>100</v>
      </c>
      <c r="X25" s="1354"/>
      <c r="Y25" s="3774"/>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9"/>
      <c r="M26" s="2713"/>
      <c r="N26" s="2713"/>
      <c r="O26" s="2713"/>
      <c r="P26" s="3781"/>
      <c r="Q26" s="1351"/>
      <c r="R26" s="705"/>
      <c r="S26" s="706"/>
      <c r="T26" s="705"/>
      <c r="U26" s="706"/>
      <c r="V26" s="705"/>
      <c r="W26" s="706"/>
      <c r="X26" s="1354"/>
      <c r="Y26" s="3774"/>
      <c r="Z26" s="1355"/>
      <c r="AA26" s="1352">
        <v>1</v>
      </c>
      <c r="AB26" s="1352">
        <v>1</v>
      </c>
      <c r="AC26" s="1959">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1"/>
      <c r="Q27" s="1351" t="str">
        <f t="shared" ref="Q27:Q47" si="11">B27</f>
        <v>楼层</v>
      </c>
      <c r="R27" s="705" t="s">
        <v>14</v>
      </c>
      <c r="S27" s="706">
        <f>F27</f>
        <v>100</v>
      </c>
      <c r="T27" s="705" t="s">
        <v>14</v>
      </c>
      <c r="U27" s="706">
        <f>H27</f>
        <v>100</v>
      </c>
      <c r="V27" s="705" t="s">
        <v>14</v>
      </c>
      <c r="W27" s="706">
        <f>J27</f>
        <v>100</v>
      </c>
      <c r="X27" s="1354"/>
      <c r="Y27" s="3774"/>
      <c r="Z27" s="1355" t="str">
        <f>Q27</f>
        <v>楼层</v>
      </c>
      <c r="AA27" s="1352">
        <f t="shared" si="3"/>
        <v>1</v>
      </c>
      <c r="AB27" s="1352">
        <f t="shared" si="4"/>
        <v>1</v>
      </c>
      <c r="AC27" s="1959">
        <f t="shared" si="5"/>
        <v>1</v>
      </c>
    </row>
    <row r="28" spans="1:29" s="108" customFormat="1" ht="15">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81"/>
      <c r="Q28" s="1342" t="str">
        <f t="shared" si="11"/>
        <v>朝向</v>
      </c>
      <c r="R28" s="701" t="s">
        <v>14</v>
      </c>
      <c r="S28" s="702">
        <f>F28</f>
        <v>100</v>
      </c>
      <c r="T28" s="701" t="s">
        <v>14</v>
      </c>
      <c r="U28" s="702">
        <f>H28</f>
        <v>100</v>
      </c>
      <c r="V28" s="701" t="s">
        <v>14</v>
      </c>
      <c r="W28" s="702">
        <f>J28</f>
        <v>100</v>
      </c>
      <c r="X28" s="703"/>
      <c r="Y28" s="3774"/>
      <c r="Z28" s="52" t="str">
        <f>Q28</f>
        <v>朝向</v>
      </c>
      <c r="AA28" s="1352">
        <f>D28/F28</f>
        <v>1</v>
      </c>
      <c r="AB28" s="1352">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81"/>
      <c r="Q29" s="1351">
        <f t="shared" si="11"/>
        <v>111</v>
      </c>
      <c r="R29" s="705" t="s">
        <v>14</v>
      </c>
      <c r="S29" s="706">
        <f t="shared" ref="S29:S47" si="12">F29</f>
        <v>100</v>
      </c>
      <c r="T29" s="705" t="s">
        <v>14</v>
      </c>
      <c r="U29" s="706">
        <f t="shared" ref="U29:U47" si="13">H29</f>
        <v>100</v>
      </c>
      <c r="V29" s="705" t="s">
        <v>14</v>
      </c>
      <c r="W29" s="706">
        <f t="shared" ref="W29:W47" si="14">J29</f>
        <v>100</v>
      </c>
      <c r="X29" s="1354"/>
      <c r="Y29" s="3774"/>
      <c r="Z29" s="1355">
        <f t="shared" ref="Z29:Z47" si="15">Q29</f>
        <v>111</v>
      </c>
      <c r="AA29" s="1352">
        <f t="shared" si="3"/>
        <v>1</v>
      </c>
      <c r="AB29" s="1352">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81"/>
      <c r="Q30" s="1351">
        <f t="shared" si="11"/>
        <v>111</v>
      </c>
      <c r="R30" s="705" t="s">
        <v>14</v>
      </c>
      <c r="S30" s="706">
        <f t="shared" si="12"/>
        <v>100</v>
      </c>
      <c r="T30" s="705" t="s">
        <v>14</v>
      </c>
      <c r="U30" s="706">
        <f t="shared" si="13"/>
        <v>100</v>
      </c>
      <c r="V30" s="705" t="s">
        <v>14</v>
      </c>
      <c r="W30" s="706">
        <f t="shared" si="14"/>
        <v>100</v>
      </c>
      <c r="X30" s="1354"/>
      <c r="Y30" s="3774"/>
      <c r="Z30" s="1355">
        <f t="shared" si="15"/>
        <v>111</v>
      </c>
      <c r="AA30" s="1352">
        <f t="shared" si="3"/>
        <v>1</v>
      </c>
      <c r="AB30" s="1352">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81"/>
      <c r="Q31" s="1351">
        <f t="shared" si="11"/>
        <v>111</v>
      </c>
      <c r="R31" s="705" t="s">
        <v>14</v>
      </c>
      <c r="S31" s="706">
        <f t="shared" si="12"/>
        <v>100</v>
      </c>
      <c r="T31" s="705" t="s">
        <v>14</v>
      </c>
      <c r="U31" s="706">
        <f t="shared" si="13"/>
        <v>100</v>
      </c>
      <c r="V31" s="705" t="s">
        <v>14</v>
      </c>
      <c r="W31" s="706">
        <f t="shared" si="14"/>
        <v>100</v>
      </c>
      <c r="X31" s="1354"/>
      <c r="Y31" s="3774"/>
      <c r="Z31" s="1355">
        <f t="shared" si="15"/>
        <v>111</v>
      </c>
      <c r="AA31" s="1352">
        <f t="shared" si="3"/>
        <v>1</v>
      </c>
      <c r="AB31" s="1352">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81"/>
      <c r="Q32" s="1351">
        <f t="shared" si="11"/>
        <v>111</v>
      </c>
      <c r="R32" s="705" t="s">
        <v>14</v>
      </c>
      <c r="S32" s="706">
        <f t="shared" si="12"/>
        <v>100</v>
      </c>
      <c r="T32" s="705" t="s">
        <v>14</v>
      </c>
      <c r="U32" s="706">
        <f t="shared" si="13"/>
        <v>100</v>
      </c>
      <c r="V32" s="705" t="s">
        <v>14</v>
      </c>
      <c r="W32" s="706">
        <f t="shared" si="14"/>
        <v>100</v>
      </c>
      <c r="X32" s="1354"/>
      <c r="Y32" s="3774"/>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75" t="s">
        <v>1695</v>
      </c>
      <c r="Q33" s="1351" t="str">
        <f t="shared" si="11"/>
        <v>建筑类型</v>
      </c>
      <c r="R33" s="705" t="s">
        <v>14</v>
      </c>
      <c r="S33" s="706">
        <f t="shared" si="12"/>
        <v>100</v>
      </c>
      <c r="T33" s="705" t="s">
        <v>14</v>
      </c>
      <c r="U33" s="706">
        <f t="shared" si="13"/>
        <v>100</v>
      </c>
      <c r="V33" s="705" t="s">
        <v>14</v>
      </c>
      <c r="W33" s="706">
        <f t="shared" si="14"/>
        <v>100</v>
      </c>
      <c r="X33" s="1354"/>
      <c r="Y33" s="3778"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6"/>
      <c r="Q34" s="707" t="str">
        <f t="shared" si="11"/>
        <v>项目建筑规模</v>
      </c>
      <c r="R34" s="708" t="s">
        <v>14</v>
      </c>
      <c r="S34" s="709" t="e">
        <f t="shared" si="12"/>
        <v>#N/A</v>
      </c>
      <c r="T34" s="708" t="s">
        <v>14</v>
      </c>
      <c r="U34" s="709" t="e">
        <f t="shared" si="13"/>
        <v>#N/A</v>
      </c>
      <c r="V34" s="708" t="s">
        <v>14</v>
      </c>
      <c r="W34" s="709" t="e">
        <f t="shared" si="14"/>
        <v>#N/A</v>
      </c>
      <c r="X34" s="710"/>
      <c r="Y34" s="3778"/>
      <c r="Z34" s="711"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6"/>
      <c r="Q35" s="1351" t="str">
        <f t="shared" si="11"/>
        <v>建筑结构</v>
      </c>
      <c r="R35" s="705" t="s">
        <v>14</v>
      </c>
      <c r="S35" s="706">
        <f t="shared" si="12"/>
        <v>100</v>
      </c>
      <c r="T35" s="705" t="s">
        <v>14</v>
      </c>
      <c r="U35" s="706">
        <f t="shared" si="13"/>
        <v>100</v>
      </c>
      <c r="V35" s="705" t="s">
        <v>14</v>
      </c>
      <c r="W35" s="706">
        <f t="shared" si="14"/>
        <v>100</v>
      </c>
      <c r="X35" s="1354"/>
      <c r="Y35" s="3778"/>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6"/>
      <c r="Q36" s="1351" t="str">
        <f t="shared" si="11"/>
        <v>公共部分装修</v>
      </c>
      <c r="R36" s="705" t="s">
        <v>14</v>
      </c>
      <c r="S36" s="706">
        <f t="shared" si="12"/>
        <v>100</v>
      </c>
      <c r="T36" s="705" t="s">
        <v>14</v>
      </c>
      <c r="U36" s="706">
        <f t="shared" si="13"/>
        <v>100</v>
      </c>
      <c r="V36" s="705" t="s">
        <v>14</v>
      </c>
      <c r="W36" s="706">
        <f t="shared" si="14"/>
        <v>100</v>
      </c>
      <c r="X36" s="1354"/>
      <c r="Y36" s="3778"/>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6"/>
      <c r="Q37" s="1351" t="str">
        <f t="shared" si="11"/>
        <v>成新度</v>
      </c>
      <c r="R37" s="705" t="s">
        <v>14</v>
      </c>
      <c r="S37" s="706" t="e">
        <f t="shared" si="12"/>
        <v>#N/A</v>
      </c>
      <c r="T37" s="705" t="s">
        <v>14</v>
      </c>
      <c r="U37" s="706" t="e">
        <f t="shared" si="13"/>
        <v>#N/A</v>
      </c>
      <c r="V37" s="705" t="s">
        <v>14</v>
      </c>
      <c r="W37" s="706" t="e">
        <f t="shared" si="14"/>
        <v>#N/A</v>
      </c>
      <c r="X37" s="1354"/>
      <c r="Y37" s="3778"/>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6"/>
      <c r="Q38" s="1342" t="str">
        <f t="shared" si="11"/>
        <v>写字楼等级</v>
      </c>
      <c r="R38" s="701" t="s">
        <v>14</v>
      </c>
      <c r="S38" s="702">
        <f t="shared" si="12"/>
        <v>100</v>
      </c>
      <c r="T38" s="701" t="s">
        <v>14</v>
      </c>
      <c r="U38" s="702">
        <f t="shared" si="13"/>
        <v>100</v>
      </c>
      <c r="V38" s="701" t="s">
        <v>14</v>
      </c>
      <c r="W38" s="702">
        <f t="shared" si="14"/>
        <v>100</v>
      </c>
      <c r="X38" s="703"/>
      <c r="Y38" s="3778"/>
      <c r="Z38" s="52" t="str">
        <f t="shared" si="15"/>
        <v>写字楼等级</v>
      </c>
      <c r="AA38" s="704">
        <f t="shared" si="3"/>
        <v>1</v>
      </c>
      <c r="AB38" s="704">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6" t="s">
        <v>1695</v>
      </c>
      <c r="Q39" s="1351" t="str">
        <f t="shared" si="11"/>
        <v>物业管理</v>
      </c>
      <c r="R39" s="705" t="s">
        <v>14</v>
      </c>
      <c r="S39" s="706">
        <f t="shared" si="12"/>
        <v>100</v>
      </c>
      <c r="T39" s="705" t="s">
        <v>14</v>
      </c>
      <c r="U39" s="706">
        <f t="shared" si="13"/>
        <v>100</v>
      </c>
      <c r="V39" s="705" t="s">
        <v>14</v>
      </c>
      <c r="W39" s="706">
        <f t="shared" si="14"/>
        <v>100</v>
      </c>
      <c r="X39" s="1354"/>
      <c r="Y39" s="3778"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6"/>
      <c r="Q40" s="1351" t="str">
        <f t="shared" si="11"/>
        <v>市政基础设施</v>
      </c>
      <c r="R40" s="705" t="s">
        <v>14</v>
      </c>
      <c r="S40" s="706">
        <f t="shared" si="12"/>
        <v>100</v>
      </c>
      <c r="T40" s="705" t="s">
        <v>14</v>
      </c>
      <c r="U40" s="706">
        <f t="shared" si="13"/>
        <v>100</v>
      </c>
      <c r="V40" s="705" t="s">
        <v>14</v>
      </c>
      <c r="W40" s="706">
        <f t="shared" si="14"/>
        <v>100</v>
      </c>
      <c r="X40" s="1354"/>
      <c r="Y40" s="3778"/>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6"/>
      <c r="Q41" s="1351" t="str">
        <f t="shared" si="11"/>
        <v>层高</v>
      </c>
      <c r="R41" s="705" t="s">
        <v>14</v>
      </c>
      <c r="S41" s="706">
        <f t="shared" si="12"/>
        <v>100</v>
      </c>
      <c r="T41" s="705" t="s">
        <v>14</v>
      </c>
      <c r="U41" s="706">
        <f t="shared" si="13"/>
        <v>100</v>
      </c>
      <c r="V41" s="705" t="s">
        <v>14</v>
      </c>
      <c r="W41" s="706">
        <f t="shared" si="14"/>
        <v>100</v>
      </c>
      <c r="X41" s="1354"/>
      <c r="Y41" s="3778"/>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6"/>
      <c r="Q42" s="707" t="str">
        <f t="shared" si="11"/>
        <v>单套建筑面积</v>
      </c>
      <c r="R42" s="708" t="s">
        <v>14</v>
      </c>
      <c r="S42" s="709">
        <f t="shared" si="12"/>
        <v>100</v>
      </c>
      <c r="T42" s="708" t="s">
        <v>14</v>
      </c>
      <c r="U42" s="709">
        <f t="shared" si="13"/>
        <v>100</v>
      </c>
      <c r="V42" s="708" t="s">
        <v>14</v>
      </c>
      <c r="W42" s="709">
        <f t="shared" si="14"/>
        <v>100</v>
      </c>
      <c r="X42" s="710"/>
      <c r="Y42" s="3778"/>
      <c r="Z42" s="711"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6"/>
      <c r="Q43" s="1351" t="str">
        <f t="shared" si="11"/>
        <v>内部装修</v>
      </c>
      <c r="R43" s="705" t="s">
        <v>14</v>
      </c>
      <c r="S43" s="706">
        <f t="shared" si="12"/>
        <v>100</v>
      </c>
      <c r="T43" s="705" t="s">
        <v>14</v>
      </c>
      <c r="U43" s="706">
        <f t="shared" si="13"/>
        <v>100</v>
      </c>
      <c r="V43" s="705" t="s">
        <v>14</v>
      </c>
      <c r="W43" s="706">
        <f t="shared" si="14"/>
        <v>100</v>
      </c>
      <c r="X43" s="1354"/>
      <c r="Y43" s="3778"/>
      <c r="Z43" s="1355" t="str">
        <f t="shared" si="15"/>
        <v>内部装修</v>
      </c>
      <c r="AA43" s="1352">
        <f t="shared" si="3"/>
        <v>1</v>
      </c>
      <c r="AB43" s="1352">
        <f t="shared" si="4"/>
        <v>1</v>
      </c>
      <c r="AC43" s="1959">
        <f t="shared" si="5"/>
        <v>1</v>
      </c>
    </row>
    <row r="44" spans="1:29" ht="15">
      <c r="A44" s="423"/>
      <c r="B44" s="375" t="s">
        <v>1706</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76"/>
      <c r="Q44" s="1351" t="str">
        <f t="shared" si="11"/>
        <v>内部装修维护情况</v>
      </c>
      <c r="R44" s="705" t="s">
        <v>14</v>
      </c>
      <c r="S44" s="706">
        <f t="shared" si="12"/>
        <v>100</v>
      </c>
      <c r="T44" s="705" t="s">
        <v>14</v>
      </c>
      <c r="U44" s="706">
        <f t="shared" si="13"/>
        <v>100</v>
      </c>
      <c r="V44" s="705" t="s">
        <v>14</v>
      </c>
      <c r="W44" s="706">
        <f t="shared" si="14"/>
        <v>100</v>
      </c>
      <c r="X44" s="1354"/>
      <c r="Y44" s="3778"/>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6"/>
      <c r="Q45" s="1342">
        <f t="shared" si="11"/>
        <v>111</v>
      </c>
      <c r="R45" s="701" t="s">
        <v>14</v>
      </c>
      <c r="S45" s="702">
        <f t="shared" si="12"/>
        <v>100</v>
      </c>
      <c r="T45" s="701" t="s">
        <v>14</v>
      </c>
      <c r="U45" s="702">
        <f t="shared" si="13"/>
        <v>100</v>
      </c>
      <c r="V45" s="701" t="s">
        <v>14</v>
      </c>
      <c r="W45" s="702">
        <f t="shared" si="14"/>
        <v>100</v>
      </c>
      <c r="X45" s="703"/>
      <c r="Y45" s="3778"/>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6"/>
      <c r="Q46" s="1351">
        <f t="shared" si="11"/>
        <v>111</v>
      </c>
      <c r="R46" s="705" t="s">
        <v>14</v>
      </c>
      <c r="S46" s="706">
        <f t="shared" si="12"/>
        <v>100</v>
      </c>
      <c r="T46" s="705" t="s">
        <v>14</v>
      </c>
      <c r="U46" s="706">
        <f t="shared" si="13"/>
        <v>100</v>
      </c>
      <c r="V46" s="705" t="s">
        <v>14</v>
      </c>
      <c r="W46" s="706">
        <f t="shared" si="14"/>
        <v>100</v>
      </c>
      <c r="X46" s="1354"/>
      <c r="Y46" s="3778"/>
      <c r="Z46" s="1355">
        <f t="shared" si="15"/>
        <v>111</v>
      </c>
      <c r="AA46" s="1352">
        <f t="shared" si="3"/>
        <v>1</v>
      </c>
      <c r="AB46" s="1352">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77"/>
      <c r="Q47" s="1351">
        <f t="shared" si="11"/>
        <v>111</v>
      </c>
      <c r="R47" s="705" t="s">
        <v>14</v>
      </c>
      <c r="S47" s="706">
        <f t="shared" si="12"/>
        <v>100</v>
      </c>
      <c r="T47" s="705" t="s">
        <v>14</v>
      </c>
      <c r="U47" s="706">
        <f t="shared" si="13"/>
        <v>100</v>
      </c>
      <c r="V47" s="705" t="s">
        <v>14</v>
      </c>
      <c r="W47" s="706">
        <f t="shared" si="14"/>
        <v>100</v>
      </c>
      <c r="X47" s="1354"/>
      <c r="Y47" s="3779"/>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4"/>
      <c r="L48" s="2721"/>
      <c r="M48" s="2713"/>
      <c r="N48" s="2713"/>
      <c r="O48" s="2713"/>
      <c r="P48" s="3753" t="str">
        <f>A48</f>
        <v>成交单价（元/平方米）</v>
      </c>
      <c r="Q48" s="3771"/>
      <c r="R48" s="3772">
        <f>E48</f>
        <v>0</v>
      </c>
      <c r="S48" s="3772"/>
      <c r="T48" s="3772">
        <f>G48</f>
        <v>0</v>
      </c>
      <c r="U48" s="3772"/>
      <c r="V48" s="3772">
        <f>I48</f>
        <v>0</v>
      </c>
      <c r="W48" s="3772"/>
      <c r="X48" s="397"/>
      <c r="Y48" s="712"/>
      <c r="Z48" s="397"/>
      <c r="AA48" s="397"/>
      <c r="AB48" s="397"/>
      <c r="AC48" s="578"/>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1"/>
      <c r="M49" s="2713"/>
      <c r="N49" s="2713"/>
      <c r="O49" s="2713"/>
      <c r="P49" s="3753" t="str">
        <f>A49</f>
        <v>比较价值（元/平方米）</v>
      </c>
      <c r="Q49" s="3771"/>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5"/>
      <c r="L50" s="2721"/>
      <c r="M50" s="2713"/>
      <c r="N50" s="2713"/>
      <c r="O50" s="2713"/>
      <c r="P50" s="3794" t="str">
        <f>A50</f>
        <v>估价对象XX用房的比较价值（楼面单价，元/平方米）</v>
      </c>
      <c r="Q50" s="3795"/>
      <c r="R50" s="3796" t="e">
        <f>IF(F1="售价",ROUND(IF(D49="简单平均",AVERAGE(R49:V49),R49*F49+T49*H49+V49*J49),0),ROUND(IF(D49="简单平均",AVERAGE(R49:V49),R49*F49+T49*H49+V49*J49),1))</f>
        <v>#DIV/0!</v>
      </c>
      <c r="S50" s="3796"/>
      <c r="T50" s="3796"/>
      <c r="U50" s="3796"/>
      <c r="V50" s="3796"/>
      <c r="W50" s="3796"/>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48207.299999999996</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912"/>
      <c r="M4" s="913"/>
      <c r="N4" s="913"/>
      <c r="O4" s="9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912"/>
      <c r="M5" s="913"/>
      <c r="N5" s="913"/>
      <c r="O5" s="9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912"/>
      <c r="M6" s="913"/>
      <c r="N6" s="913"/>
      <c r="O6" s="9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9" t="s">
        <v>1682</v>
      </c>
      <c r="Q8" s="3740"/>
      <c r="R8" s="701" t="s">
        <v>14</v>
      </c>
      <c r="S8" s="702">
        <f t="shared" si="0"/>
        <v>100</v>
      </c>
      <c r="T8" s="701" t="s">
        <v>14</v>
      </c>
      <c r="U8" s="702">
        <f t="shared" si="1"/>
        <v>100</v>
      </c>
      <c r="V8" s="701" t="s">
        <v>14</v>
      </c>
      <c r="W8" s="702">
        <f t="shared" si="2"/>
        <v>100</v>
      </c>
      <c r="X8" s="703"/>
      <c r="Y8" s="3739" t="s">
        <v>1682</v>
      </c>
      <c r="Z8" s="374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71"/>
      <c r="Q11" s="1342" t="str">
        <f t="shared" si="6"/>
        <v>容积率</v>
      </c>
      <c r="R11" s="701" t="s">
        <v>14</v>
      </c>
      <c r="S11" s="702">
        <f t="shared" si="0"/>
        <v>100</v>
      </c>
      <c r="T11" s="701" t="s">
        <v>14</v>
      </c>
      <c r="U11" s="702">
        <f t="shared" si="1"/>
        <v>100</v>
      </c>
      <c r="V11" s="701" t="s">
        <v>14</v>
      </c>
      <c r="W11" s="702">
        <f t="shared" si="2"/>
        <v>100</v>
      </c>
      <c r="X11" s="703"/>
      <c r="Y11" s="3664"/>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73" t="s">
        <v>1690</v>
      </c>
      <c r="Q15" s="1351" t="str">
        <f t="shared" si="6"/>
        <v>产业集聚程度</v>
      </c>
      <c r="R15" s="705" t="s">
        <v>14</v>
      </c>
      <c r="S15" s="706">
        <f t="shared" si="0"/>
        <v>100</v>
      </c>
      <c r="T15" s="705" t="s">
        <v>14</v>
      </c>
      <c r="U15" s="706">
        <f t="shared" si="1"/>
        <v>100</v>
      </c>
      <c r="V15" s="705" t="s">
        <v>14</v>
      </c>
      <c r="W15" s="706">
        <f t="shared" si="2"/>
        <v>100</v>
      </c>
      <c r="X15" s="1354"/>
      <c r="Y15" s="3773"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74"/>
      <c r="Q16" s="1351"/>
      <c r="R16" s="705"/>
      <c r="S16" s="706"/>
      <c r="T16" s="705"/>
      <c r="U16" s="706"/>
      <c r="V16" s="705"/>
      <c r="W16" s="706"/>
      <c r="X16" s="1354"/>
      <c r="Y16" s="3774"/>
      <c r="Z16" s="1355"/>
      <c r="AA16" s="1352">
        <v>1</v>
      </c>
      <c r="AB16" s="1352">
        <v>1</v>
      </c>
      <c r="AC16" s="1352">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74"/>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407"/>
      <c r="C18" s="1898"/>
      <c r="D18" s="401"/>
      <c r="E18" s="1900"/>
      <c r="F18" s="404"/>
      <c r="G18" s="1899"/>
      <c r="H18" s="399"/>
      <c r="I18" s="1900"/>
      <c r="J18" s="399"/>
      <c r="K18" s="564"/>
      <c r="L18" s="922"/>
      <c r="M18" s="913"/>
      <c r="N18" s="913"/>
      <c r="O18" s="921"/>
      <c r="P18" s="3774"/>
      <c r="Q18" s="1351"/>
      <c r="R18" s="705"/>
      <c r="S18" s="706"/>
      <c r="T18" s="705"/>
      <c r="U18" s="706"/>
      <c r="V18" s="705"/>
      <c r="W18" s="706"/>
      <c r="X18" s="1354"/>
      <c r="Y18" s="3774"/>
      <c r="Z18" s="1355"/>
      <c r="AA18" s="1352">
        <v>1</v>
      </c>
      <c r="AB18" s="1352">
        <v>1</v>
      </c>
      <c r="AC18" s="1352">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74"/>
      <c r="Q19" s="1351" t="str">
        <f>B19</f>
        <v>公共配套设施</v>
      </c>
      <c r="R19" s="705" t="s">
        <v>14</v>
      </c>
      <c r="S19" s="706">
        <f>F19</f>
        <v>100</v>
      </c>
      <c r="T19" s="705" t="s">
        <v>14</v>
      </c>
      <c r="U19" s="706">
        <f>H19</f>
        <v>100</v>
      </c>
      <c r="V19" s="705" t="s">
        <v>14</v>
      </c>
      <c r="W19" s="706">
        <f>J19</f>
        <v>100</v>
      </c>
      <c r="X19" s="1354"/>
      <c r="Y19" s="3774"/>
      <c r="Z19" s="1355" t="str">
        <f>Q19</f>
        <v>公共配套设施</v>
      </c>
      <c r="AA19" s="1352">
        <f t="shared" si="3"/>
        <v>1</v>
      </c>
      <c r="AB19" s="1352">
        <f t="shared" si="4"/>
        <v>1</v>
      </c>
      <c r="AC19" s="1352">
        <f t="shared" si="5"/>
        <v>1</v>
      </c>
    </row>
    <row r="20" spans="1:29" ht="15">
      <c r="A20" s="379"/>
      <c r="B20" s="407"/>
      <c r="C20" s="398"/>
      <c r="D20" s="399"/>
      <c r="E20" s="1895"/>
      <c r="F20" s="400"/>
      <c r="G20" s="1894"/>
      <c r="H20" s="399"/>
      <c r="I20" s="1895"/>
      <c r="J20" s="399"/>
      <c r="K20" s="564"/>
      <c r="L20" s="922"/>
      <c r="M20" s="913"/>
      <c r="N20" s="913"/>
      <c r="O20" s="921"/>
      <c r="P20" s="3774"/>
      <c r="Q20" s="1351"/>
      <c r="R20" s="705"/>
      <c r="S20" s="706"/>
      <c r="T20" s="705"/>
      <c r="U20" s="706"/>
      <c r="V20" s="705"/>
      <c r="W20" s="706"/>
      <c r="X20" s="1354"/>
      <c r="Y20" s="3774"/>
      <c r="Z20" s="1355"/>
      <c r="AA20" s="1352">
        <v>1</v>
      </c>
      <c r="AB20" s="1352">
        <v>1</v>
      </c>
      <c r="AC20" s="1352">
        <v>1</v>
      </c>
    </row>
    <row r="21" spans="1:29" ht="28.5">
      <c r="A21" s="379"/>
      <c r="B21" s="1130"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74"/>
      <c r="Q21" s="1351" t="str">
        <f>B21</f>
        <v>基础设施水平</v>
      </c>
      <c r="R21" s="705" t="s">
        <v>14</v>
      </c>
      <c r="S21" s="706">
        <f>F21</f>
        <v>100</v>
      </c>
      <c r="T21" s="705" t="s">
        <v>14</v>
      </c>
      <c r="U21" s="706">
        <f>H21</f>
        <v>100</v>
      </c>
      <c r="V21" s="705" t="s">
        <v>14</v>
      </c>
      <c r="W21" s="706">
        <f>J21</f>
        <v>100</v>
      </c>
      <c r="X21" s="1354"/>
      <c r="Y21" s="3774"/>
      <c r="Z21" s="1355" t="str">
        <f>Q21</f>
        <v>基础设施水平</v>
      </c>
      <c r="AA21" s="1352">
        <f t="shared" ref="AA21" si="8">D21/F21</f>
        <v>1</v>
      </c>
      <c r="AB21" s="1352">
        <f t="shared" ref="AB21" si="9">D21/H21</f>
        <v>1</v>
      </c>
      <c r="AC21" s="1352">
        <f t="shared" ref="AC21" si="10">D21/J21</f>
        <v>1</v>
      </c>
    </row>
    <row r="22" spans="1:29" ht="15">
      <c r="A22" s="379"/>
      <c r="B22" s="1130"/>
      <c r="C22" s="1898"/>
      <c r="D22" s="399"/>
      <c r="E22" s="398"/>
      <c r="F22" s="400"/>
      <c r="G22" s="398"/>
      <c r="H22" s="399"/>
      <c r="I22" s="398"/>
      <c r="J22" s="399"/>
      <c r="K22" s="1129"/>
      <c r="L22" s="922"/>
      <c r="M22" s="913"/>
      <c r="N22" s="913"/>
      <c r="O22" s="921"/>
      <c r="P22" s="3774"/>
      <c r="Q22" s="1351"/>
      <c r="R22" s="705"/>
      <c r="S22" s="706"/>
      <c r="T22" s="705"/>
      <c r="U22" s="706"/>
      <c r="V22" s="705"/>
      <c r="W22" s="706"/>
      <c r="X22" s="1354"/>
      <c r="Y22" s="3774"/>
      <c r="Z22" s="1355"/>
      <c r="AA22" s="1352">
        <v>1</v>
      </c>
      <c r="AB22" s="1352">
        <v>1</v>
      </c>
      <c r="AC22" s="1352">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74"/>
      <c r="Q23" s="1351" t="str">
        <f>B23</f>
        <v>环境质量</v>
      </c>
      <c r="R23" s="705" t="s">
        <v>14</v>
      </c>
      <c r="S23" s="706">
        <f>F23</f>
        <v>100</v>
      </c>
      <c r="T23" s="705" t="s">
        <v>14</v>
      </c>
      <c r="U23" s="706">
        <f>H23</f>
        <v>100</v>
      </c>
      <c r="V23" s="705" t="s">
        <v>14</v>
      </c>
      <c r="W23" s="706">
        <f>J23</f>
        <v>100</v>
      </c>
      <c r="X23" s="1354"/>
      <c r="Y23" s="3774"/>
      <c r="Z23" s="1355" t="str">
        <f>Q23</f>
        <v>环境质量</v>
      </c>
      <c r="AA23" s="1352">
        <f t="shared" si="3"/>
        <v>1</v>
      </c>
      <c r="AB23" s="1352">
        <f t="shared" si="4"/>
        <v>1</v>
      </c>
      <c r="AC23" s="1352">
        <f t="shared" si="5"/>
        <v>1</v>
      </c>
    </row>
    <row r="24" spans="1:29" ht="15">
      <c r="A24" s="379"/>
      <c r="B24" s="1130"/>
      <c r="C24" s="398"/>
      <c r="D24" s="399"/>
      <c r="E24" s="1895"/>
      <c r="F24" s="400"/>
      <c r="G24" s="1894"/>
      <c r="H24" s="399"/>
      <c r="I24" s="1895"/>
      <c r="J24" s="399"/>
      <c r="K24" s="564"/>
      <c r="L24" s="922"/>
      <c r="M24" s="913"/>
      <c r="N24" s="913"/>
      <c r="O24" s="921"/>
      <c r="P24" s="3774"/>
      <c r="Q24" s="1351"/>
      <c r="R24" s="705"/>
      <c r="S24" s="706"/>
      <c r="T24" s="705"/>
      <c r="U24" s="706"/>
      <c r="V24" s="705"/>
      <c r="W24" s="706"/>
      <c r="X24" s="1354"/>
      <c r="Y24" s="377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74"/>
      <c r="Q25" s="1351">
        <f>B25</f>
        <v>111</v>
      </c>
      <c r="R25" s="705" t="s">
        <v>14</v>
      </c>
      <c r="S25" s="706">
        <f>F25</f>
        <v>100</v>
      </c>
      <c r="T25" s="705" t="s">
        <v>14</v>
      </c>
      <c r="U25" s="706">
        <f>H25</f>
        <v>100</v>
      </c>
      <c r="V25" s="705" t="s">
        <v>14</v>
      </c>
      <c r="W25" s="706">
        <f>J25</f>
        <v>100</v>
      </c>
      <c r="X25" s="1354"/>
      <c r="Y25" s="377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74"/>
      <c r="Q26" s="1351">
        <f t="shared" ref="Q26:Q40" si="11">B26</f>
        <v>111</v>
      </c>
      <c r="R26" s="705" t="s">
        <v>14</v>
      </c>
      <c r="S26" s="706">
        <f>F26</f>
        <v>100</v>
      </c>
      <c r="T26" s="705" t="s">
        <v>14</v>
      </c>
      <c r="U26" s="706">
        <f>H26</f>
        <v>100</v>
      </c>
      <c r="V26" s="705" t="s">
        <v>14</v>
      </c>
      <c r="W26" s="706">
        <f>J26</f>
        <v>100</v>
      </c>
      <c r="X26" s="1354"/>
      <c r="Y26" s="377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74"/>
      <c r="Q27" s="1342">
        <f t="shared" si="11"/>
        <v>111</v>
      </c>
      <c r="R27" s="701" t="s">
        <v>14</v>
      </c>
      <c r="S27" s="702">
        <f>F27</f>
        <v>100</v>
      </c>
      <c r="T27" s="701" t="s">
        <v>14</v>
      </c>
      <c r="U27" s="702">
        <f>H27</f>
        <v>100</v>
      </c>
      <c r="V27" s="701" t="s">
        <v>14</v>
      </c>
      <c r="W27" s="702">
        <f>J27</f>
        <v>100</v>
      </c>
      <c r="X27" s="703"/>
      <c r="Y27" s="377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74"/>
      <c r="Q28" s="1351">
        <f t="shared" si="11"/>
        <v>111</v>
      </c>
      <c r="R28" s="705" t="s">
        <v>14</v>
      </c>
      <c r="S28" s="706">
        <f t="shared" ref="S28:S40" si="12">F28</f>
        <v>100</v>
      </c>
      <c r="T28" s="705" t="s">
        <v>14</v>
      </c>
      <c r="U28" s="706">
        <f t="shared" ref="U28:U40" si="13">H28</f>
        <v>100</v>
      </c>
      <c r="V28" s="705" t="s">
        <v>14</v>
      </c>
      <c r="W28" s="706">
        <f t="shared" ref="W28:W40" si="14">J28</f>
        <v>100</v>
      </c>
      <c r="X28" s="1354"/>
      <c r="Y28" s="3774"/>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97" t="s">
        <v>1695</v>
      </c>
      <c r="Q29" s="1351" t="str">
        <f t="shared" si="11"/>
        <v>建筑类型</v>
      </c>
      <c r="R29" s="705" t="s">
        <v>14</v>
      </c>
      <c r="S29" s="706">
        <f t="shared" si="12"/>
        <v>100</v>
      </c>
      <c r="T29" s="705" t="s">
        <v>14</v>
      </c>
      <c r="U29" s="706">
        <f t="shared" si="13"/>
        <v>100</v>
      </c>
      <c r="V29" s="705" t="s">
        <v>14</v>
      </c>
      <c r="W29" s="706">
        <f t="shared" si="14"/>
        <v>100</v>
      </c>
      <c r="X29" s="1354"/>
      <c r="Y29" s="3778"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78"/>
      <c r="Q30" s="707" t="str">
        <f t="shared" si="11"/>
        <v>项目建筑规模</v>
      </c>
      <c r="R30" s="708" t="s">
        <v>14</v>
      </c>
      <c r="S30" s="709" t="e">
        <f t="shared" si="12"/>
        <v>#N/A</v>
      </c>
      <c r="T30" s="708" t="s">
        <v>14</v>
      </c>
      <c r="U30" s="709" t="e">
        <f t="shared" si="13"/>
        <v>#N/A</v>
      </c>
      <c r="V30" s="708" t="s">
        <v>14</v>
      </c>
      <c r="W30" s="709" t="e">
        <f t="shared" si="14"/>
        <v>#N/A</v>
      </c>
      <c r="X30" s="710"/>
      <c r="Y30" s="3778"/>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78"/>
      <c r="Q31" s="1351" t="str">
        <f t="shared" si="11"/>
        <v>建筑结构</v>
      </c>
      <c r="R31" s="705" t="s">
        <v>14</v>
      </c>
      <c r="S31" s="706">
        <f t="shared" si="12"/>
        <v>100</v>
      </c>
      <c r="T31" s="705" t="s">
        <v>14</v>
      </c>
      <c r="U31" s="706">
        <f t="shared" si="13"/>
        <v>100</v>
      </c>
      <c r="V31" s="705" t="s">
        <v>14</v>
      </c>
      <c r="W31" s="706">
        <f t="shared" si="14"/>
        <v>100</v>
      </c>
      <c r="X31" s="1354"/>
      <c r="Y31" s="3778"/>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78"/>
      <c r="Q32" s="1351" t="str">
        <f t="shared" si="11"/>
        <v>公共部分装修</v>
      </c>
      <c r="R32" s="705" t="s">
        <v>14</v>
      </c>
      <c r="S32" s="706">
        <f t="shared" si="12"/>
        <v>100</v>
      </c>
      <c r="T32" s="705" t="s">
        <v>14</v>
      </c>
      <c r="U32" s="706">
        <f t="shared" si="13"/>
        <v>100</v>
      </c>
      <c r="V32" s="705" t="s">
        <v>14</v>
      </c>
      <c r="W32" s="706">
        <f t="shared" si="14"/>
        <v>100</v>
      </c>
      <c r="X32" s="1354"/>
      <c r="Y32" s="3778"/>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78"/>
      <c r="Q33" s="1351" t="str">
        <f t="shared" si="11"/>
        <v>成新度</v>
      </c>
      <c r="R33" s="705" t="s">
        <v>14</v>
      </c>
      <c r="S33" s="706" t="e">
        <f t="shared" si="12"/>
        <v>#N/A</v>
      </c>
      <c r="T33" s="705" t="s">
        <v>14</v>
      </c>
      <c r="U33" s="706" t="e">
        <f t="shared" si="13"/>
        <v>#N/A</v>
      </c>
      <c r="V33" s="705" t="s">
        <v>14</v>
      </c>
      <c r="W33" s="706" t="e">
        <f t="shared" si="14"/>
        <v>#N/A</v>
      </c>
      <c r="X33" s="1354"/>
      <c r="Y33" s="3778"/>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78"/>
      <c r="Q34" s="1342" t="str">
        <f t="shared" si="11"/>
        <v>物业管理</v>
      </c>
      <c r="R34" s="701" t="s">
        <v>14</v>
      </c>
      <c r="S34" s="702">
        <f t="shared" si="12"/>
        <v>100</v>
      </c>
      <c r="T34" s="701" t="s">
        <v>14</v>
      </c>
      <c r="U34" s="702">
        <f t="shared" si="13"/>
        <v>100</v>
      </c>
      <c r="V34" s="701" t="s">
        <v>14</v>
      </c>
      <c r="W34" s="702">
        <f t="shared" si="14"/>
        <v>100</v>
      </c>
      <c r="X34" s="703"/>
      <c r="Y34" s="3778"/>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78" t="s">
        <v>1695</v>
      </c>
      <c r="Q35" s="1351" t="str">
        <f t="shared" si="11"/>
        <v>市政基础设施</v>
      </c>
      <c r="R35" s="705" t="s">
        <v>14</v>
      </c>
      <c r="S35" s="706">
        <f t="shared" si="12"/>
        <v>100</v>
      </c>
      <c r="T35" s="705" t="s">
        <v>14</v>
      </c>
      <c r="U35" s="706">
        <f t="shared" si="13"/>
        <v>100</v>
      </c>
      <c r="V35" s="705" t="s">
        <v>14</v>
      </c>
      <c r="W35" s="706">
        <f t="shared" si="14"/>
        <v>100</v>
      </c>
      <c r="X35" s="1354"/>
      <c r="Y35" s="3778"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78"/>
      <c r="Q36" s="1351" t="str">
        <f t="shared" si="11"/>
        <v>内部装修</v>
      </c>
      <c r="R36" s="705" t="s">
        <v>14</v>
      </c>
      <c r="S36" s="706">
        <f t="shared" si="12"/>
        <v>100</v>
      </c>
      <c r="T36" s="705" t="s">
        <v>14</v>
      </c>
      <c r="U36" s="706">
        <f t="shared" si="13"/>
        <v>100</v>
      </c>
      <c r="V36" s="705" t="s">
        <v>14</v>
      </c>
      <c r="W36" s="706">
        <f t="shared" si="14"/>
        <v>100</v>
      </c>
      <c r="X36" s="1354"/>
      <c r="Y36" s="3778"/>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78"/>
      <c r="Q37" s="1351" t="str">
        <f t="shared" si="11"/>
        <v>内部装修状况</v>
      </c>
      <c r="R37" s="705" t="s">
        <v>14</v>
      </c>
      <c r="S37" s="706">
        <f t="shared" si="12"/>
        <v>100</v>
      </c>
      <c r="T37" s="705" t="s">
        <v>14</v>
      </c>
      <c r="U37" s="706">
        <f t="shared" si="13"/>
        <v>100</v>
      </c>
      <c r="V37" s="705" t="s">
        <v>14</v>
      </c>
      <c r="W37" s="706">
        <f t="shared" si="14"/>
        <v>100</v>
      </c>
      <c r="X37" s="1354"/>
      <c r="Y37" s="377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78"/>
      <c r="Q38" s="707">
        <f t="shared" si="11"/>
        <v>111</v>
      </c>
      <c r="R38" s="708" t="s">
        <v>14</v>
      </c>
      <c r="S38" s="709">
        <f t="shared" si="12"/>
        <v>100</v>
      </c>
      <c r="T38" s="708" t="s">
        <v>14</v>
      </c>
      <c r="U38" s="709">
        <f t="shared" si="13"/>
        <v>100</v>
      </c>
      <c r="V38" s="708" t="s">
        <v>14</v>
      </c>
      <c r="W38" s="709">
        <f t="shared" si="14"/>
        <v>100</v>
      </c>
      <c r="X38" s="710"/>
      <c r="Y38" s="3778"/>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78"/>
      <c r="Q39" s="1351">
        <f t="shared" si="11"/>
        <v>111</v>
      </c>
      <c r="R39" s="705" t="s">
        <v>14</v>
      </c>
      <c r="S39" s="706">
        <f t="shared" si="12"/>
        <v>100</v>
      </c>
      <c r="T39" s="705" t="s">
        <v>14</v>
      </c>
      <c r="U39" s="706">
        <f t="shared" si="13"/>
        <v>100</v>
      </c>
      <c r="V39" s="705" t="s">
        <v>14</v>
      </c>
      <c r="W39" s="706">
        <f t="shared" si="14"/>
        <v>100</v>
      </c>
      <c r="X39" s="1354"/>
      <c r="Y39" s="3778"/>
      <c r="Z39" s="1355">
        <f t="shared" si="15"/>
        <v>111</v>
      </c>
      <c r="AA39" s="1352">
        <f t="shared" si="3"/>
        <v>1</v>
      </c>
      <c r="AB39" s="1352">
        <f t="shared" si="4"/>
        <v>1</v>
      </c>
      <c r="AC39" s="1352">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79"/>
      <c r="Q40" s="1351">
        <f t="shared" si="11"/>
        <v>111</v>
      </c>
      <c r="R40" s="705" t="s">
        <v>14</v>
      </c>
      <c r="S40" s="706">
        <f t="shared" si="12"/>
        <v>100</v>
      </c>
      <c r="T40" s="705" t="s">
        <v>14</v>
      </c>
      <c r="U40" s="706">
        <f t="shared" si="13"/>
        <v>100</v>
      </c>
      <c r="V40" s="705" t="s">
        <v>14</v>
      </c>
      <c r="W40" s="706">
        <f t="shared" si="14"/>
        <v>100</v>
      </c>
      <c r="X40" s="1354"/>
      <c r="Y40" s="3779"/>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4"/>
      <c r="L41" s="925"/>
      <c r="M41" s="926"/>
      <c r="N41" s="913"/>
      <c r="O41" s="926"/>
      <c r="P41" s="3771" t="str">
        <f>A41</f>
        <v>成交单价（元/平方米）</v>
      </c>
      <c r="Q41" s="3771"/>
      <c r="R41" s="3772">
        <f>E41</f>
        <v>0</v>
      </c>
      <c r="S41" s="3772"/>
      <c r="T41" s="3772">
        <f>G41</f>
        <v>0</v>
      </c>
      <c r="U41" s="3772"/>
      <c r="V41" s="3772">
        <f>I41</f>
        <v>0</v>
      </c>
      <c r="W41" s="3772"/>
      <c r="X41" s="690"/>
      <c r="Y41" s="712"/>
      <c r="Z41" s="690"/>
      <c r="AA41" s="690"/>
      <c r="AB41" s="690"/>
      <c r="AC41" s="690"/>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90"/>
      <c r="Y42" s="690"/>
      <c r="Z42" s="690"/>
      <c r="AA42" s="690"/>
      <c r="AB42" s="690"/>
      <c r="AC42" s="690"/>
    </row>
    <row r="43" spans="1:29" ht="15.75" thickBot="1">
      <c r="A43" s="441" t="s">
        <v>1793</v>
      </c>
      <c r="B43" s="442"/>
      <c r="C43" s="1162" t="e">
        <f>R43</f>
        <v>#DIV/0!</v>
      </c>
      <c r="D43" s="1162"/>
      <c r="E43" s="1162"/>
      <c r="F43" s="1162"/>
      <c r="G43" s="1162"/>
      <c r="H43" s="1162"/>
      <c r="I43" s="1162"/>
      <c r="J43" s="1162"/>
      <c r="K43" s="715"/>
      <c r="L43" s="925"/>
      <c r="M43" s="926"/>
      <c r="N43" s="926"/>
      <c r="O43" s="926"/>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90"/>
      <c r="Y43" s="690"/>
      <c r="Z43" s="690"/>
      <c r="AA43" s="690"/>
      <c r="AB43" s="690"/>
      <c r="AC43" s="690"/>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3332</v>
      </c>
      <c r="C1" s="1223" t="s">
        <v>1661</v>
      </c>
      <c r="D1" s="1224"/>
      <c r="E1" s="3430"/>
      <c r="F1" s="1876"/>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9"/>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9" t="s">
        <v>1679</v>
      </c>
      <c r="Q7" s="3767"/>
      <c r="R7" s="701" t="s">
        <v>14</v>
      </c>
      <c r="S7" s="702">
        <f t="shared" ref="S7:S14" si="0">F7</f>
        <v>0</v>
      </c>
      <c r="T7" s="701" t="s">
        <v>14</v>
      </c>
      <c r="U7" s="702">
        <f t="shared" ref="U7:U14" si="1">H7</f>
        <v>0</v>
      </c>
      <c r="V7" s="701" t="s">
        <v>14</v>
      </c>
      <c r="W7" s="702">
        <f t="shared" ref="W7:W14"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1"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1"/>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73" t="s">
        <v>1690</v>
      </c>
      <c r="Q14" s="1351" t="str">
        <f t="shared" si="6"/>
        <v>交通便捷度</v>
      </c>
      <c r="R14" s="705" t="s">
        <v>14</v>
      </c>
      <c r="S14" s="706">
        <f t="shared" si="0"/>
        <v>100</v>
      </c>
      <c r="T14" s="705" t="s">
        <v>14</v>
      </c>
      <c r="U14" s="706">
        <f t="shared" si="1"/>
        <v>100</v>
      </c>
      <c r="V14" s="705" t="s">
        <v>14</v>
      </c>
      <c r="W14" s="706">
        <f t="shared" si="2"/>
        <v>100</v>
      </c>
      <c r="X14" s="1354"/>
      <c r="Y14" s="3773"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74"/>
      <c r="Q15" s="1351"/>
      <c r="R15" s="705"/>
      <c r="S15" s="706"/>
      <c r="T15" s="705"/>
      <c r="U15" s="706"/>
      <c r="V15" s="705"/>
      <c r="W15" s="706"/>
      <c r="X15" s="1354"/>
      <c r="Y15" s="3774"/>
      <c r="Z15" s="1355"/>
      <c r="AA15" s="1352">
        <v>1</v>
      </c>
      <c r="AB15" s="1352">
        <v>1</v>
      </c>
      <c r="AC15" s="1352">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4"/>
      <c r="Q16" s="1351" t="str">
        <f>B16</f>
        <v>公共配套设施</v>
      </c>
      <c r="R16" s="705" t="s">
        <v>14</v>
      </c>
      <c r="S16" s="706">
        <f>F16</f>
        <v>100</v>
      </c>
      <c r="T16" s="705" t="s">
        <v>14</v>
      </c>
      <c r="U16" s="706">
        <f>H16</f>
        <v>100</v>
      </c>
      <c r="V16" s="705" t="s">
        <v>14</v>
      </c>
      <c r="W16" s="706">
        <f>J16</f>
        <v>100</v>
      </c>
      <c r="X16" s="1354"/>
      <c r="Y16" s="3774"/>
      <c r="Z16" s="1355" t="str">
        <f>Q16</f>
        <v>公共配套设施</v>
      </c>
      <c r="AA16" s="1352">
        <f t="shared" si="3"/>
        <v>1</v>
      </c>
      <c r="AB16" s="1352">
        <f t="shared" si="4"/>
        <v>1</v>
      </c>
      <c r="AC16" s="1352">
        <f t="shared" si="5"/>
        <v>1</v>
      </c>
    </row>
    <row r="17" spans="1:29" ht="15">
      <c r="A17" s="358"/>
      <c r="B17" s="580"/>
      <c r="C17" s="1898"/>
      <c r="D17" s="399"/>
      <c r="E17" s="398"/>
      <c r="F17" s="400"/>
      <c r="G17" s="398"/>
      <c r="H17" s="399"/>
      <c r="I17" s="398"/>
      <c r="J17" s="399"/>
      <c r="K17" s="564"/>
      <c r="L17" s="2719"/>
      <c r="M17" s="2713"/>
      <c r="N17" s="2713"/>
      <c r="O17" s="2713"/>
      <c r="P17" s="3774"/>
      <c r="Q17" s="1351"/>
      <c r="R17" s="705"/>
      <c r="S17" s="706"/>
      <c r="T17" s="705"/>
      <c r="U17" s="706"/>
      <c r="V17" s="705"/>
      <c r="W17" s="706"/>
      <c r="X17" s="1354"/>
      <c r="Y17" s="3774"/>
      <c r="Z17" s="1355"/>
      <c r="AA17" s="1352">
        <v>1</v>
      </c>
      <c r="AB17" s="1352">
        <v>1</v>
      </c>
      <c r="AC17" s="1352">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4"/>
      <c r="Q18" s="1351" t="str">
        <f>B18</f>
        <v>基础设施水平</v>
      </c>
      <c r="R18" s="705" t="s">
        <v>14</v>
      </c>
      <c r="S18" s="706">
        <f>F18</f>
        <v>100</v>
      </c>
      <c r="T18" s="705" t="s">
        <v>14</v>
      </c>
      <c r="U18" s="706">
        <f>H18</f>
        <v>100</v>
      </c>
      <c r="V18" s="705" t="s">
        <v>14</v>
      </c>
      <c r="W18" s="706">
        <f>J18</f>
        <v>100</v>
      </c>
      <c r="X18" s="1354"/>
      <c r="Y18" s="3774"/>
      <c r="Z18" s="1355" t="str">
        <f>Q18</f>
        <v>基础设施水平</v>
      </c>
      <c r="AA18" s="1352">
        <f t="shared" ref="AA18" si="8">D18/F18</f>
        <v>1</v>
      </c>
      <c r="AB18" s="1352">
        <f t="shared" ref="AB18" si="9">D18/H18</f>
        <v>1</v>
      </c>
      <c r="AC18" s="1352">
        <f t="shared" ref="AC18" si="10">D18/J18</f>
        <v>1</v>
      </c>
    </row>
    <row r="19" spans="1:29" ht="15">
      <c r="A19" s="358"/>
      <c r="B19" s="581"/>
      <c r="C19" s="1898"/>
      <c r="D19" s="401"/>
      <c r="E19" s="1898"/>
      <c r="F19" s="404"/>
      <c r="G19" s="1898"/>
      <c r="H19" s="399"/>
      <c r="I19" s="398"/>
      <c r="J19" s="399"/>
      <c r="K19" s="1129"/>
      <c r="L19" s="2719"/>
      <c r="M19" s="2713"/>
      <c r="N19" s="2713"/>
      <c r="O19" s="2713"/>
      <c r="P19" s="3774"/>
      <c r="Q19" s="1351"/>
      <c r="R19" s="705"/>
      <c r="S19" s="706"/>
      <c r="T19" s="705"/>
      <c r="U19" s="706"/>
      <c r="V19" s="705"/>
      <c r="W19" s="706"/>
      <c r="X19" s="1354"/>
      <c r="Y19" s="3774"/>
      <c r="Z19" s="1355"/>
      <c r="AA19" s="1352">
        <v>1</v>
      </c>
      <c r="AB19" s="1352">
        <v>1</v>
      </c>
      <c r="AC19" s="1352">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4"/>
      <c r="Q20" s="1351" t="str">
        <f>B20</f>
        <v>自然及人文环境</v>
      </c>
      <c r="R20" s="705" t="s">
        <v>14</v>
      </c>
      <c r="S20" s="706">
        <f>F20</f>
        <v>100</v>
      </c>
      <c r="T20" s="705" t="s">
        <v>14</v>
      </c>
      <c r="U20" s="706">
        <f>H20</f>
        <v>100</v>
      </c>
      <c r="V20" s="705" t="s">
        <v>14</v>
      </c>
      <c r="W20" s="706">
        <f>J20</f>
        <v>100</v>
      </c>
      <c r="X20" s="1354"/>
      <c r="Y20" s="377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74"/>
      <c r="Q21" s="1351"/>
      <c r="R21" s="705"/>
      <c r="S21" s="706"/>
      <c r="T21" s="705"/>
      <c r="U21" s="706"/>
      <c r="V21" s="705"/>
      <c r="W21" s="706"/>
      <c r="X21" s="1354"/>
      <c r="Y21" s="3774"/>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4"/>
      <c r="Q22" s="1351" t="str">
        <f>B22</f>
        <v>楼层</v>
      </c>
      <c r="R22" s="705" t="s">
        <v>14</v>
      </c>
      <c r="S22" s="706">
        <f>F22</f>
        <v>100</v>
      </c>
      <c r="T22" s="705" t="s">
        <v>14</v>
      </c>
      <c r="U22" s="706">
        <f>H22</f>
        <v>100</v>
      </c>
      <c r="V22" s="705" t="s">
        <v>14</v>
      </c>
      <c r="W22" s="706">
        <f>J22</f>
        <v>100</v>
      </c>
      <c r="X22" s="1354"/>
      <c r="Y22" s="377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4"/>
      <c r="Q23" s="1351">
        <f>B23</f>
        <v>111</v>
      </c>
      <c r="R23" s="705" t="s">
        <v>14</v>
      </c>
      <c r="S23" s="706">
        <f>F23</f>
        <v>100</v>
      </c>
      <c r="T23" s="705" t="s">
        <v>14</v>
      </c>
      <c r="U23" s="706">
        <f>H23</f>
        <v>100</v>
      </c>
      <c r="V23" s="705" t="s">
        <v>14</v>
      </c>
      <c r="W23" s="706">
        <f>J23</f>
        <v>100</v>
      </c>
      <c r="X23" s="1354"/>
      <c r="Y23" s="377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4"/>
      <c r="Q24" s="1351">
        <f t="shared" ref="Q24:Q36" si="11">B24</f>
        <v>111</v>
      </c>
      <c r="R24" s="705" t="s">
        <v>14</v>
      </c>
      <c r="S24" s="706">
        <f>F24</f>
        <v>100</v>
      </c>
      <c r="T24" s="705" t="s">
        <v>14</v>
      </c>
      <c r="U24" s="706">
        <f>H24</f>
        <v>100</v>
      </c>
      <c r="V24" s="705" t="s">
        <v>14</v>
      </c>
      <c r="W24" s="706">
        <f>J24</f>
        <v>100</v>
      </c>
      <c r="X24" s="1354"/>
      <c r="Y24" s="377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4"/>
      <c r="Q25" s="1342">
        <f t="shared" si="11"/>
        <v>111</v>
      </c>
      <c r="R25" s="701" t="s">
        <v>14</v>
      </c>
      <c r="S25" s="702">
        <f>F25</f>
        <v>100</v>
      </c>
      <c r="T25" s="701" t="s">
        <v>14</v>
      </c>
      <c r="U25" s="702">
        <f>H25</f>
        <v>100</v>
      </c>
      <c r="V25" s="701" t="s">
        <v>14</v>
      </c>
      <c r="W25" s="702">
        <f>J25</f>
        <v>100</v>
      </c>
      <c r="X25" s="703"/>
      <c r="Y25" s="3774"/>
      <c r="Z25" s="52">
        <f>Q25</f>
        <v>111</v>
      </c>
      <c r="AA25" s="1352">
        <f>D25/F25</f>
        <v>1</v>
      </c>
      <c r="AB25" s="1352">
        <f>D25/H25</f>
        <v>1</v>
      </c>
      <c r="AC25" s="1352">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7"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78"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78"/>
      <c r="Q27" s="707" t="str">
        <f t="shared" si="11"/>
        <v>项目停车位配比</v>
      </c>
      <c r="R27" s="708" t="s">
        <v>14</v>
      </c>
      <c r="S27" s="709">
        <f t="shared" si="12"/>
        <v>100</v>
      </c>
      <c r="T27" s="708" t="s">
        <v>14</v>
      </c>
      <c r="U27" s="709">
        <f t="shared" si="13"/>
        <v>100</v>
      </c>
      <c r="V27" s="708" t="s">
        <v>14</v>
      </c>
      <c r="W27" s="709">
        <f t="shared" si="14"/>
        <v>100</v>
      </c>
      <c r="X27" s="710"/>
      <c r="Y27" s="3778"/>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78"/>
      <c r="Q28" s="1351" t="str">
        <f t="shared" si="11"/>
        <v>公共部分装修</v>
      </c>
      <c r="R28" s="705" t="s">
        <v>14</v>
      </c>
      <c r="S28" s="706">
        <f t="shared" si="12"/>
        <v>100</v>
      </c>
      <c r="T28" s="705" t="s">
        <v>14</v>
      </c>
      <c r="U28" s="706">
        <f t="shared" si="13"/>
        <v>100</v>
      </c>
      <c r="V28" s="705" t="s">
        <v>14</v>
      </c>
      <c r="W28" s="706">
        <f t="shared" si="14"/>
        <v>100</v>
      </c>
      <c r="X28" s="1354"/>
      <c r="Y28" s="3778"/>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78"/>
      <c r="Q29" s="1351" t="str">
        <f t="shared" si="11"/>
        <v>成新率</v>
      </c>
      <c r="R29" s="705" t="s">
        <v>14</v>
      </c>
      <c r="S29" s="706" t="e">
        <f t="shared" si="12"/>
        <v>#N/A</v>
      </c>
      <c r="T29" s="705" t="s">
        <v>14</v>
      </c>
      <c r="U29" s="706" t="e">
        <f t="shared" si="13"/>
        <v>#N/A</v>
      </c>
      <c r="V29" s="705" t="s">
        <v>14</v>
      </c>
      <c r="W29" s="706" t="e">
        <f t="shared" si="14"/>
        <v>#N/A</v>
      </c>
      <c r="X29" s="1354"/>
      <c r="Y29" s="3778"/>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78"/>
      <c r="Q30" s="1351" t="str">
        <f t="shared" si="11"/>
        <v>物业等级</v>
      </c>
      <c r="R30" s="705" t="s">
        <v>14</v>
      </c>
      <c r="S30" s="706">
        <f t="shared" si="12"/>
        <v>100</v>
      </c>
      <c r="T30" s="705" t="s">
        <v>14</v>
      </c>
      <c r="U30" s="706">
        <f t="shared" si="13"/>
        <v>100</v>
      </c>
      <c r="V30" s="705" t="s">
        <v>14</v>
      </c>
      <c r="W30" s="706">
        <f t="shared" si="14"/>
        <v>100</v>
      </c>
      <c r="X30" s="1354"/>
      <c r="Y30" s="3778"/>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78"/>
      <c r="Q31" s="1342" t="str">
        <f t="shared" si="11"/>
        <v>停车位面积</v>
      </c>
      <c r="R31" s="701" t="s">
        <v>14</v>
      </c>
      <c r="S31" s="702" t="e">
        <f t="shared" si="12"/>
        <v>#N/A</v>
      </c>
      <c r="T31" s="701" t="s">
        <v>14</v>
      </c>
      <c r="U31" s="702" t="e">
        <f t="shared" si="13"/>
        <v>#N/A</v>
      </c>
      <c r="V31" s="701" t="s">
        <v>14</v>
      </c>
      <c r="W31" s="702" t="e">
        <f t="shared" si="14"/>
        <v>#N/A</v>
      </c>
      <c r="X31" s="703"/>
      <c r="Y31" s="3778"/>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78" t="s">
        <v>1695</v>
      </c>
      <c r="Q32" s="1351" t="str">
        <f t="shared" si="11"/>
        <v>车位类型</v>
      </c>
      <c r="R32" s="705" t="s">
        <v>14</v>
      </c>
      <c r="S32" s="706">
        <f t="shared" si="12"/>
        <v>100</v>
      </c>
      <c r="T32" s="705" t="s">
        <v>14</v>
      </c>
      <c r="U32" s="706">
        <f t="shared" si="13"/>
        <v>100</v>
      </c>
      <c r="V32" s="705" t="s">
        <v>14</v>
      </c>
      <c r="W32" s="706">
        <f t="shared" si="14"/>
        <v>100</v>
      </c>
      <c r="X32" s="1354"/>
      <c r="Y32" s="3778"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78"/>
      <c r="Q33" s="1351" t="str">
        <f t="shared" si="11"/>
        <v>是否直接入户</v>
      </c>
      <c r="R33" s="705" t="s">
        <v>14</v>
      </c>
      <c r="S33" s="706">
        <f t="shared" si="12"/>
        <v>100</v>
      </c>
      <c r="T33" s="705" t="s">
        <v>14</v>
      </c>
      <c r="U33" s="706">
        <f t="shared" si="13"/>
        <v>100</v>
      </c>
      <c r="V33" s="705" t="s">
        <v>14</v>
      </c>
      <c r="W33" s="706">
        <f t="shared" si="14"/>
        <v>100</v>
      </c>
      <c r="X33" s="1354"/>
      <c r="Y33" s="377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78"/>
      <c r="Q34" s="1351">
        <f t="shared" si="11"/>
        <v>111</v>
      </c>
      <c r="R34" s="705" t="s">
        <v>14</v>
      </c>
      <c r="S34" s="706">
        <f t="shared" si="12"/>
        <v>100</v>
      </c>
      <c r="T34" s="705" t="s">
        <v>14</v>
      </c>
      <c r="U34" s="706">
        <f t="shared" si="13"/>
        <v>100</v>
      </c>
      <c r="V34" s="705" t="s">
        <v>14</v>
      </c>
      <c r="W34" s="706">
        <f t="shared" si="14"/>
        <v>100</v>
      </c>
      <c r="X34" s="1354"/>
      <c r="Y34" s="377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78"/>
      <c r="Q35" s="707">
        <f t="shared" si="11"/>
        <v>111</v>
      </c>
      <c r="R35" s="708" t="s">
        <v>14</v>
      </c>
      <c r="S35" s="709">
        <f t="shared" si="12"/>
        <v>100</v>
      </c>
      <c r="T35" s="708" t="s">
        <v>14</v>
      </c>
      <c r="U35" s="709">
        <f t="shared" si="13"/>
        <v>100</v>
      </c>
      <c r="V35" s="708" t="s">
        <v>14</v>
      </c>
      <c r="W35" s="709">
        <f t="shared" si="14"/>
        <v>100</v>
      </c>
      <c r="X35" s="710"/>
      <c r="Y35" s="377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78"/>
      <c r="Q36" s="1351">
        <f t="shared" si="11"/>
        <v>111</v>
      </c>
      <c r="R36" s="705" t="s">
        <v>14</v>
      </c>
      <c r="S36" s="706">
        <f t="shared" si="12"/>
        <v>100</v>
      </c>
      <c r="T36" s="705" t="s">
        <v>14</v>
      </c>
      <c r="U36" s="706">
        <f t="shared" si="13"/>
        <v>100</v>
      </c>
      <c r="V36" s="705" t="s">
        <v>14</v>
      </c>
      <c r="W36" s="706">
        <f t="shared" si="14"/>
        <v>100</v>
      </c>
      <c r="X36" s="1354"/>
      <c r="Y36" s="3778"/>
      <c r="Z36" s="1355">
        <f t="shared" si="15"/>
        <v>111</v>
      </c>
      <c r="AA36" s="1352">
        <f t="shared" si="3"/>
        <v>1</v>
      </c>
      <c r="AB36" s="1352">
        <f t="shared" si="4"/>
        <v>1</v>
      </c>
      <c r="AC36" s="1352">
        <f t="shared" si="5"/>
        <v>1</v>
      </c>
    </row>
    <row r="37" spans="1:29" ht="15">
      <c r="A37" s="430" t="s">
        <v>1843</v>
      </c>
      <c r="B37" s="1970" t="s">
        <v>3353</v>
      </c>
      <c r="C37" s="1153" t="s">
        <v>0</v>
      </c>
      <c r="D37" s="1154"/>
      <c r="E37" s="1155"/>
      <c r="F37" s="1156"/>
      <c r="G37" s="1157"/>
      <c r="H37" s="1158"/>
      <c r="I37" s="1155"/>
      <c r="J37" s="1158"/>
      <c r="K37" s="568"/>
      <c r="L37" s="2721"/>
      <c r="M37" s="2722"/>
      <c r="N37" s="2713"/>
      <c r="O37" s="2722"/>
      <c r="P37" s="3771" t="str">
        <f>A37</f>
        <v>成交单价</v>
      </c>
      <c r="Q37" s="3771"/>
      <c r="R37" s="3772">
        <f>E37</f>
        <v>0</v>
      </c>
      <c r="S37" s="3772"/>
      <c r="T37" s="3772">
        <f>G37</f>
        <v>0</v>
      </c>
      <c r="U37" s="3772"/>
      <c r="V37" s="3772">
        <f>I37</f>
        <v>0</v>
      </c>
      <c r="W37" s="3772"/>
      <c r="X37" s="690"/>
      <c r="Y37" s="712"/>
      <c r="Z37" s="690"/>
      <c r="AA37" s="690"/>
      <c r="AB37" s="690"/>
      <c r="AC37" s="690"/>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1"/>
      <c r="M38" s="2722"/>
      <c r="N38" s="2722"/>
      <c r="O38" s="2722"/>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90"/>
      <c r="Y38" s="690"/>
      <c r="Z38" s="690"/>
      <c r="AA38" s="690"/>
      <c r="AB38" s="690"/>
      <c r="AC38" s="690"/>
    </row>
    <row r="39" spans="1:29" ht="15.75" thickBot="1">
      <c r="A39" s="441" t="s">
        <v>1845</v>
      </c>
      <c r="B39" s="442"/>
      <c r="C39" s="1162" t="e">
        <f>R39</f>
        <v>#DIV/0!</v>
      </c>
      <c r="D39" s="1162"/>
      <c r="E39" s="1162"/>
      <c r="F39" s="1162"/>
      <c r="G39" s="1162"/>
      <c r="H39" s="1162"/>
      <c r="I39" s="1162"/>
      <c r="J39" s="1162"/>
      <c r="K39" s="569"/>
      <c r="L39" s="2721"/>
      <c r="M39" s="2722"/>
      <c r="N39" s="2722"/>
      <c r="O39" s="2722"/>
      <c r="P39" s="3768" t="str">
        <f>A39</f>
        <v>估价对象XX用房的比较价值（楼面单价，元/平方米）</v>
      </c>
      <c r="Q39" s="3769"/>
      <c r="R39" s="3798" t="e">
        <f>IF(F1="售价",ROUND(IF(D38="简单平均",AVERAGE(R38:W38),R38*F38+T38*H38+V38*J38),0),ROUND(IF(D38="简单平均",AVERAGE(R38:V38),R38*F38+T38*H38+V38*J38),1))</f>
        <v>#DIV/0!</v>
      </c>
      <c r="S39" s="3798"/>
      <c r="T39" s="3798"/>
      <c r="U39" s="3798"/>
      <c r="V39" s="3798"/>
      <c r="W39" s="379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3333</v>
      </c>
      <c r="C1" s="1223" t="s">
        <v>1661</v>
      </c>
      <c r="D1" s="1224"/>
      <c r="E1" s="3430"/>
      <c r="F1" s="1876"/>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1462</v>
      </c>
      <c r="F2" s="1880"/>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39" t="s">
        <v>1679</v>
      </c>
      <c r="Q7" s="3767"/>
      <c r="R7" s="701" t="s">
        <v>14</v>
      </c>
      <c r="S7" s="702">
        <f t="shared" ref="S7:S14" si="0">F7</f>
        <v>0</v>
      </c>
      <c r="T7" s="701" t="s">
        <v>14</v>
      </c>
      <c r="U7" s="702">
        <f t="shared" ref="U7:U14" si="1">H7</f>
        <v>0</v>
      </c>
      <c r="V7" s="701" t="s">
        <v>14</v>
      </c>
      <c r="W7" s="702">
        <f t="shared" ref="W7:W14" si="2">J7</f>
        <v>0</v>
      </c>
      <c r="X7" s="703"/>
      <c r="Y7" s="3739" t="s">
        <v>1679</v>
      </c>
      <c r="Z7" s="374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9" t="s">
        <v>1682</v>
      </c>
      <c r="Q8" s="3740"/>
      <c r="R8" s="701" t="s">
        <v>14</v>
      </c>
      <c r="S8" s="702">
        <f t="shared" si="0"/>
        <v>100</v>
      </c>
      <c r="T8" s="701" t="s">
        <v>14</v>
      </c>
      <c r="U8" s="702">
        <f t="shared" si="1"/>
        <v>100</v>
      </c>
      <c r="V8" s="701" t="s">
        <v>14</v>
      </c>
      <c r="W8" s="702">
        <f t="shared" si="2"/>
        <v>100</v>
      </c>
      <c r="X8" s="703"/>
      <c r="Y8" s="3739" t="s">
        <v>1682</v>
      </c>
      <c r="Z8" s="374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1" t="s">
        <v>1685</v>
      </c>
      <c r="Q9" s="1342" t="str">
        <f t="shared" ref="Q9:Q14" si="6">B9</f>
        <v>用途</v>
      </c>
      <c r="R9" s="701" t="s">
        <v>14</v>
      </c>
      <c r="S9" s="702">
        <f t="shared" si="0"/>
        <v>100</v>
      </c>
      <c r="T9" s="701" t="s">
        <v>14</v>
      </c>
      <c r="U9" s="702">
        <f t="shared" si="1"/>
        <v>100</v>
      </c>
      <c r="V9" s="701" t="s">
        <v>14</v>
      </c>
      <c r="W9" s="702">
        <f t="shared" si="2"/>
        <v>100</v>
      </c>
      <c r="X9" s="703"/>
      <c r="Y9" s="3664"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1"/>
      <c r="Q10" s="1342" t="str">
        <f t="shared" si="6"/>
        <v>土地使用年限（年）</v>
      </c>
      <c r="R10" s="701" t="s">
        <v>14</v>
      </c>
      <c r="S10" s="702">
        <f t="shared" si="0"/>
        <v>100</v>
      </c>
      <c r="T10" s="701" t="s">
        <v>14</v>
      </c>
      <c r="U10" s="702">
        <f t="shared" si="1"/>
        <v>100</v>
      </c>
      <c r="V10" s="701" t="s">
        <v>14</v>
      </c>
      <c r="W10" s="702">
        <f t="shared" si="2"/>
        <v>100</v>
      </c>
      <c r="X10" s="703"/>
      <c r="Y10" s="3664"/>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1"/>
      <c r="Q11" s="1342">
        <f t="shared" si="6"/>
        <v>111</v>
      </c>
      <c r="R11" s="701" t="s">
        <v>14</v>
      </c>
      <c r="S11" s="702">
        <f t="shared" si="0"/>
        <v>100</v>
      </c>
      <c r="T11" s="701" t="s">
        <v>14</v>
      </c>
      <c r="U11" s="702">
        <f t="shared" si="1"/>
        <v>100</v>
      </c>
      <c r="V11" s="701" t="s">
        <v>14</v>
      </c>
      <c r="W11" s="702">
        <f t="shared" si="2"/>
        <v>100</v>
      </c>
      <c r="X11" s="703"/>
      <c r="Y11" s="3664"/>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73" t="s">
        <v>1690</v>
      </c>
      <c r="Q14" s="1351" t="str">
        <f t="shared" si="6"/>
        <v>交通便捷度</v>
      </c>
      <c r="R14" s="705" t="s">
        <v>14</v>
      </c>
      <c r="S14" s="706">
        <f t="shared" si="0"/>
        <v>100</v>
      </c>
      <c r="T14" s="705" t="s">
        <v>14</v>
      </c>
      <c r="U14" s="706">
        <f t="shared" si="1"/>
        <v>100</v>
      </c>
      <c r="V14" s="705" t="s">
        <v>14</v>
      </c>
      <c r="W14" s="706">
        <f t="shared" si="2"/>
        <v>100</v>
      </c>
      <c r="X14" s="1354"/>
      <c r="Y14" s="3773"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74"/>
      <c r="Q15" s="1351"/>
      <c r="R15" s="705"/>
      <c r="S15" s="706"/>
      <c r="T15" s="705"/>
      <c r="U15" s="706"/>
      <c r="V15" s="705"/>
      <c r="W15" s="706"/>
      <c r="X15" s="1354"/>
      <c r="Y15" s="3774"/>
      <c r="Z15" s="1355"/>
      <c r="AA15" s="1352">
        <v>1</v>
      </c>
      <c r="AB15" s="1352">
        <v>1</v>
      </c>
      <c r="AC15" s="1352">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4"/>
      <c r="Q16" s="1351" t="str">
        <f>B16</f>
        <v>公共配套设施</v>
      </c>
      <c r="R16" s="705" t="s">
        <v>14</v>
      </c>
      <c r="S16" s="706">
        <f>F16</f>
        <v>100</v>
      </c>
      <c r="T16" s="705" t="s">
        <v>14</v>
      </c>
      <c r="U16" s="706">
        <f>H16</f>
        <v>100</v>
      </c>
      <c r="V16" s="705" t="s">
        <v>14</v>
      </c>
      <c r="W16" s="706">
        <f>J16</f>
        <v>100</v>
      </c>
      <c r="X16" s="1354"/>
      <c r="Y16" s="3774"/>
      <c r="Z16" s="1355" t="str">
        <f>Q16</f>
        <v>公共配套设施</v>
      </c>
      <c r="AA16" s="1352">
        <f t="shared" si="3"/>
        <v>1</v>
      </c>
      <c r="AB16" s="1352">
        <f t="shared" si="4"/>
        <v>1</v>
      </c>
      <c r="AC16" s="1352">
        <f t="shared" si="5"/>
        <v>1</v>
      </c>
    </row>
    <row r="17" spans="1:29" ht="15">
      <c r="A17" s="379"/>
      <c r="B17" s="407"/>
      <c r="C17" s="1898"/>
      <c r="D17" s="399"/>
      <c r="E17" s="398"/>
      <c r="F17" s="400"/>
      <c r="G17" s="398"/>
      <c r="H17" s="399"/>
      <c r="I17" s="398"/>
      <c r="J17" s="399"/>
      <c r="K17" s="564"/>
      <c r="L17" s="2719"/>
      <c r="M17" s="2713"/>
      <c r="N17" s="2713"/>
      <c r="O17" s="2771"/>
      <c r="P17" s="3774"/>
      <c r="Q17" s="1351"/>
      <c r="R17" s="705"/>
      <c r="S17" s="706"/>
      <c r="T17" s="705"/>
      <c r="U17" s="706"/>
      <c r="V17" s="705"/>
      <c r="W17" s="706"/>
      <c r="X17" s="1354"/>
      <c r="Y17" s="3774"/>
      <c r="Z17" s="1355"/>
      <c r="AA17" s="1352">
        <v>1</v>
      </c>
      <c r="AB17" s="1352">
        <v>1</v>
      </c>
      <c r="AC17" s="1352">
        <v>1</v>
      </c>
    </row>
    <row r="18" spans="1:29" ht="28.5">
      <c r="A18" s="379"/>
      <c r="B18" s="1130"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4"/>
      <c r="Q18" s="1351" t="str">
        <f>B18</f>
        <v>基础设施水平</v>
      </c>
      <c r="R18" s="705" t="s">
        <v>14</v>
      </c>
      <c r="S18" s="706">
        <f>F18</f>
        <v>100</v>
      </c>
      <c r="T18" s="705" t="s">
        <v>14</v>
      </c>
      <c r="U18" s="706">
        <f>H18</f>
        <v>100</v>
      </c>
      <c r="V18" s="705" t="s">
        <v>14</v>
      </c>
      <c r="W18" s="706">
        <f>J18</f>
        <v>100</v>
      </c>
      <c r="X18" s="1354"/>
      <c r="Y18" s="3774"/>
      <c r="Z18" s="1355" t="str">
        <f>Q18</f>
        <v>基础设施水平</v>
      </c>
      <c r="AA18" s="1352">
        <f t="shared" ref="AA18" si="8">D18/F18</f>
        <v>1</v>
      </c>
      <c r="AB18" s="1352">
        <f t="shared" ref="AB18" si="9">D18/H18</f>
        <v>1</v>
      </c>
      <c r="AC18" s="1352">
        <f t="shared" ref="AC18" si="10">D18/J18</f>
        <v>1</v>
      </c>
    </row>
    <row r="19" spans="1:29" ht="15">
      <c r="A19" s="379"/>
      <c r="B19" s="1130"/>
      <c r="C19" s="1898"/>
      <c r="D19" s="401"/>
      <c r="E19" s="1898"/>
      <c r="F19" s="404"/>
      <c r="G19" s="1898"/>
      <c r="H19" s="399"/>
      <c r="I19" s="398"/>
      <c r="J19" s="399"/>
      <c r="K19" s="1129"/>
      <c r="L19" s="2719"/>
      <c r="M19" s="2713"/>
      <c r="N19" s="2713"/>
      <c r="O19" s="2771"/>
      <c r="P19" s="3774"/>
      <c r="Q19" s="1351"/>
      <c r="R19" s="705"/>
      <c r="S19" s="706"/>
      <c r="T19" s="705"/>
      <c r="U19" s="706"/>
      <c r="V19" s="705"/>
      <c r="W19" s="706"/>
      <c r="X19" s="1354"/>
      <c r="Y19" s="3774"/>
      <c r="Z19" s="1355"/>
      <c r="AA19" s="1352">
        <v>1</v>
      </c>
      <c r="AB19" s="1352">
        <v>1</v>
      </c>
      <c r="AC19" s="1352">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4"/>
      <c r="Q20" s="1351" t="str">
        <f>B20</f>
        <v>自然及人文环境</v>
      </c>
      <c r="R20" s="705" t="s">
        <v>14</v>
      </c>
      <c r="S20" s="706">
        <f>F20</f>
        <v>100</v>
      </c>
      <c r="T20" s="705" t="s">
        <v>14</v>
      </c>
      <c r="U20" s="706">
        <f>H20</f>
        <v>100</v>
      </c>
      <c r="V20" s="705" t="s">
        <v>14</v>
      </c>
      <c r="W20" s="706">
        <f>J20</f>
        <v>100</v>
      </c>
      <c r="X20" s="1354"/>
      <c r="Y20" s="377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74"/>
      <c r="Q21" s="1351"/>
      <c r="R21" s="705"/>
      <c r="S21" s="706"/>
      <c r="T21" s="705"/>
      <c r="U21" s="706"/>
      <c r="V21" s="705"/>
      <c r="W21" s="706"/>
      <c r="X21" s="1354"/>
      <c r="Y21" s="3774"/>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4"/>
      <c r="Q22" s="1351" t="str">
        <f>B22</f>
        <v>楼层</v>
      </c>
      <c r="R22" s="705" t="s">
        <v>14</v>
      </c>
      <c r="S22" s="706">
        <f>F22</f>
        <v>100</v>
      </c>
      <c r="T22" s="705" t="s">
        <v>14</v>
      </c>
      <c r="U22" s="706">
        <f>H22</f>
        <v>100</v>
      </c>
      <c r="V22" s="705" t="s">
        <v>14</v>
      </c>
      <c r="W22" s="706">
        <f>J22</f>
        <v>100</v>
      </c>
      <c r="X22" s="1354"/>
      <c r="Y22" s="3774"/>
      <c r="Z22" s="1355" t="str">
        <f>Q22</f>
        <v>楼层</v>
      </c>
      <c r="AA22" s="1352">
        <f t="shared" si="3"/>
        <v>1</v>
      </c>
      <c r="AB22" s="1352">
        <f t="shared" si="4"/>
        <v>1</v>
      </c>
      <c r="AC22" s="1352">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4"/>
      <c r="Q23" s="1351">
        <f>B23</f>
        <v>111</v>
      </c>
      <c r="R23" s="705" t="s">
        <v>14</v>
      </c>
      <c r="S23" s="706">
        <f>F23</f>
        <v>100</v>
      </c>
      <c r="T23" s="705" t="s">
        <v>14</v>
      </c>
      <c r="U23" s="706">
        <f>H23</f>
        <v>100</v>
      </c>
      <c r="V23" s="705" t="s">
        <v>14</v>
      </c>
      <c r="W23" s="706">
        <f>J23</f>
        <v>100</v>
      </c>
      <c r="X23" s="1354"/>
      <c r="Y23" s="3774"/>
      <c r="Z23" s="1355">
        <f>Q23</f>
        <v>111</v>
      </c>
      <c r="AA23" s="1352">
        <f t="shared" si="3"/>
        <v>1</v>
      </c>
      <c r="AB23" s="1352">
        <f t="shared" si="4"/>
        <v>1</v>
      </c>
      <c r="AC23" s="1352">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4"/>
      <c r="Q24" s="1351">
        <f t="shared" ref="Q24:Q34" si="11">B24</f>
        <v>111</v>
      </c>
      <c r="R24" s="705" t="s">
        <v>14</v>
      </c>
      <c r="S24" s="706">
        <f>F24</f>
        <v>100</v>
      </c>
      <c r="T24" s="705" t="s">
        <v>14</v>
      </c>
      <c r="U24" s="706">
        <f>H24</f>
        <v>100</v>
      </c>
      <c r="V24" s="705" t="s">
        <v>14</v>
      </c>
      <c r="W24" s="706">
        <f>J24</f>
        <v>100</v>
      </c>
      <c r="X24" s="1354"/>
      <c r="Y24" s="3774"/>
      <c r="Z24" s="1355">
        <f>Q24</f>
        <v>111</v>
      </c>
      <c r="AA24" s="1352">
        <f t="shared" si="3"/>
        <v>1</v>
      </c>
      <c r="AB24" s="1352">
        <f t="shared" si="4"/>
        <v>1</v>
      </c>
      <c r="AC24" s="1352">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74"/>
      <c r="Q25" s="1342">
        <f t="shared" si="11"/>
        <v>111</v>
      </c>
      <c r="R25" s="701" t="s">
        <v>14</v>
      </c>
      <c r="S25" s="702">
        <f>F25</f>
        <v>100</v>
      </c>
      <c r="T25" s="701" t="s">
        <v>14</v>
      </c>
      <c r="U25" s="702">
        <f>H25</f>
        <v>100</v>
      </c>
      <c r="V25" s="701" t="s">
        <v>14</v>
      </c>
      <c r="W25" s="702">
        <f>J25</f>
        <v>100</v>
      </c>
      <c r="X25" s="703"/>
      <c r="Y25" s="3774"/>
      <c r="Z25" s="52">
        <f>Q25</f>
        <v>111</v>
      </c>
      <c r="AA25" s="1352">
        <f>D25/F25</f>
        <v>1</v>
      </c>
      <c r="AB25" s="1352">
        <f>D25/H25</f>
        <v>1</v>
      </c>
      <c r="AC25" s="1352">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97"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78"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78"/>
      <c r="Q27" s="707" t="str">
        <f t="shared" si="11"/>
        <v>成新率</v>
      </c>
      <c r="R27" s="708" t="s">
        <v>14</v>
      </c>
      <c r="S27" s="709" t="e">
        <f t="shared" si="12"/>
        <v>#N/A</v>
      </c>
      <c r="T27" s="708" t="s">
        <v>14</v>
      </c>
      <c r="U27" s="709" t="e">
        <f t="shared" si="13"/>
        <v>#N/A</v>
      </c>
      <c r="V27" s="708" t="s">
        <v>14</v>
      </c>
      <c r="W27" s="709" t="e">
        <f t="shared" si="14"/>
        <v>#N/A</v>
      </c>
      <c r="X27" s="710"/>
      <c r="Y27" s="3778"/>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78"/>
      <c r="Q28" s="1351" t="str">
        <f t="shared" si="11"/>
        <v>物业等级</v>
      </c>
      <c r="R28" s="705" t="s">
        <v>14</v>
      </c>
      <c r="S28" s="706">
        <f t="shared" si="12"/>
        <v>100</v>
      </c>
      <c r="T28" s="705" t="s">
        <v>14</v>
      </c>
      <c r="U28" s="706">
        <f t="shared" si="13"/>
        <v>100</v>
      </c>
      <c r="V28" s="705" t="s">
        <v>14</v>
      </c>
      <c r="W28" s="706">
        <f t="shared" si="14"/>
        <v>100</v>
      </c>
      <c r="X28" s="1354"/>
      <c r="Y28" s="3778"/>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78"/>
      <c r="Q29" s="1351" t="str">
        <f t="shared" si="11"/>
        <v>有无电梯</v>
      </c>
      <c r="R29" s="705" t="s">
        <v>14</v>
      </c>
      <c r="S29" s="706">
        <f t="shared" si="12"/>
        <v>100</v>
      </c>
      <c r="T29" s="705" t="s">
        <v>14</v>
      </c>
      <c r="U29" s="706">
        <f t="shared" si="13"/>
        <v>100</v>
      </c>
      <c r="V29" s="705" t="s">
        <v>14</v>
      </c>
      <c r="W29" s="706">
        <f t="shared" si="14"/>
        <v>100</v>
      </c>
      <c r="X29" s="1354"/>
      <c r="Y29" s="3778"/>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78"/>
      <c r="Q30" s="1351" t="str">
        <f t="shared" si="11"/>
        <v>建筑面积</v>
      </c>
      <c r="R30" s="705" t="s">
        <v>14</v>
      </c>
      <c r="S30" s="706" t="e">
        <f t="shared" si="12"/>
        <v>#N/A</v>
      </c>
      <c r="T30" s="705" t="s">
        <v>14</v>
      </c>
      <c r="U30" s="706" t="e">
        <f t="shared" si="13"/>
        <v>#N/A</v>
      </c>
      <c r="V30" s="705" t="s">
        <v>14</v>
      </c>
      <c r="W30" s="706" t="e">
        <f t="shared" si="14"/>
        <v>#N/A</v>
      </c>
      <c r="X30" s="1354"/>
      <c r="Y30" s="3778"/>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78"/>
      <c r="Q31" s="1342" t="str">
        <f t="shared" si="11"/>
        <v>是否封闭</v>
      </c>
      <c r="R31" s="701" t="s">
        <v>14</v>
      </c>
      <c r="S31" s="702">
        <f t="shared" si="12"/>
        <v>100</v>
      </c>
      <c r="T31" s="701" t="s">
        <v>14</v>
      </c>
      <c r="U31" s="702">
        <f t="shared" si="13"/>
        <v>100</v>
      </c>
      <c r="V31" s="701" t="s">
        <v>14</v>
      </c>
      <c r="W31" s="702">
        <f t="shared" si="14"/>
        <v>100</v>
      </c>
      <c r="X31" s="703"/>
      <c r="Y31" s="3778"/>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78" t="s">
        <v>1695</v>
      </c>
      <c r="Q32" s="1351">
        <f t="shared" si="11"/>
        <v>111</v>
      </c>
      <c r="R32" s="705" t="s">
        <v>14</v>
      </c>
      <c r="S32" s="706">
        <f t="shared" si="12"/>
        <v>100</v>
      </c>
      <c r="T32" s="705" t="s">
        <v>14</v>
      </c>
      <c r="U32" s="706">
        <f t="shared" si="13"/>
        <v>100</v>
      </c>
      <c r="V32" s="705" t="s">
        <v>14</v>
      </c>
      <c r="W32" s="706">
        <f t="shared" si="14"/>
        <v>100</v>
      </c>
      <c r="X32" s="1354"/>
      <c r="Y32" s="3778" t="s">
        <v>1695</v>
      </c>
      <c r="Z32" s="1355">
        <f t="shared" si="15"/>
        <v>111</v>
      </c>
      <c r="AA32" s="1352">
        <f t="shared" si="3"/>
        <v>1</v>
      </c>
      <c r="AB32" s="1352">
        <f t="shared" si="4"/>
        <v>1</v>
      </c>
      <c r="AC32" s="1352">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78"/>
      <c r="Q33" s="1351">
        <f t="shared" si="11"/>
        <v>111</v>
      </c>
      <c r="R33" s="705" t="s">
        <v>14</v>
      </c>
      <c r="S33" s="706">
        <f t="shared" si="12"/>
        <v>100</v>
      </c>
      <c r="T33" s="705" t="s">
        <v>14</v>
      </c>
      <c r="U33" s="706">
        <f t="shared" si="13"/>
        <v>100</v>
      </c>
      <c r="V33" s="705" t="s">
        <v>14</v>
      </c>
      <c r="W33" s="706">
        <f t="shared" si="14"/>
        <v>100</v>
      </c>
      <c r="X33" s="1354"/>
      <c r="Y33" s="3778"/>
      <c r="Z33" s="1355">
        <f t="shared" si="15"/>
        <v>111</v>
      </c>
      <c r="AA33" s="1352">
        <f t="shared" si="3"/>
        <v>1</v>
      </c>
      <c r="AB33" s="1352">
        <f t="shared" si="4"/>
        <v>1</v>
      </c>
      <c r="AC33" s="1352">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78"/>
      <c r="Q34" s="1351">
        <f t="shared" si="11"/>
        <v>111</v>
      </c>
      <c r="R34" s="705" t="s">
        <v>14</v>
      </c>
      <c r="S34" s="706">
        <f t="shared" si="12"/>
        <v>100</v>
      </c>
      <c r="T34" s="705" t="s">
        <v>14</v>
      </c>
      <c r="U34" s="706">
        <f t="shared" si="13"/>
        <v>100</v>
      </c>
      <c r="V34" s="705" t="s">
        <v>14</v>
      </c>
      <c r="W34" s="706">
        <f t="shared" si="14"/>
        <v>100</v>
      </c>
      <c r="X34" s="1354"/>
      <c r="Y34" s="3778"/>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4"/>
      <c r="L35" s="2721"/>
      <c r="M35" s="2722"/>
      <c r="N35" s="2713"/>
      <c r="O35" s="2722"/>
      <c r="P35" s="3771" t="str">
        <f>A35</f>
        <v>成交单价（元/平方米）</v>
      </c>
      <c r="Q35" s="3771"/>
      <c r="R35" s="3772">
        <f>E35</f>
        <v>0</v>
      </c>
      <c r="S35" s="3772"/>
      <c r="T35" s="3772">
        <f>G35</f>
        <v>0</v>
      </c>
      <c r="U35" s="3772"/>
      <c r="V35" s="3772">
        <f>I35</f>
        <v>0</v>
      </c>
      <c r="W35" s="3772"/>
      <c r="X35" s="690"/>
      <c r="Y35" s="712"/>
      <c r="Z35" s="690"/>
      <c r="AA35" s="690"/>
      <c r="AB35" s="690"/>
      <c r="AC35" s="690"/>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1"/>
      <c r="M36" s="2722"/>
      <c r="N36" s="2713"/>
      <c r="O36" s="2722"/>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90"/>
      <c r="Y36" s="690"/>
      <c r="Z36" s="690"/>
      <c r="AA36" s="690"/>
      <c r="AB36" s="690"/>
      <c r="AC36" s="690"/>
    </row>
    <row r="37" spans="1:30" ht="15.75" thickBot="1">
      <c r="A37" s="441" t="s">
        <v>1793</v>
      </c>
      <c r="B37" s="442"/>
      <c r="C37" s="1162" t="e">
        <f>R37</f>
        <v>#DIV/0!</v>
      </c>
      <c r="D37" s="1162"/>
      <c r="E37" s="1162"/>
      <c r="F37" s="1162"/>
      <c r="G37" s="1162"/>
      <c r="H37" s="1162"/>
      <c r="I37" s="1162"/>
      <c r="J37" s="1162"/>
      <c r="K37" s="715"/>
      <c r="L37" s="2721"/>
      <c r="M37" s="2722"/>
      <c r="N37" s="2722"/>
      <c r="O37" s="2722"/>
      <c r="P37" s="3768" t="str">
        <f>A37</f>
        <v>估价对象XX用房的比较价值（楼面单价，元/平方米）</v>
      </c>
      <c r="Q37" s="3769"/>
      <c r="R37" s="3798" t="e">
        <f>IF(F1="售价",ROUND(IF(D36="简单平均",AVERAGE(R36:W36),R36*F36+T36*H36+V36*J36),0),ROUND(IF(D36="简单平均",AVERAGE(R36:V36),R36*F36+T36*H36+V36*J36),1))</f>
        <v>#DIV/0!</v>
      </c>
      <c r="S37" s="3798"/>
      <c r="T37" s="3798"/>
      <c r="U37" s="3798"/>
      <c r="V37" s="3798"/>
      <c r="W37" s="379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6"/>
      <c r="D2" s="906"/>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30"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30"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30" ht="15.75" thickBot="1">
      <c r="A6" s="360"/>
      <c r="B6" s="361"/>
      <c r="C6" s="3749" t="s">
        <v>1676</v>
      </c>
      <c r="D6" s="3750"/>
      <c r="E6" s="3751" t="s">
        <v>1676</v>
      </c>
      <c r="F6" s="3752"/>
      <c r="G6" s="3749" t="s">
        <v>1676</v>
      </c>
      <c r="H6" s="3750"/>
      <c r="I6" s="3749" t="s">
        <v>1676</v>
      </c>
      <c r="J6" s="3750"/>
      <c r="K6" s="559" t="s">
        <v>1677</v>
      </c>
      <c r="L6" s="2712"/>
      <c r="M6" s="2713"/>
      <c r="N6" s="2713"/>
      <c r="O6" s="2713"/>
      <c r="P6" s="3762"/>
      <c r="Q6" s="3763"/>
      <c r="R6" s="3743"/>
      <c r="S6" s="3744"/>
      <c r="T6" s="3764"/>
      <c r="U6" s="3765"/>
      <c r="V6" s="3766"/>
      <c r="W6" s="3766"/>
      <c r="X6" s="1354"/>
      <c r="Y6" s="3764"/>
      <c r="Z6" s="3765"/>
      <c r="AA6" s="3738"/>
      <c r="AB6" s="3738"/>
      <c r="AC6" s="3738"/>
    </row>
    <row r="7" spans="1:30" s="108" customFormat="1" ht="15.75" thickBot="1">
      <c r="A7" s="362" t="s">
        <v>1678</v>
      </c>
      <c r="B7" s="363"/>
      <c r="C7" s="364">
        <f>'数据-取费表'!B2</f>
        <v>45722</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9" t="s">
        <v>1682</v>
      </c>
      <c r="Q8" s="3740"/>
      <c r="R8" s="701" t="s">
        <v>14</v>
      </c>
      <c r="S8" s="702">
        <f t="shared" si="0"/>
        <v>0</v>
      </c>
      <c r="T8" s="701" t="s">
        <v>14</v>
      </c>
      <c r="U8" s="702">
        <f t="shared" si="1"/>
        <v>0</v>
      </c>
      <c r="V8" s="701" t="s">
        <v>14</v>
      </c>
      <c r="W8" s="702">
        <f t="shared" si="2"/>
        <v>0</v>
      </c>
      <c r="X8" s="703"/>
      <c r="Y8" s="3739" t="s">
        <v>1682</v>
      </c>
      <c r="Z8" s="3740"/>
      <c r="AA8" s="704" t="e">
        <f t="shared" ref="AA8:AA45" si="3">D8/F8</f>
        <v>#DIV/0!</v>
      </c>
      <c r="AB8" s="704" t="e">
        <f t="shared" ref="AB8:AB45" si="4">D8/H8</f>
        <v>#DIV/0!</v>
      </c>
      <c r="AC8" s="704"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121</v>
      </c>
      <c r="G10" s="414"/>
      <c r="H10" s="127">
        <f>ROUND(100/'数据-取费表'!G16,0)</f>
        <v>121</v>
      </c>
      <c r="I10" s="414"/>
      <c r="J10" s="127">
        <f>ROUND(100/'数据-取费表'!G16,0)</f>
        <v>121</v>
      </c>
      <c r="K10" s="620"/>
      <c r="L10" s="2716"/>
      <c r="M10" s="2717"/>
      <c r="N10" s="2717"/>
      <c r="O10" s="2770"/>
      <c r="P10" s="3771"/>
      <c r="Q10" s="1342" t="str">
        <f t="shared" si="6"/>
        <v>土地使用年限（年）</v>
      </c>
      <c r="R10" s="701" t="s">
        <v>14</v>
      </c>
      <c r="S10" s="702">
        <f t="shared" si="0"/>
        <v>121</v>
      </c>
      <c r="T10" s="701" t="s">
        <v>14</v>
      </c>
      <c r="U10" s="702">
        <f t="shared" si="1"/>
        <v>121</v>
      </c>
      <c r="V10" s="701" t="s">
        <v>14</v>
      </c>
      <c r="W10" s="702">
        <f t="shared" si="2"/>
        <v>121</v>
      </c>
      <c r="X10" s="703"/>
      <c r="Y10" s="3664"/>
      <c r="Z10" s="52" t="str">
        <f t="shared" si="7"/>
        <v>土地使用年限（年）</v>
      </c>
      <c r="AA10" s="704">
        <f t="shared" si="3"/>
        <v>0.82644628099173556</v>
      </c>
      <c r="AB10" s="704">
        <f t="shared" si="4"/>
        <v>0.82644628099173556</v>
      </c>
      <c r="AC10" s="704">
        <f t="shared" si="5"/>
        <v>0.82644628099173556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1"/>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1"/>
      <c r="Q12" s="1342" t="str">
        <f t="shared" si="6"/>
        <v>配建</v>
      </c>
      <c r="R12" s="701" t="s">
        <v>14</v>
      </c>
      <c r="S12" s="702">
        <f t="shared" si="0"/>
        <v>100</v>
      </c>
      <c r="T12" s="701" t="s">
        <v>14</v>
      </c>
      <c r="U12" s="702">
        <f t="shared" si="1"/>
        <v>100</v>
      </c>
      <c r="V12" s="701" t="s">
        <v>14</v>
      </c>
      <c r="W12" s="702">
        <f t="shared" si="2"/>
        <v>100</v>
      </c>
      <c r="X12" s="703"/>
      <c r="Y12" s="3664"/>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D14/F14</f>
        <v>1</v>
      </c>
      <c r="AB14" s="704">
        <f>D14/H14</f>
        <v>1</v>
      </c>
      <c r="AC14" s="704">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73" t="s">
        <v>1690</v>
      </c>
      <c r="Q15" s="1351" t="str">
        <f t="shared" si="6"/>
        <v>居住社区成熟度</v>
      </c>
      <c r="R15" s="705" t="s">
        <v>14</v>
      </c>
      <c r="S15" s="706">
        <f t="shared" si="0"/>
        <v>100</v>
      </c>
      <c r="T15" s="705" t="s">
        <v>14</v>
      </c>
      <c r="U15" s="706">
        <f t="shared" si="1"/>
        <v>100</v>
      </c>
      <c r="V15" s="705" t="s">
        <v>14</v>
      </c>
      <c r="W15" s="706">
        <f t="shared" si="2"/>
        <v>100</v>
      </c>
      <c r="X15" s="1354"/>
      <c r="Y15" s="3773" t="s">
        <v>1690</v>
      </c>
      <c r="Z15" s="1355" t="str">
        <f t="shared" si="7"/>
        <v>居住社区成熟度</v>
      </c>
      <c r="AA15" s="1352">
        <f t="shared" si="3"/>
        <v>1</v>
      </c>
      <c r="AB15" s="1352">
        <f t="shared" si="4"/>
        <v>1</v>
      </c>
      <c r="AC15" s="1352">
        <f t="shared" si="5"/>
        <v>1</v>
      </c>
    </row>
    <row r="16" spans="1:30" ht="15">
      <c r="A16" s="379"/>
      <c r="B16" s="397"/>
      <c r="C16" s="398"/>
      <c r="D16" s="399"/>
      <c r="E16" s="1895"/>
      <c r="F16" s="399"/>
      <c r="G16" s="1895"/>
      <c r="H16" s="401"/>
      <c r="I16" s="1894"/>
      <c r="J16" s="399"/>
      <c r="K16" s="620"/>
      <c r="L16" s="2719"/>
      <c r="M16" s="2713"/>
      <c r="N16" s="2713"/>
      <c r="O16" s="2771"/>
      <c r="P16" s="3774"/>
      <c r="Q16" s="1351"/>
      <c r="R16" s="705"/>
      <c r="S16" s="706"/>
      <c r="T16" s="705"/>
      <c r="U16" s="706"/>
      <c r="V16" s="705"/>
      <c r="W16" s="706"/>
      <c r="X16" s="1354"/>
      <c r="Y16" s="3774"/>
      <c r="Z16" s="1355"/>
      <c r="AA16" s="1352">
        <v>1</v>
      </c>
      <c r="AB16" s="1352">
        <v>1</v>
      </c>
      <c r="AC16" s="1352">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4"/>
      <c r="Q17" s="1351" t="str">
        <f>B17</f>
        <v>商业繁华度</v>
      </c>
      <c r="R17" s="705" t="s">
        <v>14</v>
      </c>
      <c r="S17" s="706">
        <f>F17</f>
        <v>100</v>
      </c>
      <c r="T17" s="705" t="s">
        <v>14</v>
      </c>
      <c r="U17" s="706">
        <f>H17</f>
        <v>100</v>
      </c>
      <c r="V17" s="705" t="s">
        <v>14</v>
      </c>
      <c r="W17" s="706">
        <f>J17</f>
        <v>100</v>
      </c>
      <c r="X17" s="1354"/>
      <c r="Y17" s="3774"/>
      <c r="Z17" s="1355" t="str">
        <f>Q17</f>
        <v>商业繁华度</v>
      </c>
      <c r="AA17" s="1352">
        <f t="shared" si="3"/>
        <v>1</v>
      </c>
      <c r="AB17" s="1352">
        <f t="shared" si="4"/>
        <v>1</v>
      </c>
      <c r="AC17" s="1352">
        <f t="shared" si="5"/>
        <v>1</v>
      </c>
    </row>
    <row r="18" spans="1:29" ht="15">
      <c r="A18" s="379"/>
      <c r="B18" s="407"/>
      <c r="C18" s="1898"/>
      <c r="D18" s="401"/>
      <c r="E18" s="1900"/>
      <c r="F18" s="401"/>
      <c r="G18" s="1900"/>
      <c r="H18" s="399"/>
      <c r="I18" s="1899"/>
      <c r="J18" s="399"/>
      <c r="K18" s="620"/>
      <c r="L18" s="2719"/>
      <c r="M18" s="2713"/>
      <c r="N18" s="2713"/>
      <c r="O18" s="2771"/>
      <c r="P18" s="3774"/>
      <c r="Q18" s="1351"/>
      <c r="R18" s="705"/>
      <c r="S18" s="706"/>
      <c r="T18" s="705"/>
      <c r="U18" s="706"/>
      <c r="V18" s="705"/>
      <c r="W18" s="706"/>
      <c r="X18" s="1354"/>
      <c r="Y18" s="3774"/>
      <c r="Z18" s="1355"/>
      <c r="AA18" s="1352">
        <v>1</v>
      </c>
      <c r="AB18" s="1352">
        <v>1</v>
      </c>
      <c r="AC18" s="1352">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4"/>
      <c r="Q19" s="1351" t="str">
        <f>B19</f>
        <v>办公集聚程度</v>
      </c>
      <c r="R19" s="705" t="s">
        <v>14</v>
      </c>
      <c r="S19" s="706">
        <f>F19</f>
        <v>100</v>
      </c>
      <c r="T19" s="705" t="s">
        <v>14</v>
      </c>
      <c r="U19" s="706">
        <f>H19</f>
        <v>100</v>
      </c>
      <c r="V19" s="705" t="s">
        <v>14</v>
      </c>
      <c r="W19" s="706">
        <f>J19</f>
        <v>100</v>
      </c>
      <c r="X19" s="1354"/>
      <c r="Y19" s="3774"/>
      <c r="Z19" s="1355" t="str">
        <f>Q19</f>
        <v>办公集聚程度</v>
      </c>
      <c r="AA19" s="1352">
        <f t="shared" si="3"/>
        <v>1</v>
      </c>
      <c r="AB19" s="1352">
        <f t="shared" si="4"/>
        <v>1</v>
      </c>
      <c r="AC19" s="1352">
        <f t="shared" si="5"/>
        <v>1</v>
      </c>
    </row>
    <row r="20" spans="1:29" ht="15">
      <c r="A20" s="379"/>
      <c r="B20" s="407"/>
      <c r="C20" s="398"/>
      <c r="D20" s="399"/>
      <c r="E20" s="1895"/>
      <c r="F20" s="399"/>
      <c r="G20" s="1895"/>
      <c r="H20" s="399"/>
      <c r="I20" s="1894"/>
      <c r="J20" s="399"/>
      <c r="K20" s="620"/>
      <c r="L20" s="2719"/>
      <c r="M20" s="2713"/>
      <c r="N20" s="2713"/>
      <c r="O20" s="2771"/>
      <c r="P20" s="3774"/>
      <c r="Q20" s="1351"/>
      <c r="R20" s="705"/>
      <c r="S20" s="706"/>
      <c r="T20" s="705"/>
      <c r="U20" s="706"/>
      <c r="V20" s="705"/>
      <c r="W20" s="706"/>
      <c r="X20" s="1354"/>
      <c r="Y20" s="3774"/>
      <c r="Z20" s="1355"/>
      <c r="AA20" s="1352">
        <v>1</v>
      </c>
      <c r="AB20" s="1352">
        <v>1</v>
      </c>
      <c r="AC20" s="1352">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4"/>
      <c r="Q21" s="1351" t="str">
        <f>B21</f>
        <v>交通便捷度</v>
      </c>
      <c r="R21" s="705" t="s">
        <v>14</v>
      </c>
      <c r="S21" s="706">
        <f>F21</f>
        <v>100</v>
      </c>
      <c r="T21" s="705" t="s">
        <v>14</v>
      </c>
      <c r="U21" s="706">
        <f>H21</f>
        <v>100</v>
      </c>
      <c r="V21" s="705" t="s">
        <v>14</v>
      </c>
      <c r="W21" s="706">
        <f>J21</f>
        <v>100</v>
      </c>
      <c r="X21" s="1354"/>
      <c r="Y21" s="3774"/>
      <c r="Z21" s="1355" t="str">
        <f>Q21</f>
        <v>交通便捷度</v>
      </c>
      <c r="AA21" s="1352">
        <f t="shared" si="3"/>
        <v>1</v>
      </c>
      <c r="AB21" s="1352">
        <f t="shared" si="4"/>
        <v>1</v>
      </c>
      <c r="AC21" s="1352">
        <f t="shared" si="5"/>
        <v>1</v>
      </c>
    </row>
    <row r="22" spans="1:29" ht="15">
      <c r="A22" s="379"/>
      <c r="B22" s="1130"/>
      <c r="C22" s="398"/>
      <c r="D22" s="401"/>
      <c r="E22" s="1895"/>
      <c r="F22" s="399"/>
      <c r="G22" s="1895"/>
      <c r="H22" s="399"/>
      <c r="I22" s="1894"/>
      <c r="J22" s="399"/>
      <c r="K22" s="620"/>
      <c r="L22" s="2719"/>
      <c r="M22" s="2713"/>
      <c r="N22" s="2713"/>
      <c r="O22" s="2771"/>
      <c r="P22" s="3774"/>
      <c r="Q22" s="1351"/>
      <c r="R22" s="705"/>
      <c r="S22" s="706"/>
      <c r="T22" s="705"/>
      <c r="U22" s="706"/>
      <c r="V22" s="705"/>
      <c r="W22" s="706"/>
      <c r="X22" s="1354"/>
      <c r="Y22" s="3774"/>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4"/>
      <c r="Q23" s="1351" t="str">
        <f t="shared" ref="Q23:Q37" si="8">B23</f>
        <v>区域土地利用方向</v>
      </c>
      <c r="R23" s="705" t="s">
        <v>14</v>
      </c>
      <c r="S23" s="706">
        <f>F23</f>
        <v>100</v>
      </c>
      <c r="T23" s="705" t="s">
        <v>14</v>
      </c>
      <c r="U23" s="706">
        <f>H23</f>
        <v>100</v>
      </c>
      <c r="V23" s="705" t="s">
        <v>14</v>
      </c>
      <c r="W23" s="706">
        <f>J23</f>
        <v>100</v>
      </c>
      <c r="X23" s="1354"/>
      <c r="Y23" s="3774"/>
      <c r="Z23" s="1355" t="str">
        <f>Q23</f>
        <v>区域土地利用方向</v>
      </c>
      <c r="AA23" s="1352">
        <f t="shared" si="3"/>
        <v>1</v>
      </c>
      <c r="AB23" s="1352">
        <f t="shared" si="4"/>
        <v>1</v>
      </c>
      <c r="AC23" s="1352">
        <f t="shared" si="5"/>
        <v>1</v>
      </c>
    </row>
    <row r="24" spans="1:29" ht="15">
      <c r="A24" s="358"/>
      <c r="B24" s="407"/>
      <c r="C24" s="565"/>
      <c r="D24" s="399"/>
      <c r="E24" s="1895"/>
      <c r="F24" s="399"/>
      <c r="G24" s="1894"/>
      <c r="H24" s="399"/>
      <c r="I24" s="1894"/>
      <c r="J24" s="399"/>
      <c r="K24" s="740"/>
      <c r="L24" s="2719"/>
      <c r="M24" s="2713"/>
      <c r="N24" s="2713"/>
      <c r="O24" s="2771"/>
      <c r="P24" s="3774"/>
      <c r="Q24" s="1351"/>
      <c r="R24" s="705"/>
      <c r="S24" s="706"/>
      <c r="T24" s="705"/>
      <c r="U24" s="706"/>
      <c r="V24" s="705"/>
      <c r="W24" s="706"/>
      <c r="X24" s="1354"/>
      <c r="Y24" s="3774"/>
      <c r="Z24" s="1355"/>
      <c r="AA24" s="1352"/>
      <c r="AB24" s="1352"/>
      <c r="AC24" s="1352"/>
    </row>
    <row r="25" spans="1:29" ht="57">
      <c r="A25" s="358"/>
      <c r="B25" s="1130"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4"/>
      <c r="Q25" s="1351" t="str">
        <f t="shared" si="8"/>
        <v>自然及人文环境状况</v>
      </c>
      <c r="R25" s="705" t="s">
        <v>14</v>
      </c>
      <c r="S25" s="706">
        <f>F25</f>
        <v>100</v>
      </c>
      <c r="T25" s="705" t="s">
        <v>14</v>
      </c>
      <c r="U25" s="706">
        <f>H25</f>
        <v>100</v>
      </c>
      <c r="V25" s="705" t="s">
        <v>14</v>
      </c>
      <c r="W25" s="706">
        <f>J25</f>
        <v>100</v>
      </c>
      <c r="X25" s="1354"/>
      <c r="Y25" s="3774"/>
      <c r="Z25" s="1355" t="str">
        <f>Q25</f>
        <v>自然及人文环境状况</v>
      </c>
      <c r="AA25" s="1352">
        <f t="shared" si="3"/>
        <v>1</v>
      </c>
      <c r="AB25" s="1352">
        <f t="shared" si="4"/>
        <v>1</v>
      </c>
      <c r="AC25" s="1352">
        <f t="shared" si="5"/>
        <v>1</v>
      </c>
    </row>
    <row r="26" spans="1:29" ht="15">
      <c r="A26" s="358"/>
      <c r="B26" s="407"/>
      <c r="C26" s="398"/>
      <c r="D26" s="399"/>
      <c r="E26" s="1901"/>
      <c r="F26" s="399"/>
      <c r="G26" s="1901"/>
      <c r="H26" s="399"/>
      <c r="I26" s="398"/>
      <c r="J26" s="399"/>
      <c r="K26" s="620"/>
      <c r="L26" s="2719"/>
      <c r="M26" s="2713"/>
      <c r="N26" s="2713"/>
      <c r="O26" s="2771"/>
      <c r="P26" s="3774"/>
      <c r="Q26" s="1351"/>
      <c r="R26" s="705"/>
      <c r="S26" s="706"/>
      <c r="T26" s="705"/>
      <c r="U26" s="706"/>
      <c r="V26" s="705"/>
      <c r="W26" s="706"/>
      <c r="X26" s="1354"/>
      <c r="Y26" s="3774"/>
      <c r="Z26" s="1355"/>
      <c r="AA26" s="1352">
        <v>1</v>
      </c>
      <c r="AB26" s="1352">
        <v>1</v>
      </c>
      <c r="AC26" s="1352">
        <v>1</v>
      </c>
    </row>
    <row r="27" spans="1:29" s="108" customFormat="1" ht="42.75">
      <c r="A27" s="597"/>
      <c r="B27" s="1130"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4"/>
      <c r="Q27" s="1342" t="str">
        <f t="shared" si="8"/>
        <v>公共配套设施</v>
      </c>
      <c r="R27" s="701" t="s">
        <v>14</v>
      </c>
      <c r="S27" s="702">
        <f>F27</f>
        <v>100</v>
      </c>
      <c r="T27" s="701" t="s">
        <v>14</v>
      </c>
      <c r="U27" s="702">
        <f>H27</f>
        <v>100</v>
      </c>
      <c r="V27" s="701" t="s">
        <v>14</v>
      </c>
      <c r="W27" s="702">
        <f>J27</f>
        <v>100</v>
      </c>
      <c r="X27" s="703"/>
      <c r="Y27" s="3774"/>
      <c r="Z27" s="52" t="str">
        <f>Q27</f>
        <v>公共配套设施</v>
      </c>
      <c r="AA27" s="1352">
        <f>D27/F27</f>
        <v>1</v>
      </c>
      <c r="AB27" s="1352">
        <f>D27/H27</f>
        <v>1</v>
      </c>
      <c r="AC27" s="1352">
        <f>D27/J27</f>
        <v>1</v>
      </c>
    </row>
    <row r="28" spans="1:29" s="108" customFormat="1" ht="15">
      <c r="A28" s="597"/>
      <c r="B28" s="407"/>
      <c r="C28" s="1975"/>
      <c r="D28" s="399"/>
      <c r="E28" s="1901"/>
      <c r="F28" s="399"/>
      <c r="G28" s="1901"/>
      <c r="H28" s="399"/>
      <c r="I28" s="398"/>
      <c r="J28" s="399"/>
      <c r="K28" s="620"/>
      <c r="L28" s="2714"/>
      <c r="M28" s="2715"/>
      <c r="N28" s="2715"/>
      <c r="O28" s="2769"/>
      <c r="P28" s="3774"/>
      <c r="Q28" s="1342"/>
      <c r="R28" s="701"/>
      <c r="S28" s="702"/>
      <c r="T28" s="701"/>
      <c r="U28" s="702"/>
      <c r="V28" s="701"/>
      <c r="W28" s="702"/>
      <c r="X28" s="703"/>
      <c r="Y28" s="3774"/>
      <c r="Z28" s="52"/>
      <c r="AA28" s="1352">
        <v>1</v>
      </c>
      <c r="AB28" s="1352">
        <v>1</v>
      </c>
      <c r="AC28" s="1352">
        <v>1</v>
      </c>
    </row>
    <row r="29" spans="1:29" s="108" customFormat="1" ht="28.5">
      <c r="A29" s="597"/>
      <c r="B29" s="1130"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4"/>
      <c r="Q29" s="1342" t="str">
        <f t="shared" ref="Q29" si="9">B29</f>
        <v>基础设施水平</v>
      </c>
      <c r="R29" s="701" t="s">
        <v>14</v>
      </c>
      <c r="S29" s="702">
        <f>F29</f>
        <v>100</v>
      </c>
      <c r="T29" s="701" t="s">
        <v>14</v>
      </c>
      <c r="U29" s="702">
        <f>H29</f>
        <v>100</v>
      </c>
      <c r="V29" s="701" t="s">
        <v>14</v>
      </c>
      <c r="W29" s="702">
        <f>J29</f>
        <v>100</v>
      </c>
      <c r="X29" s="703"/>
      <c r="Y29" s="3774"/>
      <c r="Z29" s="52" t="str">
        <f>Q29</f>
        <v>基础设施水平</v>
      </c>
      <c r="AA29" s="1352">
        <f>D29/F29</f>
        <v>1</v>
      </c>
      <c r="AB29" s="1352">
        <f>D29/H29</f>
        <v>1</v>
      </c>
      <c r="AC29" s="1352">
        <f>D29/J29</f>
        <v>1</v>
      </c>
    </row>
    <row r="30" spans="1:29" s="108" customFormat="1" ht="15">
      <c r="A30" s="597"/>
      <c r="B30" s="407"/>
      <c r="C30" s="1975"/>
      <c r="D30" s="399"/>
      <c r="E30" s="1976"/>
      <c r="F30" s="399"/>
      <c r="G30" s="1976"/>
      <c r="H30" s="399"/>
      <c r="I30" s="1976"/>
      <c r="J30" s="399"/>
      <c r="K30" s="620"/>
      <c r="L30" s="2714"/>
      <c r="M30" s="2715"/>
      <c r="N30" s="2715"/>
      <c r="O30" s="2769"/>
      <c r="P30" s="3774"/>
      <c r="Q30" s="1342"/>
      <c r="R30" s="701"/>
      <c r="S30" s="702"/>
      <c r="T30" s="701"/>
      <c r="U30" s="702"/>
      <c r="V30" s="701"/>
      <c r="W30" s="702"/>
      <c r="X30" s="703"/>
      <c r="Y30" s="3774"/>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74"/>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4"/>
      <c r="Q32" s="1351" t="str">
        <f t="shared" si="8"/>
        <v>毗邻道路的类型与等级</v>
      </c>
      <c r="R32" s="705" t="s">
        <v>14</v>
      </c>
      <c r="S32" s="706">
        <f t="shared" si="10"/>
        <v>100</v>
      </c>
      <c r="T32" s="705" t="s">
        <v>14</v>
      </c>
      <c r="U32" s="706">
        <f t="shared" si="11"/>
        <v>100</v>
      </c>
      <c r="V32" s="705" t="s">
        <v>14</v>
      </c>
      <c r="W32" s="706">
        <f t="shared" si="12"/>
        <v>100</v>
      </c>
      <c r="X32" s="1354"/>
      <c r="Y32" s="3774"/>
      <c r="Z32" s="1355" t="str">
        <f t="shared" si="13"/>
        <v>毗邻道路的类型与等级</v>
      </c>
      <c r="AA32" s="1352">
        <f t="shared" si="3"/>
        <v>1</v>
      </c>
      <c r="AB32" s="1352">
        <f t="shared" si="4"/>
        <v>1</v>
      </c>
      <c r="AC32" s="1352">
        <f t="shared" si="5"/>
        <v>1</v>
      </c>
    </row>
    <row r="33" spans="1:29" ht="15">
      <c r="A33" s="379"/>
      <c r="B33" s="407"/>
      <c r="C33" s="398"/>
      <c r="D33" s="399"/>
      <c r="E33" s="1901"/>
      <c r="F33" s="399"/>
      <c r="G33" s="1901"/>
      <c r="H33" s="399"/>
      <c r="I33" s="398"/>
      <c r="J33" s="399"/>
      <c r="K33" s="562"/>
      <c r="L33" s="2719"/>
      <c r="M33" s="2713"/>
      <c r="N33" s="2713"/>
      <c r="O33" s="2771"/>
      <c r="P33" s="3774"/>
      <c r="Q33" s="1351"/>
      <c r="R33" s="705"/>
      <c r="S33" s="706"/>
      <c r="T33" s="705"/>
      <c r="U33" s="706"/>
      <c r="V33" s="705"/>
      <c r="W33" s="706"/>
      <c r="X33" s="1354"/>
      <c r="Y33" s="3774"/>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4"/>
      <c r="Q34" s="1351" t="str">
        <f t="shared" si="8"/>
        <v>土地级别</v>
      </c>
      <c r="R34" s="705" t="s">
        <v>14</v>
      </c>
      <c r="S34" s="706">
        <f t="shared" si="10"/>
        <v>100</v>
      </c>
      <c r="T34" s="705" t="s">
        <v>14</v>
      </c>
      <c r="U34" s="706">
        <f t="shared" si="11"/>
        <v>100</v>
      </c>
      <c r="V34" s="705" t="s">
        <v>14</v>
      </c>
      <c r="W34" s="706">
        <f t="shared" si="12"/>
        <v>100</v>
      </c>
      <c r="X34" s="1354"/>
      <c r="Y34" s="377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4"/>
      <c r="Q35" s="1351">
        <f t="shared" si="8"/>
        <v>111</v>
      </c>
      <c r="R35" s="705" t="s">
        <v>14</v>
      </c>
      <c r="S35" s="706">
        <f t="shared" si="10"/>
        <v>100</v>
      </c>
      <c r="T35" s="705" t="s">
        <v>14</v>
      </c>
      <c r="U35" s="706">
        <f t="shared" si="11"/>
        <v>100</v>
      </c>
      <c r="V35" s="705" t="s">
        <v>14</v>
      </c>
      <c r="W35" s="706">
        <f t="shared" si="12"/>
        <v>100</v>
      </c>
      <c r="X35" s="1354"/>
      <c r="Y35" s="377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7" t="s">
        <v>1695</v>
      </c>
      <c r="Q36" s="1351">
        <f t="shared" si="8"/>
        <v>111</v>
      </c>
      <c r="R36" s="705" t="s">
        <v>14</v>
      </c>
      <c r="S36" s="706">
        <f t="shared" si="10"/>
        <v>100</v>
      </c>
      <c r="T36" s="705" t="s">
        <v>14</v>
      </c>
      <c r="U36" s="706">
        <f t="shared" si="11"/>
        <v>100</v>
      </c>
      <c r="V36" s="705" t="s">
        <v>14</v>
      </c>
      <c r="W36" s="706">
        <f t="shared" si="12"/>
        <v>100</v>
      </c>
      <c r="X36" s="1354"/>
      <c r="Y36" s="3778"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78"/>
      <c r="Q37" s="1351">
        <f t="shared" si="8"/>
        <v>111</v>
      </c>
      <c r="R37" s="708" t="s">
        <v>14</v>
      </c>
      <c r="S37" s="709">
        <f t="shared" si="10"/>
        <v>100</v>
      </c>
      <c r="T37" s="708" t="s">
        <v>14</v>
      </c>
      <c r="U37" s="709">
        <f t="shared" si="11"/>
        <v>100</v>
      </c>
      <c r="V37" s="708" t="s">
        <v>14</v>
      </c>
      <c r="W37" s="709">
        <f t="shared" si="12"/>
        <v>100</v>
      </c>
      <c r="X37" s="710"/>
      <c r="Y37" s="3778"/>
      <c r="Z37" s="711">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78"/>
      <c r="Q38" s="1351" t="str">
        <f>B38</f>
        <v>宗地面积</v>
      </c>
      <c r="R38" s="705" t="s">
        <v>14</v>
      </c>
      <c r="S38" s="706" t="e">
        <f t="shared" si="10"/>
        <v>#N/A</v>
      </c>
      <c r="T38" s="705" t="s">
        <v>14</v>
      </c>
      <c r="U38" s="706" t="e">
        <f t="shared" si="11"/>
        <v>#N/A</v>
      </c>
      <c r="V38" s="705" t="s">
        <v>14</v>
      </c>
      <c r="W38" s="706" t="e">
        <f t="shared" si="12"/>
        <v>#N/A</v>
      </c>
      <c r="X38" s="1354"/>
      <c r="Y38" s="3778"/>
      <c r="Z38" s="1355" t="str">
        <f t="shared" si="13"/>
        <v>宗地面积</v>
      </c>
      <c r="AA38" s="1352" t="e">
        <f t="shared" si="3"/>
        <v>#N/A</v>
      </c>
      <c r="AB38" s="1352" t="e">
        <f t="shared" si="4"/>
        <v>#N/A</v>
      </c>
      <c r="AC38" s="1352"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78"/>
      <c r="Q39" s="1351" t="str">
        <f t="shared" ref="Q39:Q45" si="14">B39</f>
        <v>宗地形状</v>
      </c>
      <c r="R39" s="705" t="s">
        <v>14</v>
      </c>
      <c r="S39" s="706">
        <f t="shared" si="10"/>
        <v>100</v>
      </c>
      <c r="T39" s="705" t="s">
        <v>14</v>
      </c>
      <c r="U39" s="706">
        <f t="shared" si="11"/>
        <v>100</v>
      </c>
      <c r="V39" s="705" t="s">
        <v>14</v>
      </c>
      <c r="W39" s="706">
        <f t="shared" si="12"/>
        <v>100</v>
      </c>
      <c r="X39" s="1354"/>
      <c r="Y39" s="3778"/>
      <c r="Z39" s="1355" t="str">
        <f t="shared" si="13"/>
        <v>宗地形状</v>
      </c>
      <c r="AA39" s="1352">
        <f t="shared" si="3"/>
        <v>1</v>
      </c>
      <c r="AB39" s="1352">
        <f t="shared" si="4"/>
        <v>1</v>
      </c>
      <c r="AC39" s="1352">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78"/>
      <c r="Q40" s="1351" t="str">
        <f t="shared" si="14"/>
        <v>临街宽度及深度</v>
      </c>
      <c r="R40" s="705" t="s">
        <v>14</v>
      </c>
      <c r="S40" s="706">
        <f t="shared" si="10"/>
        <v>100</v>
      </c>
      <c r="T40" s="705" t="s">
        <v>14</v>
      </c>
      <c r="U40" s="706">
        <f t="shared" si="11"/>
        <v>100</v>
      </c>
      <c r="V40" s="705" t="s">
        <v>14</v>
      </c>
      <c r="W40" s="706">
        <f t="shared" si="12"/>
        <v>100</v>
      </c>
      <c r="X40" s="1354"/>
      <c r="Y40" s="3778"/>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78"/>
      <c r="Q41" s="1351" t="str">
        <f t="shared" si="14"/>
        <v>宗地开发程度</v>
      </c>
      <c r="R41" s="701" t="s">
        <v>14</v>
      </c>
      <c r="S41" s="702">
        <f t="shared" si="10"/>
        <v>100</v>
      </c>
      <c r="T41" s="701" t="s">
        <v>14</v>
      </c>
      <c r="U41" s="702">
        <f t="shared" si="11"/>
        <v>100</v>
      </c>
      <c r="V41" s="701" t="s">
        <v>14</v>
      </c>
      <c r="W41" s="702">
        <f t="shared" si="12"/>
        <v>100</v>
      </c>
      <c r="X41" s="703"/>
      <c r="Y41" s="3778"/>
      <c r="Z41" s="52" t="str">
        <f t="shared" si="13"/>
        <v>宗地开发程度</v>
      </c>
      <c r="AA41" s="704">
        <f t="shared" si="3"/>
        <v>1</v>
      </c>
      <c r="AB41" s="704">
        <f t="shared" si="4"/>
        <v>1</v>
      </c>
      <c r="AC41" s="704">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78" t="s">
        <v>1695</v>
      </c>
      <c r="Q42" s="1351" t="str">
        <f t="shared" si="14"/>
        <v>工程地质条件</v>
      </c>
      <c r="R42" s="705" t="s">
        <v>14</v>
      </c>
      <c r="S42" s="706">
        <f t="shared" si="10"/>
        <v>100</v>
      </c>
      <c r="T42" s="705" t="s">
        <v>14</v>
      </c>
      <c r="U42" s="706">
        <f t="shared" si="11"/>
        <v>100</v>
      </c>
      <c r="V42" s="705" t="s">
        <v>14</v>
      </c>
      <c r="W42" s="706">
        <f t="shared" si="12"/>
        <v>100</v>
      </c>
      <c r="X42" s="1354"/>
      <c r="Y42" s="3778"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78"/>
      <c r="Q43" s="1351">
        <f t="shared" si="14"/>
        <v>111</v>
      </c>
      <c r="R43" s="705" t="s">
        <v>14</v>
      </c>
      <c r="S43" s="706">
        <f t="shared" si="10"/>
        <v>100</v>
      </c>
      <c r="T43" s="705" t="s">
        <v>14</v>
      </c>
      <c r="U43" s="706">
        <f t="shared" si="11"/>
        <v>100</v>
      </c>
      <c r="V43" s="705" t="s">
        <v>14</v>
      </c>
      <c r="W43" s="706">
        <f t="shared" si="12"/>
        <v>100</v>
      </c>
      <c r="X43" s="1354"/>
      <c r="Y43" s="377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78"/>
      <c r="Q44" s="1351">
        <f t="shared" si="14"/>
        <v>111</v>
      </c>
      <c r="R44" s="705" t="s">
        <v>14</v>
      </c>
      <c r="S44" s="706">
        <f t="shared" si="10"/>
        <v>100</v>
      </c>
      <c r="T44" s="705" t="s">
        <v>14</v>
      </c>
      <c r="U44" s="706">
        <f t="shared" si="11"/>
        <v>100</v>
      </c>
      <c r="V44" s="705" t="s">
        <v>14</v>
      </c>
      <c r="W44" s="706">
        <f t="shared" si="12"/>
        <v>100</v>
      </c>
      <c r="X44" s="1354"/>
      <c r="Y44" s="3778"/>
      <c r="Z44" s="1355">
        <f t="shared" si="13"/>
        <v>111</v>
      </c>
      <c r="AA44" s="1352">
        <f t="shared" si="3"/>
        <v>1</v>
      </c>
      <c r="AB44" s="1352">
        <f t="shared" si="4"/>
        <v>1</v>
      </c>
      <c r="AC44" s="1352">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78"/>
      <c r="Q45" s="1351">
        <f t="shared" si="14"/>
        <v>111</v>
      </c>
      <c r="R45" s="708" t="s">
        <v>14</v>
      </c>
      <c r="S45" s="709">
        <f t="shared" si="10"/>
        <v>100</v>
      </c>
      <c r="T45" s="708" t="s">
        <v>14</v>
      </c>
      <c r="U45" s="709">
        <f t="shared" si="11"/>
        <v>100</v>
      </c>
      <c r="V45" s="708" t="s">
        <v>14</v>
      </c>
      <c r="W45" s="709">
        <f t="shared" si="12"/>
        <v>100</v>
      </c>
      <c r="X45" s="710"/>
      <c r="Y45" s="3778"/>
      <c r="Z45" s="711">
        <f t="shared" si="13"/>
        <v>111</v>
      </c>
      <c r="AA45" s="1352">
        <f t="shared" si="3"/>
        <v>1</v>
      </c>
      <c r="AB45" s="1352">
        <f t="shared" si="4"/>
        <v>1</v>
      </c>
      <c r="AC45" s="1352">
        <f t="shared" si="5"/>
        <v>1</v>
      </c>
    </row>
    <row r="46" spans="1:29" ht="15">
      <c r="A46" s="430" t="s">
        <v>1843</v>
      </c>
      <c r="B46" s="1979" t="s">
        <v>1878</v>
      </c>
      <c r="C46" s="630" t="s">
        <v>0</v>
      </c>
      <c r="D46" s="432"/>
      <c r="E46" s="433"/>
      <c r="F46" s="434"/>
      <c r="G46" s="435"/>
      <c r="H46" s="436"/>
      <c r="I46" s="433"/>
      <c r="J46" s="436"/>
      <c r="K46" s="714"/>
      <c r="L46" s="2721"/>
      <c r="M46" s="2722"/>
      <c r="N46" s="2713"/>
      <c r="O46" s="2722"/>
      <c r="P46" s="3771" t="str">
        <f>A46</f>
        <v>成交单价</v>
      </c>
      <c r="Q46" s="3771"/>
      <c r="R46" s="3766">
        <f>E46</f>
        <v>0</v>
      </c>
      <c r="S46" s="3766"/>
      <c r="T46" s="3766">
        <f>G46</f>
        <v>0</v>
      </c>
      <c r="U46" s="3766"/>
      <c r="V46" s="3766">
        <f>I46</f>
        <v>0</v>
      </c>
      <c r="W46" s="3766"/>
      <c r="X46" s="690"/>
      <c r="Y46" s="712"/>
      <c r="Z46" s="690"/>
      <c r="AA46" s="690"/>
      <c r="AB46" s="690"/>
      <c r="AC46" s="690"/>
    </row>
    <row r="47" spans="1:29" ht="15.75" thickBot="1">
      <c r="A47" s="437" t="s">
        <v>1792</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71" t="str">
        <f>A47</f>
        <v>比较价值（元/平方米）</v>
      </c>
      <c r="Q47" s="3771"/>
      <c r="R47" s="3799" t="e">
        <f>ROUND(PRODUCT(R46,AA7:AA45),0)</f>
        <v>#DIV/0!</v>
      </c>
      <c r="S47" s="3799"/>
      <c r="T47" s="3799" t="e">
        <f>ROUND(PRODUCT(T46,AB7:AB45),0)</f>
        <v>#DIV/0!</v>
      </c>
      <c r="U47" s="3799"/>
      <c r="V47" s="3799" t="e">
        <f>ROUND(PRODUCT(V46,AC7:AC45),0)</f>
        <v>#DIV/0!</v>
      </c>
      <c r="W47" s="3799"/>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68" t="str">
        <f>A48</f>
        <v>估价对象XX用房的比较价值（楼面单价，元/平方米）</v>
      </c>
      <c r="Q48" s="3769"/>
      <c r="R48" s="3800" t="e">
        <f>ROUND(IF(D47="简单平均",AVERAGE(R47:W47),R47*F47+T47*H47+V47*J47),0)</f>
        <v>#DIV/0!</v>
      </c>
      <c r="S48" s="3800"/>
      <c r="T48" s="3800"/>
      <c r="U48" s="3800"/>
      <c r="V48" s="3800"/>
      <c r="W48" s="380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54" t="s">
        <v>1886</v>
      </c>
      <c r="H55" s="3801"/>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3">
        <v>1</v>
      </c>
      <c r="E56" s="638">
        <f>'数据-汇总表'!E8+'数据-汇总表'!E9</f>
        <v>34807</v>
      </c>
      <c r="F56" s="885" t="e">
        <f t="shared" ref="F56:F64" si="15">ROUND(B56*E56/10000,0)</f>
        <v>#DIV/0!</v>
      </c>
      <c r="G56" s="3753"/>
      <c r="H56" s="377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4">
        <v>0.25</v>
      </c>
      <c r="E57" s="642"/>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4">
        <v>0.25</v>
      </c>
      <c r="E60" s="217">
        <f>'数据-汇总表'!E11</f>
        <v>0</v>
      </c>
      <c r="F60" s="885" t="e">
        <f t="shared" si="15"/>
        <v>#DIV/0!</v>
      </c>
      <c r="G60" s="1984"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4">
        <v>0.25</v>
      </c>
      <c r="E61" s="217">
        <f>'数据-汇总表'!E12</f>
        <v>1010.02</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4">
        <v>0.25</v>
      </c>
      <c r="E62" s="217">
        <f>'数据-汇总表'!E13</f>
        <v>5178.7700000000004</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4">
        <v>0.25</v>
      </c>
      <c r="E63" s="217">
        <f>'数据-汇总表'!E14</f>
        <v>0</v>
      </c>
      <c r="F63" s="885" t="e">
        <f t="shared" si="15"/>
        <v>#DIV/0!</v>
      </c>
      <c r="G63" s="1984"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4">
        <v>0.25</v>
      </c>
      <c r="E64" s="217">
        <f>'数据-汇总表'!E15</f>
        <v>0</v>
      </c>
      <c r="F64" s="885" t="e">
        <f t="shared" si="15"/>
        <v>#DIV/0!</v>
      </c>
      <c r="G64" s="1985"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40995.789999999994</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7"/>
      <c r="D2" s="907"/>
      <c r="E2" s="907"/>
      <c r="F2" s="908"/>
      <c r="G2" s="907"/>
      <c r="H2" s="907"/>
      <c r="I2" s="907"/>
      <c r="J2" s="907"/>
      <c r="K2" s="909"/>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9"/>
      <c r="Q3" s="699"/>
      <c r="R3" s="699"/>
      <c r="S3" s="699"/>
      <c r="T3" s="699"/>
      <c r="U3" s="699"/>
      <c r="V3" s="699"/>
      <c r="W3" s="699"/>
      <c r="X3" s="699"/>
      <c r="Y3" s="699"/>
      <c r="Z3" s="699"/>
      <c r="AA3" s="699"/>
      <c r="AB3" s="716"/>
      <c r="AC3" s="713"/>
    </row>
    <row r="4" spans="1:29" ht="15">
      <c r="A4" s="355" t="s">
        <v>1768</v>
      </c>
      <c r="B4" s="356"/>
      <c r="C4" s="3754" t="s">
        <v>1769</v>
      </c>
      <c r="D4" s="3755"/>
      <c r="E4" s="3756" t="s">
        <v>1770</v>
      </c>
      <c r="F4" s="3757"/>
      <c r="G4" s="3754" t="s">
        <v>1771</v>
      </c>
      <c r="H4" s="3755"/>
      <c r="I4" s="3754" t="s">
        <v>1772</v>
      </c>
      <c r="J4" s="3755"/>
      <c r="K4" s="559" t="s">
        <v>1773</v>
      </c>
      <c r="L4" s="2712"/>
      <c r="M4" s="2713"/>
      <c r="N4" s="2713"/>
      <c r="O4" s="2713"/>
      <c r="P4" s="3758" t="s">
        <v>1774</v>
      </c>
      <c r="Q4" s="3759"/>
      <c r="R4" s="3741" t="s">
        <v>1770</v>
      </c>
      <c r="S4" s="3742"/>
      <c r="T4" s="3741" t="s">
        <v>1771</v>
      </c>
      <c r="U4" s="3742"/>
      <c r="V4" s="3766" t="s">
        <v>1772</v>
      </c>
      <c r="W4" s="3766"/>
      <c r="X4" s="1354"/>
      <c r="Y4" s="3741" t="s">
        <v>1774</v>
      </c>
      <c r="Z4" s="3742"/>
      <c r="AA4" s="3736" t="s">
        <v>1770</v>
      </c>
      <c r="AB4" s="3737" t="s">
        <v>1771</v>
      </c>
      <c r="AC4" s="3736" t="s">
        <v>1772</v>
      </c>
    </row>
    <row r="5" spans="1:29" ht="15">
      <c r="A5" s="358"/>
      <c r="B5" s="359"/>
      <c r="C5" s="3747" t="s">
        <v>1672</v>
      </c>
      <c r="D5" s="3748"/>
      <c r="E5" s="3745" t="s">
        <v>1673</v>
      </c>
      <c r="F5" s="3746"/>
      <c r="G5" s="3747" t="s">
        <v>1674</v>
      </c>
      <c r="H5" s="3748"/>
      <c r="I5" s="3747" t="s">
        <v>1675</v>
      </c>
      <c r="J5" s="3748"/>
      <c r="K5" s="559"/>
      <c r="L5" s="2712"/>
      <c r="M5" s="2713"/>
      <c r="N5" s="2713"/>
      <c r="O5" s="2713"/>
      <c r="P5" s="3760"/>
      <c r="Q5" s="3761"/>
      <c r="R5" s="3743"/>
      <c r="S5" s="3744"/>
      <c r="T5" s="3743"/>
      <c r="U5" s="3744"/>
      <c r="V5" s="3766"/>
      <c r="W5" s="3766"/>
      <c r="X5" s="1354"/>
      <c r="Y5" s="3743"/>
      <c r="Z5" s="3744"/>
      <c r="AA5" s="3737"/>
      <c r="AB5" s="3737"/>
      <c r="AC5" s="3737"/>
    </row>
    <row r="6" spans="1:29" ht="15.75" thickBot="1">
      <c r="A6" s="360"/>
      <c r="B6" s="361"/>
      <c r="C6" s="3802" t="s">
        <v>1918</v>
      </c>
      <c r="D6" s="3803"/>
      <c r="E6" s="3804" t="s">
        <v>1918</v>
      </c>
      <c r="F6" s="3805"/>
      <c r="G6" s="3802" t="s">
        <v>1918</v>
      </c>
      <c r="H6" s="3803"/>
      <c r="I6" s="3802" t="s">
        <v>1918</v>
      </c>
      <c r="J6" s="3803"/>
      <c r="K6" s="559" t="s">
        <v>1677</v>
      </c>
      <c r="L6" s="2712"/>
      <c r="M6" s="2713"/>
      <c r="N6" s="2713"/>
      <c r="O6" s="2713"/>
      <c r="P6" s="3762"/>
      <c r="Q6" s="3763"/>
      <c r="R6" s="3743"/>
      <c r="S6" s="3744"/>
      <c r="T6" s="3764"/>
      <c r="U6" s="3765"/>
      <c r="V6" s="3766"/>
      <c r="W6" s="3766"/>
      <c r="X6" s="1354"/>
      <c r="Y6" s="3764"/>
      <c r="Z6" s="3765"/>
      <c r="AA6" s="3738"/>
      <c r="AB6" s="3738"/>
      <c r="AC6" s="3738"/>
    </row>
    <row r="7" spans="1:29" s="108" customFormat="1" ht="15.75" thickBot="1">
      <c r="A7" s="362" t="s">
        <v>1678</v>
      </c>
      <c r="B7" s="363"/>
      <c r="C7" s="364">
        <f>'数据-取费表'!B2</f>
        <v>45722</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39" t="s">
        <v>1679</v>
      </c>
      <c r="Q7" s="3767"/>
      <c r="R7" s="701" t="s">
        <v>14</v>
      </c>
      <c r="S7" s="702">
        <f t="shared" ref="S7:S15" si="0">F7</f>
        <v>0</v>
      </c>
      <c r="T7" s="701" t="s">
        <v>14</v>
      </c>
      <c r="U7" s="702">
        <f t="shared" ref="U7:U15" si="1">H7</f>
        <v>0</v>
      </c>
      <c r="V7" s="701" t="s">
        <v>14</v>
      </c>
      <c r="W7" s="702">
        <f t="shared" ref="W7:W15" si="2">J7</f>
        <v>0</v>
      </c>
      <c r="X7" s="703"/>
      <c r="Y7" s="3739" t="s">
        <v>1679</v>
      </c>
      <c r="Z7" s="374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9" t="s">
        <v>1682</v>
      </c>
      <c r="Q8" s="3740"/>
      <c r="R8" s="701" t="s">
        <v>14</v>
      </c>
      <c r="S8" s="702">
        <f t="shared" si="0"/>
        <v>0</v>
      </c>
      <c r="T8" s="701" t="s">
        <v>14</v>
      </c>
      <c r="U8" s="702">
        <f t="shared" si="1"/>
        <v>0</v>
      </c>
      <c r="V8" s="701" t="s">
        <v>14</v>
      </c>
      <c r="W8" s="702">
        <f t="shared" si="2"/>
        <v>0</v>
      </c>
      <c r="X8" s="703"/>
      <c r="Y8" s="3739" t="s">
        <v>1682</v>
      </c>
      <c r="Z8" s="3740"/>
      <c r="AA8" s="704" t="e">
        <f t="shared" ref="AA8:AA40" si="3">D8/F8</f>
        <v>#DIV/0!</v>
      </c>
      <c r="AB8" s="704" t="e">
        <f t="shared" ref="AB8:AB40" si="4">D8/H8</f>
        <v>#DIV/0!</v>
      </c>
      <c r="AC8" s="704"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71" t="s">
        <v>1685</v>
      </c>
      <c r="Q9" s="1342" t="str">
        <f t="shared" ref="Q9:Q15" si="6">B9</f>
        <v>用途</v>
      </c>
      <c r="R9" s="701" t="s">
        <v>14</v>
      </c>
      <c r="S9" s="702">
        <f t="shared" si="0"/>
        <v>100</v>
      </c>
      <c r="T9" s="701" t="s">
        <v>14</v>
      </c>
      <c r="U9" s="702">
        <f t="shared" si="1"/>
        <v>100</v>
      </c>
      <c r="V9" s="701" t="s">
        <v>14</v>
      </c>
      <c r="W9" s="702">
        <f t="shared" si="2"/>
        <v>100</v>
      </c>
      <c r="X9" s="703"/>
      <c r="Y9" s="366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121</v>
      </c>
      <c r="G10" s="383"/>
      <c r="H10" s="127">
        <f>ROUND(100/'数据-取费表'!G16,0)</f>
        <v>121</v>
      </c>
      <c r="I10" s="383"/>
      <c r="J10" s="127">
        <f>ROUND(100/'数据-取费表'!G16,0)</f>
        <v>121</v>
      </c>
      <c r="K10" s="620"/>
      <c r="L10" s="2716"/>
      <c r="M10" s="2717"/>
      <c r="N10" s="2717"/>
      <c r="O10" s="2770"/>
      <c r="P10" s="3771"/>
      <c r="Q10" s="1342" t="str">
        <f t="shared" si="6"/>
        <v>土地使用年限（年）</v>
      </c>
      <c r="R10" s="701" t="s">
        <v>14</v>
      </c>
      <c r="S10" s="702">
        <f t="shared" si="0"/>
        <v>121</v>
      </c>
      <c r="T10" s="701" t="s">
        <v>14</v>
      </c>
      <c r="U10" s="702">
        <f t="shared" si="1"/>
        <v>121</v>
      </c>
      <c r="V10" s="701" t="s">
        <v>14</v>
      </c>
      <c r="W10" s="702">
        <f t="shared" si="2"/>
        <v>121</v>
      </c>
      <c r="X10" s="703"/>
      <c r="Y10" s="3664"/>
      <c r="Z10" s="52" t="str">
        <f t="shared" si="7"/>
        <v>土地使用年限（年）</v>
      </c>
      <c r="AA10" s="704">
        <f t="shared" si="3"/>
        <v>0.82644628099173556</v>
      </c>
      <c r="AB10" s="704">
        <f t="shared" si="4"/>
        <v>0.82644628099173556</v>
      </c>
      <c r="AC10" s="704">
        <f t="shared" si="5"/>
        <v>0.82644628099173556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1"/>
      <c r="Q11" s="1342" t="str">
        <f t="shared" si="6"/>
        <v>容积率</v>
      </c>
      <c r="R11" s="701" t="s">
        <v>14</v>
      </c>
      <c r="S11" s="702" t="e">
        <f t="shared" si="0"/>
        <v>#N/A</v>
      </c>
      <c r="T11" s="701" t="s">
        <v>14</v>
      </c>
      <c r="U11" s="702" t="e">
        <f t="shared" si="1"/>
        <v>#N/A</v>
      </c>
      <c r="V11" s="701" t="s">
        <v>14</v>
      </c>
      <c r="W11" s="702" t="e">
        <f t="shared" si="2"/>
        <v>#N/A</v>
      </c>
      <c r="X11" s="703"/>
      <c r="Y11" s="3664"/>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1"/>
      <c r="Q12" s="1342">
        <f t="shared" si="6"/>
        <v>111</v>
      </c>
      <c r="R12" s="701" t="s">
        <v>14</v>
      </c>
      <c r="S12" s="702">
        <f t="shared" si="0"/>
        <v>100</v>
      </c>
      <c r="T12" s="701" t="s">
        <v>14</v>
      </c>
      <c r="U12" s="702">
        <f t="shared" si="1"/>
        <v>100</v>
      </c>
      <c r="V12" s="701" t="s">
        <v>14</v>
      </c>
      <c r="W12" s="702">
        <f t="shared" si="2"/>
        <v>100</v>
      </c>
      <c r="X12" s="703"/>
      <c r="Y12" s="3664"/>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1"/>
      <c r="Q13" s="1342">
        <f t="shared" si="6"/>
        <v>111</v>
      </c>
      <c r="R13" s="701" t="s">
        <v>14</v>
      </c>
      <c r="S13" s="702">
        <f t="shared" si="0"/>
        <v>100</v>
      </c>
      <c r="T13" s="701" t="s">
        <v>14</v>
      </c>
      <c r="U13" s="702">
        <f t="shared" si="1"/>
        <v>100</v>
      </c>
      <c r="V13" s="701" t="s">
        <v>14</v>
      </c>
      <c r="W13" s="702">
        <f t="shared" si="2"/>
        <v>100</v>
      </c>
      <c r="X13" s="703"/>
      <c r="Y13" s="3664"/>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1"/>
      <c r="Q14" s="1342">
        <f t="shared" si="6"/>
        <v>111</v>
      </c>
      <c r="R14" s="701" t="s">
        <v>14</v>
      </c>
      <c r="S14" s="702">
        <f t="shared" si="0"/>
        <v>100</v>
      </c>
      <c r="T14" s="701" t="s">
        <v>14</v>
      </c>
      <c r="U14" s="702">
        <f t="shared" si="1"/>
        <v>100</v>
      </c>
      <c r="V14" s="701" t="s">
        <v>14</v>
      </c>
      <c r="W14" s="702">
        <f t="shared" si="2"/>
        <v>100</v>
      </c>
      <c r="X14" s="703"/>
      <c r="Y14" s="3664"/>
      <c r="Z14" s="52">
        <f t="shared" si="7"/>
        <v>111</v>
      </c>
      <c r="AA14" s="704">
        <f t="shared" si="3"/>
        <v>1</v>
      </c>
      <c r="AB14" s="704">
        <f t="shared" si="4"/>
        <v>1</v>
      </c>
      <c r="AC14" s="704">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73" t="s">
        <v>1690</v>
      </c>
      <c r="Q15" s="1351" t="str">
        <f t="shared" si="6"/>
        <v>产业集聚程度</v>
      </c>
      <c r="R15" s="705" t="s">
        <v>14</v>
      </c>
      <c r="S15" s="706">
        <f t="shared" si="0"/>
        <v>100</v>
      </c>
      <c r="T15" s="705" t="s">
        <v>14</v>
      </c>
      <c r="U15" s="706">
        <f t="shared" si="1"/>
        <v>100</v>
      </c>
      <c r="V15" s="705" t="s">
        <v>14</v>
      </c>
      <c r="W15" s="706">
        <f t="shared" si="2"/>
        <v>100</v>
      </c>
      <c r="X15" s="1354"/>
      <c r="Y15" s="3773" t="s">
        <v>1690</v>
      </c>
      <c r="Z15" s="1355" t="str">
        <f t="shared" si="7"/>
        <v>产业集聚程度</v>
      </c>
      <c r="AA15" s="1352">
        <f t="shared" si="3"/>
        <v>1</v>
      </c>
      <c r="AB15" s="1352">
        <f t="shared" si="4"/>
        <v>1</v>
      </c>
      <c r="AC15" s="1352">
        <f t="shared" si="5"/>
        <v>1</v>
      </c>
    </row>
    <row r="16" spans="1:29" ht="15">
      <c r="A16" s="379"/>
      <c r="B16" s="578"/>
      <c r="C16" s="398"/>
      <c r="D16" s="399"/>
      <c r="E16" s="1901"/>
      <c r="F16" s="399"/>
      <c r="G16" s="1901"/>
      <c r="H16" s="401"/>
      <c r="I16" s="1901"/>
      <c r="J16" s="399"/>
      <c r="K16" s="620"/>
      <c r="L16" s="2719"/>
      <c r="M16" s="2713"/>
      <c r="N16" s="2713"/>
      <c r="O16" s="2771"/>
      <c r="P16" s="3774"/>
      <c r="Q16" s="1351"/>
      <c r="R16" s="705"/>
      <c r="S16" s="706"/>
      <c r="T16" s="705"/>
      <c r="U16" s="706"/>
      <c r="V16" s="705"/>
      <c r="W16" s="706"/>
      <c r="X16" s="1354"/>
      <c r="Y16" s="3774"/>
      <c r="Z16" s="1355"/>
      <c r="AA16" s="1352">
        <v>1</v>
      </c>
      <c r="AB16" s="1352">
        <v>1</v>
      </c>
      <c r="AC16" s="1352">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4"/>
      <c r="Q17" s="1351" t="str">
        <f>B17</f>
        <v>交通便捷度</v>
      </c>
      <c r="R17" s="705" t="s">
        <v>14</v>
      </c>
      <c r="S17" s="706">
        <f>F17</f>
        <v>100</v>
      </c>
      <c r="T17" s="705" t="s">
        <v>14</v>
      </c>
      <c r="U17" s="706">
        <f>H17</f>
        <v>100</v>
      </c>
      <c r="V17" s="705" t="s">
        <v>14</v>
      </c>
      <c r="W17" s="706">
        <f>J17</f>
        <v>100</v>
      </c>
      <c r="X17" s="1354"/>
      <c r="Y17" s="3774"/>
      <c r="Z17" s="1355" t="str">
        <f>Q17</f>
        <v>交通便捷度</v>
      </c>
      <c r="AA17" s="1352">
        <f t="shared" si="3"/>
        <v>1</v>
      </c>
      <c r="AB17" s="1352">
        <f t="shared" si="4"/>
        <v>1</v>
      </c>
      <c r="AC17" s="1352">
        <f t="shared" si="5"/>
        <v>1</v>
      </c>
    </row>
    <row r="18" spans="1:29" ht="15">
      <c r="A18" s="379"/>
      <c r="B18" s="580"/>
      <c r="C18" s="398"/>
      <c r="D18" s="399"/>
      <c r="E18" s="1895"/>
      <c r="F18" s="399"/>
      <c r="G18" s="1895"/>
      <c r="H18" s="399"/>
      <c r="I18" s="1894"/>
      <c r="J18" s="399"/>
      <c r="K18" s="620"/>
      <c r="L18" s="2719"/>
      <c r="M18" s="2713"/>
      <c r="N18" s="2713"/>
      <c r="O18" s="2771"/>
      <c r="P18" s="3774"/>
      <c r="Q18" s="1351"/>
      <c r="R18" s="705"/>
      <c r="S18" s="706"/>
      <c r="T18" s="705"/>
      <c r="U18" s="706"/>
      <c r="V18" s="705"/>
      <c r="W18" s="706"/>
      <c r="X18" s="1354"/>
      <c r="Y18" s="3774"/>
      <c r="Z18" s="1355"/>
      <c r="AA18" s="1352">
        <v>1</v>
      </c>
      <c r="AB18" s="1352">
        <v>1</v>
      </c>
      <c r="AC18" s="1352">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4"/>
      <c r="Q19" s="1351" t="str">
        <f t="shared" ref="Q19:Q33" si="8">B19</f>
        <v>区域土地利用方向</v>
      </c>
      <c r="R19" s="705" t="s">
        <v>14</v>
      </c>
      <c r="S19" s="706">
        <f>F19</f>
        <v>100</v>
      </c>
      <c r="T19" s="705" t="s">
        <v>14</v>
      </c>
      <c r="U19" s="706">
        <f>H19</f>
        <v>100</v>
      </c>
      <c r="V19" s="705" t="s">
        <v>14</v>
      </c>
      <c r="W19" s="706">
        <f>J19</f>
        <v>100</v>
      </c>
      <c r="X19" s="1354"/>
      <c r="Y19" s="3774"/>
      <c r="Z19" s="1355" t="str">
        <f>Q19</f>
        <v>区域土地利用方向</v>
      </c>
      <c r="AA19" s="1352">
        <f t="shared" si="3"/>
        <v>1</v>
      </c>
      <c r="AB19" s="1352">
        <f t="shared" si="4"/>
        <v>1</v>
      </c>
      <c r="AC19" s="1352">
        <f t="shared" si="5"/>
        <v>1</v>
      </c>
    </row>
    <row r="20" spans="1:29" ht="15">
      <c r="A20" s="358"/>
      <c r="B20" s="580"/>
      <c r="C20" s="398"/>
      <c r="D20" s="399"/>
      <c r="E20" s="1895"/>
      <c r="F20" s="399"/>
      <c r="G20" s="1895"/>
      <c r="H20" s="399"/>
      <c r="I20" s="1895"/>
      <c r="J20" s="399"/>
      <c r="K20" s="740"/>
      <c r="L20" s="2719"/>
      <c r="M20" s="2713"/>
      <c r="N20" s="2713"/>
      <c r="O20" s="2771"/>
      <c r="P20" s="3774"/>
      <c r="Q20" s="1351"/>
      <c r="R20" s="705"/>
      <c r="S20" s="706"/>
      <c r="T20" s="705"/>
      <c r="U20" s="706"/>
      <c r="V20" s="705"/>
      <c r="W20" s="706"/>
      <c r="X20" s="1354"/>
      <c r="Y20" s="3774"/>
      <c r="Z20" s="1355"/>
      <c r="AA20" s="1352"/>
      <c r="AB20" s="1352"/>
      <c r="AC20" s="1352"/>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4"/>
      <c r="Q21" s="1351" t="str">
        <f t="shared" si="8"/>
        <v>环境状况</v>
      </c>
      <c r="R21" s="705" t="s">
        <v>14</v>
      </c>
      <c r="S21" s="706">
        <f>F21</f>
        <v>100</v>
      </c>
      <c r="T21" s="705" t="s">
        <v>14</v>
      </c>
      <c r="U21" s="706">
        <f>H21</f>
        <v>100</v>
      </c>
      <c r="V21" s="705" t="s">
        <v>14</v>
      </c>
      <c r="W21" s="706">
        <f>J21</f>
        <v>100</v>
      </c>
      <c r="X21" s="1354"/>
      <c r="Y21" s="3774"/>
      <c r="Z21" s="1355" t="str">
        <f>Q21</f>
        <v>环境状况</v>
      </c>
      <c r="AA21" s="1352">
        <f t="shared" si="3"/>
        <v>1</v>
      </c>
      <c r="AB21" s="1352">
        <f t="shared" si="4"/>
        <v>1</v>
      </c>
      <c r="AC21" s="1352">
        <f t="shared" si="5"/>
        <v>1</v>
      </c>
    </row>
    <row r="22" spans="1:29" ht="15">
      <c r="A22" s="358"/>
      <c r="B22" s="580"/>
      <c r="C22" s="398"/>
      <c r="D22" s="399"/>
      <c r="E22" s="1901"/>
      <c r="F22" s="399"/>
      <c r="G22" s="1901"/>
      <c r="H22" s="399"/>
      <c r="I22" s="398"/>
      <c r="J22" s="399"/>
      <c r="K22" s="620"/>
      <c r="L22" s="2719"/>
      <c r="M22" s="2713"/>
      <c r="N22" s="2713"/>
      <c r="O22" s="2771"/>
      <c r="P22" s="3774"/>
      <c r="Q22" s="1351"/>
      <c r="R22" s="705"/>
      <c r="S22" s="706"/>
      <c r="T22" s="705"/>
      <c r="U22" s="706"/>
      <c r="V22" s="705"/>
      <c r="W22" s="706"/>
      <c r="X22" s="1354"/>
      <c r="Y22" s="3774"/>
      <c r="Z22" s="1355"/>
      <c r="AA22" s="1352">
        <v>1</v>
      </c>
      <c r="AB22" s="1352">
        <v>1</v>
      </c>
      <c r="AC22" s="1352">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4"/>
      <c r="Q23" s="1342" t="str">
        <f t="shared" si="8"/>
        <v>公共配套设施</v>
      </c>
      <c r="R23" s="701" t="s">
        <v>14</v>
      </c>
      <c r="S23" s="702">
        <f>F23</f>
        <v>100</v>
      </c>
      <c r="T23" s="701" t="s">
        <v>14</v>
      </c>
      <c r="U23" s="702">
        <f>H23</f>
        <v>100</v>
      </c>
      <c r="V23" s="701" t="s">
        <v>14</v>
      </c>
      <c r="W23" s="702">
        <f>J23</f>
        <v>100</v>
      </c>
      <c r="X23" s="703"/>
      <c r="Y23" s="3774"/>
      <c r="Z23" s="52" t="str">
        <f>Q23</f>
        <v>公共配套设施</v>
      </c>
      <c r="AA23" s="1352">
        <f>D23/F23</f>
        <v>1</v>
      </c>
      <c r="AB23" s="1352">
        <f>D23/H23</f>
        <v>1</v>
      </c>
      <c r="AC23" s="1352">
        <f>D23/J23</f>
        <v>1</v>
      </c>
    </row>
    <row r="24" spans="1:29" s="108" customFormat="1" ht="15">
      <c r="A24" s="597"/>
      <c r="B24" s="580"/>
      <c r="C24" s="1975"/>
      <c r="D24" s="399"/>
      <c r="E24" s="1901"/>
      <c r="F24" s="399"/>
      <c r="G24" s="1901"/>
      <c r="H24" s="399"/>
      <c r="I24" s="398"/>
      <c r="J24" s="399"/>
      <c r="K24" s="620"/>
      <c r="L24" s="2714"/>
      <c r="M24" s="2715"/>
      <c r="N24" s="2715"/>
      <c r="O24" s="2769"/>
      <c r="P24" s="3774"/>
      <c r="Q24" s="1342"/>
      <c r="R24" s="701"/>
      <c r="S24" s="702"/>
      <c r="T24" s="701"/>
      <c r="U24" s="702"/>
      <c r="V24" s="701"/>
      <c r="W24" s="702"/>
      <c r="X24" s="703"/>
      <c r="Y24" s="3774"/>
      <c r="Z24" s="52"/>
      <c r="AA24" s="704">
        <v>1</v>
      </c>
      <c r="AB24" s="704">
        <v>1</v>
      </c>
      <c r="AC24" s="704">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4"/>
      <c r="Q25" s="1342" t="str">
        <f t="shared" ref="Q25" si="9">B25</f>
        <v>基础设施水平</v>
      </c>
      <c r="R25" s="701" t="s">
        <v>14</v>
      </c>
      <c r="S25" s="702">
        <f>F25</f>
        <v>100</v>
      </c>
      <c r="T25" s="701" t="s">
        <v>14</v>
      </c>
      <c r="U25" s="702">
        <f>H25</f>
        <v>100</v>
      </c>
      <c r="V25" s="701" t="s">
        <v>14</v>
      </c>
      <c r="W25" s="702">
        <f>J25</f>
        <v>100</v>
      </c>
      <c r="X25" s="703"/>
      <c r="Y25" s="3774"/>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14"/>
      <c r="M26" s="2715"/>
      <c r="N26" s="2715"/>
      <c r="O26" s="2769"/>
      <c r="P26" s="3774"/>
      <c r="Q26" s="1342"/>
      <c r="R26" s="701"/>
      <c r="S26" s="702"/>
      <c r="T26" s="701"/>
      <c r="U26" s="702"/>
      <c r="V26" s="701"/>
      <c r="W26" s="702"/>
      <c r="X26" s="703"/>
      <c r="Y26" s="3774"/>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74"/>
      <c r="Z27" s="1355" t="str">
        <f t="shared" ref="Z27:Z40" si="13">Q27</f>
        <v>临街状况</v>
      </c>
      <c r="AA27" s="1352">
        <f t="shared" si="3"/>
        <v>1</v>
      </c>
      <c r="AB27" s="1352">
        <f t="shared" si="4"/>
        <v>1</v>
      </c>
      <c r="AC27" s="1352">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4"/>
      <c r="Q28" s="1351" t="str">
        <f t="shared" si="8"/>
        <v>毗邻道路的类型与等级</v>
      </c>
      <c r="R28" s="705" t="s">
        <v>14</v>
      </c>
      <c r="S28" s="706">
        <f t="shared" si="10"/>
        <v>100</v>
      </c>
      <c r="T28" s="705" t="s">
        <v>14</v>
      </c>
      <c r="U28" s="706">
        <f t="shared" si="11"/>
        <v>100</v>
      </c>
      <c r="V28" s="705" t="s">
        <v>14</v>
      </c>
      <c r="W28" s="706">
        <f t="shared" si="12"/>
        <v>100</v>
      </c>
      <c r="X28" s="1354"/>
      <c r="Y28" s="3774"/>
      <c r="Z28" s="1355" t="str">
        <f t="shared" si="13"/>
        <v>毗邻道路的类型与等级</v>
      </c>
      <c r="AA28" s="1352">
        <f t="shared" si="3"/>
        <v>1</v>
      </c>
      <c r="AB28" s="1352">
        <f t="shared" si="4"/>
        <v>1</v>
      </c>
      <c r="AC28" s="1352">
        <f t="shared" si="5"/>
        <v>1</v>
      </c>
    </row>
    <row r="29" spans="1:29" ht="15">
      <c r="A29" s="379"/>
      <c r="B29" s="580"/>
      <c r="C29" s="398"/>
      <c r="D29" s="399"/>
      <c r="E29" s="1901"/>
      <c r="F29" s="399"/>
      <c r="G29" s="1901"/>
      <c r="H29" s="399"/>
      <c r="I29" s="1901"/>
      <c r="J29" s="399"/>
      <c r="K29" s="562"/>
      <c r="L29" s="2719"/>
      <c r="M29" s="2713"/>
      <c r="N29" s="2713"/>
      <c r="O29" s="2771"/>
      <c r="P29" s="3774"/>
      <c r="Q29" s="1351"/>
      <c r="R29" s="705"/>
      <c r="S29" s="706"/>
      <c r="T29" s="705"/>
      <c r="U29" s="706"/>
      <c r="V29" s="705"/>
      <c r="W29" s="706"/>
      <c r="X29" s="1354"/>
      <c r="Y29" s="3774"/>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4"/>
      <c r="Q30" s="1351" t="str">
        <f t="shared" si="8"/>
        <v>土地级别</v>
      </c>
      <c r="R30" s="705" t="s">
        <v>14</v>
      </c>
      <c r="S30" s="706">
        <f t="shared" si="10"/>
        <v>100</v>
      </c>
      <c r="T30" s="705" t="s">
        <v>14</v>
      </c>
      <c r="U30" s="706">
        <f t="shared" si="11"/>
        <v>100</v>
      </c>
      <c r="V30" s="705" t="s">
        <v>14</v>
      </c>
      <c r="W30" s="706">
        <f t="shared" si="12"/>
        <v>100</v>
      </c>
      <c r="X30" s="1354"/>
      <c r="Y30" s="3774"/>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4"/>
      <c r="Q31" s="1351">
        <f t="shared" si="8"/>
        <v>111</v>
      </c>
      <c r="R31" s="705" t="s">
        <v>14</v>
      </c>
      <c r="S31" s="706">
        <f t="shared" si="10"/>
        <v>100</v>
      </c>
      <c r="T31" s="705" t="s">
        <v>14</v>
      </c>
      <c r="U31" s="706">
        <f t="shared" si="11"/>
        <v>100</v>
      </c>
      <c r="V31" s="705" t="s">
        <v>14</v>
      </c>
      <c r="W31" s="706">
        <f t="shared" si="12"/>
        <v>100</v>
      </c>
      <c r="X31" s="1354"/>
      <c r="Y31" s="3774"/>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7" t="s">
        <v>1695</v>
      </c>
      <c r="Q32" s="1351">
        <f t="shared" si="8"/>
        <v>111</v>
      </c>
      <c r="R32" s="705" t="s">
        <v>14</v>
      </c>
      <c r="S32" s="706">
        <f t="shared" si="10"/>
        <v>100</v>
      </c>
      <c r="T32" s="705" t="s">
        <v>14</v>
      </c>
      <c r="U32" s="706">
        <f t="shared" si="11"/>
        <v>100</v>
      </c>
      <c r="V32" s="705" t="s">
        <v>14</v>
      </c>
      <c r="W32" s="706">
        <f t="shared" si="12"/>
        <v>100</v>
      </c>
      <c r="X32" s="1354"/>
      <c r="Y32" s="3778" t="s">
        <v>1695</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78"/>
      <c r="Q33" s="1351">
        <f t="shared" si="8"/>
        <v>111</v>
      </c>
      <c r="R33" s="708" t="s">
        <v>14</v>
      </c>
      <c r="S33" s="709">
        <f t="shared" si="10"/>
        <v>100</v>
      </c>
      <c r="T33" s="708" t="s">
        <v>14</v>
      </c>
      <c r="U33" s="709">
        <f t="shared" si="11"/>
        <v>100</v>
      </c>
      <c r="V33" s="708" t="s">
        <v>14</v>
      </c>
      <c r="W33" s="709">
        <f t="shared" si="12"/>
        <v>100</v>
      </c>
      <c r="X33" s="710"/>
      <c r="Y33" s="3778"/>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78"/>
      <c r="Q34" s="1351" t="str">
        <f>B34</f>
        <v>宗地面积</v>
      </c>
      <c r="R34" s="705" t="s">
        <v>14</v>
      </c>
      <c r="S34" s="706" t="e">
        <f t="shared" si="10"/>
        <v>#N/A</v>
      </c>
      <c r="T34" s="705" t="s">
        <v>14</v>
      </c>
      <c r="U34" s="706" t="e">
        <f t="shared" si="11"/>
        <v>#N/A</v>
      </c>
      <c r="V34" s="705" t="s">
        <v>14</v>
      </c>
      <c r="W34" s="706" t="e">
        <f t="shared" si="12"/>
        <v>#N/A</v>
      </c>
      <c r="X34" s="1354"/>
      <c r="Y34" s="3778"/>
      <c r="Z34" s="1355" t="str">
        <f t="shared" si="13"/>
        <v>宗地面积</v>
      </c>
      <c r="AA34" s="1352" t="e">
        <f t="shared" si="3"/>
        <v>#N/A</v>
      </c>
      <c r="AB34" s="1352" t="e">
        <f t="shared" si="4"/>
        <v>#N/A</v>
      </c>
      <c r="AC34" s="1352"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78"/>
      <c r="Q35" s="1351" t="str">
        <f t="shared" ref="Q35:Q40" si="14">B35</f>
        <v>宗地形状</v>
      </c>
      <c r="R35" s="705" t="s">
        <v>14</v>
      </c>
      <c r="S35" s="706">
        <f t="shared" si="10"/>
        <v>100</v>
      </c>
      <c r="T35" s="705" t="s">
        <v>14</v>
      </c>
      <c r="U35" s="706">
        <f t="shared" si="11"/>
        <v>100</v>
      </c>
      <c r="V35" s="705" t="s">
        <v>14</v>
      </c>
      <c r="W35" s="706">
        <f t="shared" si="12"/>
        <v>100</v>
      </c>
      <c r="X35" s="1354"/>
      <c r="Y35" s="3778"/>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78"/>
      <c r="Q36" s="1351" t="str">
        <f t="shared" si="14"/>
        <v>宗地开发程度</v>
      </c>
      <c r="R36" s="701" t="s">
        <v>14</v>
      </c>
      <c r="S36" s="702">
        <f t="shared" si="10"/>
        <v>100</v>
      </c>
      <c r="T36" s="701" t="s">
        <v>14</v>
      </c>
      <c r="U36" s="702">
        <f t="shared" si="11"/>
        <v>100</v>
      </c>
      <c r="V36" s="701" t="s">
        <v>14</v>
      </c>
      <c r="W36" s="702">
        <f t="shared" si="12"/>
        <v>100</v>
      </c>
      <c r="X36" s="703"/>
      <c r="Y36" s="3778"/>
      <c r="Z36" s="52" t="str">
        <f t="shared" si="13"/>
        <v>宗地开发程度</v>
      </c>
      <c r="AA36" s="704">
        <f t="shared" si="3"/>
        <v>1</v>
      </c>
      <c r="AB36" s="704">
        <f t="shared" si="4"/>
        <v>1</v>
      </c>
      <c r="AC36" s="704">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78" t="s">
        <v>1695</v>
      </c>
      <c r="Q37" s="1351" t="str">
        <f t="shared" si="14"/>
        <v>工程地质条件</v>
      </c>
      <c r="R37" s="705" t="s">
        <v>14</v>
      </c>
      <c r="S37" s="706">
        <f t="shared" si="10"/>
        <v>100</v>
      </c>
      <c r="T37" s="705" t="s">
        <v>14</v>
      </c>
      <c r="U37" s="706">
        <f t="shared" si="11"/>
        <v>100</v>
      </c>
      <c r="V37" s="705" t="s">
        <v>14</v>
      </c>
      <c r="W37" s="706">
        <f t="shared" si="12"/>
        <v>100</v>
      </c>
      <c r="X37" s="1354"/>
      <c r="Y37" s="3778"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78"/>
      <c r="Q38" s="1351">
        <f t="shared" si="14"/>
        <v>111</v>
      </c>
      <c r="R38" s="705" t="s">
        <v>14</v>
      </c>
      <c r="S38" s="706">
        <f t="shared" si="10"/>
        <v>100</v>
      </c>
      <c r="T38" s="705" t="s">
        <v>14</v>
      </c>
      <c r="U38" s="706">
        <f t="shared" si="11"/>
        <v>100</v>
      </c>
      <c r="V38" s="705" t="s">
        <v>14</v>
      </c>
      <c r="W38" s="706">
        <f t="shared" si="12"/>
        <v>100</v>
      </c>
      <c r="X38" s="1354"/>
      <c r="Y38" s="377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78"/>
      <c r="Q39" s="1351">
        <f t="shared" si="14"/>
        <v>111</v>
      </c>
      <c r="R39" s="705" t="s">
        <v>14</v>
      </c>
      <c r="S39" s="706">
        <f t="shared" si="10"/>
        <v>100</v>
      </c>
      <c r="T39" s="705" t="s">
        <v>14</v>
      </c>
      <c r="U39" s="706">
        <f t="shared" si="11"/>
        <v>100</v>
      </c>
      <c r="V39" s="705" t="s">
        <v>14</v>
      </c>
      <c r="W39" s="706">
        <f t="shared" si="12"/>
        <v>100</v>
      </c>
      <c r="X39" s="1354"/>
      <c r="Y39" s="3778"/>
      <c r="Z39" s="1355">
        <f t="shared" si="13"/>
        <v>111</v>
      </c>
      <c r="AA39" s="1352">
        <f t="shared" si="3"/>
        <v>1</v>
      </c>
      <c r="AB39" s="1352">
        <f t="shared" si="4"/>
        <v>1</v>
      </c>
      <c r="AC39" s="1352">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78"/>
      <c r="Q40" s="1351">
        <f t="shared" si="14"/>
        <v>111</v>
      </c>
      <c r="R40" s="708" t="s">
        <v>14</v>
      </c>
      <c r="S40" s="709">
        <f t="shared" si="10"/>
        <v>100</v>
      </c>
      <c r="T40" s="708" t="s">
        <v>14</v>
      </c>
      <c r="U40" s="709">
        <f t="shared" si="11"/>
        <v>100</v>
      </c>
      <c r="V40" s="708" t="s">
        <v>14</v>
      </c>
      <c r="W40" s="709">
        <f t="shared" si="12"/>
        <v>100</v>
      </c>
      <c r="X40" s="710"/>
      <c r="Y40" s="3778"/>
      <c r="Z40" s="711">
        <f t="shared" si="13"/>
        <v>111</v>
      </c>
      <c r="AA40" s="1352">
        <f t="shared" si="3"/>
        <v>1</v>
      </c>
      <c r="AB40" s="1352">
        <f t="shared" si="4"/>
        <v>1</v>
      </c>
      <c r="AC40" s="1352">
        <f t="shared" si="5"/>
        <v>1</v>
      </c>
    </row>
    <row r="41" spans="1:31" ht="15">
      <c r="A41" s="430" t="s">
        <v>1843</v>
      </c>
      <c r="B41" s="1979" t="s">
        <v>1921</v>
      </c>
      <c r="C41" s="630" t="s">
        <v>0</v>
      </c>
      <c r="D41" s="432"/>
      <c r="E41" s="433"/>
      <c r="F41" s="434"/>
      <c r="G41" s="435"/>
      <c r="H41" s="436"/>
      <c r="I41" s="433"/>
      <c r="J41" s="436"/>
      <c r="K41" s="714"/>
      <c r="L41" s="2721"/>
      <c r="M41" s="2713"/>
      <c r="N41" s="2713"/>
      <c r="O41" s="2722"/>
      <c r="P41" s="3771" t="str">
        <f>A41</f>
        <v>成交单价</v>
      </c>
      <c r="Q41" s="3771"/>
      <c r="R41" s="3766">
        <f>E41</f>
        <v>0</v>
      </c>
      <c r="S41" s="3766"/>
      <c r="T41" s="3766">
        <f>G41</f>
        <v>0</v>
      </c>
      <c r="U41" s="3766"/>
      <c r="V41" s="3766">
        <f>I41</f>
        <v>0</v>
      </c>
      <c r="W41" s="3766"/>
      <c r="X41" s="690"/>
      <c r="Y41" s="712"/>
      <c r="Z41" s="690"/>
      <c r="AA41" s="690"/>
      <c r="AB41" s="690"/>
      <c r="AC41" s="690"/>
    </row>
    <row r="42" spans="1:31" ht="15.75" thickBot="1">
      <c r="A42" s="437" t="s">
        <v>1792</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771" t="str">
        <f>A42</f>
        <v>比较价值（元/平方米）</v>
      </c>
      <c r="Q42" s="3771"/>
      <c r="R42" s="3799" t="e">
        <f>ROUND(PRODUCT(R41,AA7:AA40),0)</f>
        <v>#DIV/0!</v>
      </c>
      <c r="S42" s="3799"/>
      <c r="T42" s="3799" t="e">
        <f>ROUND(PRODUCT(T41,AB7:AB40),0)</f>
        <v>#DIV/0!</v>
      </c>
      <c r="U42" s="3799"/>
      <c r="V42" s="3799" t="e">
        <f>ROUND(PRODUCT(V41,AC7:AC40),0)</f>
        <v>#DIV/0!</v>
      </c>
      <c r="W42" s="3799"/>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68" t="str">
        <f>A43</f>
        <v>估价对象XX用房的比较价值（楼面单价，元/平方米）</v>
      </c>
      <c r="Q43" s="3769"/>
      <c r="R43" s="3800" t="e">
        <f>ROUND(IF(D42="简单平均",AVERAGE(R42:W42),R42*F42+T42*H42+V42*J42),0)</f>
        <v>#DIV/0!</v>
      </c>
      <c r="S43" s="3800"/>
      <c r="T43" s="3800"/>
      <c r="U43" s="3800"/>
      <c r="V43" s="3800"/>
      <c r="W43" s="380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754" t="s">
        <v>1886</v>
      </c>
      <c r="H50" s="3801"/>
      <c r="I50" s="1355" t="s">
        <v>1922</v>
      </c>
      <c r="J50" s="1355">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34807</v>
      </c>
      <c r="F51" s="639" t="e">
        <f t="shared" ref="F51:F60" si="15">ROUND(B51*E51/10000,0)</f>
        <v>#DIV/0!</v>
      </c>
      <c r="G51" s="3753"/>
      <c r="H51" s="377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4">
        <v>0.25</v>
      </c>
      <c r="E52" s="642"/>
      <c r="F52" s="639"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4">
        <v>0.25</v>
      </c>
      <c r="E57" s="217">
        <f>'数据-汇总表'!E12</f>
        <v>1010.02</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4">
        <v>0.25</v>
      </c>
      <c r="E58" s="217">
        <f>'数据-汇总表'!E13</f>
        <v>5178.7700000000004</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4">
        <v>0.25</v>
      </c>
      <c r="E59" s="217">
        <f>'数据-汇总表'!E14</f>
        <v>0</v>
      </c>
      <c r="F59" s="639" t="e">
        <f t="shared" si="15"/>
        <v>#DIV/0!</v>
      </c>
      <c r="G59" s="1984"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18023.05</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809" t="s">
        <v>2083</v>
      </c>
      <c r="D1" s="3810"/>
      <c r="E1" s="3810"/>
      <c r="F1" s="3810"/>
      <c r="G1" s="3810"/>
      <c r="H1" s="3810"/>
      <c r="I1" s="3810"/>
      <c r="J1" s="3810"/>
      <c r="K1" s="3810"/>
      <c r="L1" s="3810"/>
      <c r="M1" s="3810"/>
      <c r="N1" s="3810"/>
      <c r="O1" s="3810"/>
      <c r="P1" s="3810"/>
      <c r="Q1" s="3810"/>
      <c r="R1" s="3810"/>
      <c r="S1" s="3811"/>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7" t="s">
        <v>2094</v>
      </c>
      <c r="E19" s="1339"/>
      <c r="F19" s="1339"/>
      <c r="G19" s="1339"/>
      <c r="H19" s="1058"/>
      <c r="I19" s="159"/>
      <c r="J19" s="159"/>
      <c r="K19" s="159"/>
      <c r="L19" s="159"/>
      <c r="M19" s="159"/>
      <c r="N19" s="159"/>
      <c r="O19" s="159"/>
      <c r="P19" s="159"/>
      <c r="Q19" s="159"/>
      <c r="R19" s="718"/>
      <c r="S19" s="129"/>
    </row>
    <row r="20" spans="1:45" ht="16.5" thickBot="1">
      <c r="A20" s="662"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06" t="s">
        <v>27</v>
      </c>
      <c r="D22" s="3807"/>
      <c r="E22" s="3807"/>
      <c r="F22" s="3807"/>
      <c r="G22" s="3807"/>
      <c r="H22" s="3807"/>
      <c r="I22" s="3807"/>
      <c r="J22" s="3807"/>
      <c r="K22" s="3807"/>
      <c r="L22" s="3807"/>
      <c r="M22" s="3807"/>
      <c r="N22" s="3807"/>
      <c r="O22" s="3807"/>
      <c r="P22" s="3807"/>
      <c r="Q22" s="3808"/>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4758</v>
      </c>
      <c r="C2" s="2142" t="s">
        <v>2073</v>
      </c>
      <c r="D2" s="2142" t="s">
        <v>2074</v>
      </c>
      <c r="E2" s="2609">
        <f ca="1">SUMIF(E6:E13,"&lt;&gt;#ref!",E6:E13)</f>
        <v>34807</v>
      </c>
      <c r="F2" s="2790"/>
      <c r="G2" s="2790"/>
      <c r="H2" s="2790"/>
      <c r="I2" s="2790"/>
      <c r="J2" s="2790"/>
      <c r="K2" s="2790"/>
      <c r="L2" s="2790"/>
      <c r="M2" s="2790"/>
      <c r="N2" s="2790"/>
      <c r="O2" s="2790"/>
      <c r="P2" s="2790"/>
    </row>
    <row r="3" spans="1:16" ht="15.75">
      <c r="A3" s="2142" t="s">
        <v>2075</v>
      </c>
      <c r="B3" s="2599">
        <f ca="1">ROUND(B2*10000/E2,0)</f>
        <v>1367</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4758</v>
      </c>
      <c r="C6" s="2142" t="s">
        <v>2073</v>
      </c>
      <c r="D6" s="2790"/>
      <c r="E6" s="2609">
        <f ca="1">SUMIF(INDIRECT("'"&amp;A6&amp;"'"&amp;"!C:C"),"建筑面积",INDIRECT("'"&amp;A6&amp;"'"&amp;"!D:D"))</f>
        <v>34807</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19" t="s">
        <v>2606</v>
      </c>
      <c r="B20" s="3812" t="s">
        <v>2627</v>
      </c>
      <c r="C20" s="3100" t="s">
        <v>2438</v>
      </c>
      <c r="D20" s="3101"/>
      <c r="E20" s="3102">
        <v>1</v>
      </c>
      <c r="F20" s="3103" t="s">
        <v>2439</v>
      </c>
      <c r="G20" s="3103"/>
    </row>
    <row r="21" spans="1:13" ht="19.5" customHeight="1">
      <c r="A21" s="3820"/>
      <c r="B21" s="3813"/>
      <c r="C21" s="3104" t="s">
        <v>2440</v>
      </c>
      <c r="D21" s="3105"/>
      <c r="E21" s="3106">
        <v>1</v>
      </c>
      <c r="F21" s="3103" t="s">
        <v>2441</v>
      </c>
      <c r="G21" s="3103"/>
    </row>
    <row r="22" spans="1:13" ht="19.5" customHeight="1">
      <c r="A22" s="3820"/>
      <c r="B22" s="3813"/>
      <c r="C22" s="3104" t="s">
        <v>2442</v>
      </c>
      <c r="D22" s="3105"/>
      <c r="E22" s="3106">
        <v>0.9</v>
      </c>
      <c r="F22" s="3103" t="s">
        <v>2443</v>
      </c>
      <c r="G22" s="3103"/>
    </row>
    <row r="23" spans="1:13" ht="19.5" customHeight="1">
      <c r="A23" s="3820"/>
      <c r="B23" s="3813"/>
      <c r="C23" s="3104" t="s">
        <v>2444</v>
      </c>
      <c r="D23" s="3105"/>
      <c r="E23" s="3106">
        <v>0.9</v>
      </c>
      <c r="F23" s="3103" t="s">
        <v>2445</v>
      </c>
      <c r="G23" s="3103"/>
    </row>
    <row r="24" spans="1:13" ht="19.5" customHeight="1">
      <c r="A24" s="3820"/>
      <c r="B24" s="3813"/>
      <c r="C24" s="3104" t="s">
        <v>2446</v>
      </c>
      <c r="D24" s="3105"/>
      <c r="E24" s="3106">
        <v>0.8</v>
      </c>
      <c r="F24" s="3103" t="s">
        <v>2447</v>
      </c>
      <c r="G24" s="3103"/>
    </row>
    <row r="25" spans="1:13" ht="19.5" customHeight="1" thickBot="1">
      <c r="A25" s="3821"/>
      <c r="B25" s="381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15" t="s">
        <v>2630</v>
      </c>
      <c r="B27" s="3812" t="s">
        <v>2611</v>
      </c>
      <c r="C27" s="3100" t="s">
        <v>2451</v>
      </c>
      <c r="D27" s="3101"/>
      <c r="E27" s="3102">
        <v>1</v>
      </c>
      <c r="F27" s="3103" t="s">
        <v>2452</v>
      </c>
      <c r="G27" s="3103"/>
    </row>
    <row r="28" spans="1:13" ht="19.5" customHeight="1">
      <c r="A28" s="3816"/>
      <c r="B28" s="3813"/>
      <c r="C28" s="3104" t="s">
        <v>2453</v>
      </c>
      <c r="D28" s="3105"/>
      <c r="E28" s="3106">
        <v>1</v>
      </c>
      <c r="F28" s="3103" t="s">
        <v>2454</v>
      </c>
      <c r="G28" s="3103"/>
    </row>
    <row r="29" spans="1:13" ht="19.5" customHeight="1">
      <c r="A29" s="3816"/>
      <c r="B29" s="3813"/>
      <c r="C29" s="3104" t="s">
        <v>2455</v>
      </c>
      <c r="D29" s="3105"/>
      <c r="E29" s="3106">
        <v>0.8</v>
      </c>
      <c r="F29" s="3103" t="s">
        <v>2456</v>
      </c>
      <c r="G29" s="3103"/>
    </row>
    <row r="30" spans="1:13" ht="19.5" customHeight="1">
      <c r="A30" s="3816"/>
      <c r="B30" s="3813"/>
      <c r="C30" s="3104" t="s">
        <v>2457</v>
      </c>
      <c r="D30" s="3105"/>
      <c r="E30" s="3106">
        <v>0.8</v>
      </c>
      <c r="F30" s="3103" t="s">
        <v>2458</v>
      </c>
      <c r="G30" s="3103"/>
    </row>
    <row r="31" spans="1:13" ht="19.5" customHeight="1">
      <c r="A31" s="3816"/>
      <c r="B31" s="3813"/>
      <c r="C31" s="3104" t="s">
        <v>2459</v>
      </c>
      <c r="D31" s="3105"/>
      <c r="E31" s="3106">
        <v>0.8</v>
      </c>
      <c r="F31" s="3103" t="s">
        <v>2460</v>
      </c>
      <c r="G31" s="3103"/>
    </row>
    <row r="32" spans="1:13" ht="19.5" customHeight="1">
      <c r="A32" s="3816"/>
      <c r="B32" s="3813"/>
      <c r="C32" s="3104" t="s">
        <v>2461</v>
      </c>
      <c r="D32" s="3105"/>
      <c r="E32" s="3106">
        <v>0.7</v>
      </c>
      <c r="F32" s="3103" t="s">
        <v>2462</v>
      </c>
      <c r="G32" s="3103"/>
    </row>
    <row r="33" spans="1:7" ht="19.5" customHeight="1">
      <c r="A33" s="3816"/>
      <c r="B33" s="3813"/>
      <c r="C33" s="3104" t="s">
        <v>2463</v>
      </c>
      <c r="D33" s="3105"/>
      <c r="E33" s="3106">
        <v>0.8</v>
      </c>
      <c r="F33" s="3103" t="s">
        <v>2464</v>
      </c>
      <c r="G33" s="3103"/>
    </row>
    <row r="34" spans="1:7" ht="19.5" customHeight="1">
      <c r="A34" s="3816"/>
      <c r="B34" s="3813"/>
      <c r="C34" s="3104" t="s">
        <v>2465</v>
      </c>
      <c r="D34" s="3105"/>
      <c r="E34" s="3106">
        <v>0.6</v>
      </c>
      <c r="F34" s="3103" t="s">
        <v>2466</v>
      </c>
      <c r="G34" s="3103"/>
    </row>
    <row r="35" spans="1:7" ht="19.5" customHeight="1">
      <c r="A35" s="3816"/>
      <c r="B35" s="3813"/>
      <c r="C35" s="3104" t="s">
        <v>2467</v>
      </c>
      <c r="D35" s="3105"/>
      <c r="E35" s="3106">
        <v>0.2</v>
      </c>
      <c r="F35" s="3103" t="s">
        <v>2468</v>
      </c>
      <c r="G35" s="3103"/>
    </row>
    <row r="36" spans="1:7" ht="19.5" customHeight="1">
      <c r="A36" s="3816"/>
      <c r="B36" s="3813"/>
      <c r="C36" s="3104" t="s">
        <v>2469</v>
      </c>
      <c r="D36" s="3105"/>
      <c r="E36" s="3106">
        <v>0.2</v>
      </c>
      <c r="F36" s="3103" t="s">
        <v>2470</v>
      </c>
      <c r="G36" s="3103"/>
    </row>
    <row r="37" spans="1:7" ht="19.5" customHeight="1">
      <c r="A37" s="3816"/>
      <c r="B37" s="3818" t="s">
        <v>2631</v>
      </c>
      <c r="C37" s="3104" t="s">
        <v>2471</v>
      </c>
      <c r="D37" s="3105"/>
      <c r="E37" s="3106">
        <v>0.6</v>
      </c>
      <c r="F37" s="3103" t="s">
        <v>2472</v>
      </c>
      <c r="G37" s="3103"/>
    </row>
    <row r="38" spans="1:7" ht="19.5" customHeight="1">
      <c r="A38" s="3816"/>
      <c r="B38" s="3813"/>
      <c r="C38" s="3104" t="s">
        <v>2473</v>
      </c>
      <c r="D38" s="3105"/>
      <c r="E38" s="3106">
        <v>0.6</v>
      </c>
      <c r="F38" s="3103" t="s">
        <v>2474</v>
      </c>
      <c r="G38" s="3103"/>
    </row>
    <row r="39" spans="1:7" ht="19.5" customHeight="1" thickBot="1">
      <c r="A39" s="3817"/>
      <c r="B39" s="381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19" t="s">
        <v>2609</v>
      </c>
      <c r="B41" s="3812" t="s">
        <v>2633</v>
      </c>
      <c r="C41" s="3100" t="s">
        <v>2478</v>
      </c>
      <c r="D41" s="3101"/>
      <c r="E41" s="3102">
        <v>1</v>
      </c>
      <c r="F41" s="3103" t="s">
        <v>2479</v>
      </c>
      <c r="G41" s="3103"/>
    </row>
    <row r="42" spans="1:7" ht="19.5" customHeight="1">
      <c r="A42" s="3820"/>
      <c r="B42" s="3813"/>
      <c r="C42" s="3104" t="s">
        <v>2480</v>
      </c>
      <c r="D42" s="3105"/>
      <c r="E42" s="3106">
        <v>1</v>
      </c>
      <c r="F42" s="3103" t="s">
        <v>2481</v>
      </c>
      <c r="G42" s="3103"/>
    </row>
    <row r="43" spans="1:7" ht="19.5" customHeight="1">
      <c r="A43" s="3820"/>
      <c r="B43" s="3822"/>
      <c r="C43" s="3104" t="s">
        <v>2482</v>
      </c>
      <c r="D43" s="3105"/>
      <c r="E43" s="3106">
        <v>1.5</v>
      </c>
      <c r="F43" s="3103" t="s">
        <v>2483</v>
      </c>
      <c r="G43" s="3103"/>
    </row>
    <row r="44" spans="1:7" ht="19.5" customHeight="1">
      <c r="A44" s="3820"/>
      <c r="B44" s="3115" t="s">
        <v>2634</v>
      </c>
      <c r="C44" s="3104" t="s">
        <v>2635</v>
      </c>
      <c r="D44" s="3105"/>
      <c r="E44" s="3106">
        <v>2</v>
      </c>
      <c r="F44" s="3103" t="s">
        <v>2484</v>
      </c>
      <c r="G44" s="3103"/>
    </row>
    <row r="45" spans="1:7" ht="19.5" customHeight="1">
      <c r="A45" s="3820"/>
      <c r="B45" s="3818" t="s">
        <v>2636</v>
      </c>
      <c r="C45" s="3104" t="s">
        <v>2485</v>
      </c>
      <c r="D45" s="3105"/>
      <c r="E45" s="3106">
        <v>1</v>
      </c>
      <c r="F45" s="3103" t="s">
        <v>2486</v>
      </c>
      <c r="G45" s="3103"/>
    </row>
    <row r="46" spans="1:7" ht="19.5" customHeight="1">
      <c r="A46" s="3820"/>
      <c r="B46" s="3813"/>
      <c r="C46" s="3104" t="s">
        <v>2487</v>
      </c>
      <c r="D46" s="3105"/>
      <c r="E46" s="3106">
        <v>1</v>
      </c>
      <c r="F46" s="3103" t="s">
        <v>2488</v>
      </c>
      <c r="G46" s="3103"/>
    </row>
    <row r="47" spans="1:7" ht="19.5" customHeight="1">
      <c r="A47" s="3820"/>
      <c r="B47" s="3813"/>
      <c r="C47" s="3104" t="s">
        <v>2489</v>
      </c>
      <c r="D47" s="3105"/>
      <c r="E47" s="3106">
        <v>1</v>
      </c>
      <c r="F47" s="3103" t="s">
        <v>2490</v>
      </c>
      <c r="G47" s="3103"/>
    </row>
    <row r="48" spans="1:7" ht="19.5" customHeight="1">
      <c r="A48" s="3820"/>
      <c r="B48" s="3813"/>
      <c r="C48" s="3104" t="s">
        <v>2491</v>
      </c>
      <c r="D48" s="3105"/>
      <c r="E48" s="3106">
        <v>1</v>
      </c>
      <c r="F48" s="3103" t="s">
        <v>2492</v>
      </c>
      <c r="G48" s="3103"/>
    </row>
    <row r="49" spans="1:7" ht="19.5" customHeight="1">
      <c r="A49" s="3820"/>
      <c r="B49" s="3813"/>
      <c r="C49" s="3104" t="s">
        <v>2493</v>
      </c>
      <c r="D49" s="3105"/>
      <c r="E49" s="3106">
        <v>1</v>
      </c>
      <c r="F49" s="3103" t="s">
        <v>2494</v>
      </c>
      <c r="G49" s="3103"/>
    </row>
    <row r="50" spans="1:7" ht="19.5" customHeight="1">
      <c r="A50" s="3820"/>
      <c r="B50" s="3813"/>
      <c r="C50" s="3104" t="s">
        <v>2495</v>
      </c>
      <c r="D50" s="3105"/>
      <c r="E50" s="3106">
        <v>1</v>
      </c>
      <c r="F50" s="3103" t="s">
        <v>2496</v>
      </c>
      <c r="G50" s="3103"/>
    </row>
    <row r="51" spans="1:7" ht="19.5" customHeight="1" thickBot="1">
      <c r="A51" s="3821"/>
      <c r="B51" s="381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18" t="s">
        <v>2650</v>
      </c>
      <c r="C73" s="3089" t="s">
        <v>2651</v>
      </c>
      <c r="D73" s="3089" t="s">
        <v>2652</v>
      </c>
      <c r="E73" s="3115">
        <v>0.2</v>
      </c>
      <c r="F73" s="3115">
        <v>25</v>
      </c>
    </row>
    <row r="74" spans="1:7" ht="24">
      <c r="A74" s="3115">
        <v>2</v>
      </c>
      <c r="B74" s="3813"/>
      <c r="C74" s="3089" t="s">
        <v>2653</v>
      </c>
      <c r="D74" s="3089" t="s">
        <v>2654</v>
      </c>
      <c r="E74" s="3115">
        <v>0.2</v>
      </c>
      <c r="F74" s="3115">
        <v>25</v>
      </c>
    </row>
    <row r="75" spans="1:7" ht="24">
      <c r="A75" s="3115">
        <v>3</v>
      </c>
      <c r="B75" s="3813"/>
      <c r="C75" s="3089" t="s">
        <v>2655</v>
      </c>
      <c r="D75" s="3089" t="s">
        <v>2656</v>
      </c>
      <c r="E75" s="3115">
        <v>0.2</v>
      </c>
      <c r="F75" s="3115">
        <v>25</v>
      </c>
    </row>
    <row r="76" spans="1:7" ht="13.5">
      <c r="A76" s="3115">
        <v>4</v>
      </c>
      <c r="B76" s="3813"/>
      <c r="C76" s="3089" t="s">
        <v>2657</v>
      </c>
      <c r="D76" s="3089" t="s">
        <v>2658</v>
      </c>
      <c r="E76" s="3115">
        <v>0.15</v>
      </c>
      <c r="F76" s="3115">
        <v>20</v>
      </c>
    </row>
    <row r="77" spans="1:7" ht="24">
      <c r="A77" s="3115">
        <v>5</v>
      </c>
      <c r="B77" s="3813"/>
      <c r="C77" s="3089" t="s">
        <v>2659</v>
      </c>
      <c r="D77" s="3089" t="s">
        <v>2660</v>
      </c>
      <c r="E77" s="3115">
        <v>0.15</v>
      </c>
      <c r="F77" s="3115">
        <v>20</v>
      </c>
    </row>
    <row r="78" spans="1:7" ht="24">
      <c r="A78" s="3115">
        <v>6</v>
      </c>
      <c r="B78" s="3813"/>
      <c r="C78" s="3089" t="s">
        <v>2661</v>
      </c>
      <c r="D78" s="3089" t="s">
        <v>2662</v>
      </c>
      <c r="E78" s="3115">
        <v>0.15</v>
      </c>
      <c r="F78" s="3115">
        <v>20</v>
      </c>
    </row>
    <row r="79" spans="1:7" ht="24">
      <c r="A79" s="3115">
        <v>7</v>
      </c>
      <c r="B79" s="3813"/>
      <c r="C79" s="3089" t="s">
        <v>2663</v>
      </c>
      <c r="D79" s="3089" t="s">
        <v>2664</v>
      </c>
      <c r="E79" s="3115">
        <v>0.15</v>
      </c>
      <c r="F79" s="3115">
        <v>20</v>
      </c>
    </row>
    <row r="80" spans="1:7" ht="24">
      <c r="A80" s="3115">
        <v>8</v>
      </c>
      <c r="B80" s="3813"/>
      <c r="C80" s="3089" t="s">
        <v>2665</v>
      </c>
      <c r="D80" s="3089" t="s">
        <v>2666</v>
      </c>
      <c r="E80" s="3115">
        <v>0.1</v>
      </c>
      <c r="F80" s="3115">
        <v>15</v>
      </c>
    </row>
    <row r="81" spans="1:6" ht="24">
      <c r="A81" s="3115">
        <v>9</v>
      </c>
      <c r="B81" s="3813"/>
      <c r="C81" s="3089" t="s">
        <v>2667</v>
      </c>
      <c r="D81" s="3089" t="s">
        <v>2668</v>
      </c>
      <c r="E81" s="3115">
        <v>0.1</v>
      </c>
      <c r="F81" s="3115">
        <v>15</v>
      </c>
    </row>
    <row r="82" spans="1:6" ht="24">
      <c r="A82" s="3115">
        <v>10</v>
      </c>
      <c r="B82" s="3813"/>
      <c r="C82" s="3089" t="s">
        <v>2669</v>
      </c>
      <c r="D82" s="3089" t="s">
        <v>2670</v>
      </c>
      <c r="E82" s="3115">
        <v>0.1</v>
      </c>
      <c r="F82" s="3115">
        <v>15</v>
      </c>
    </row>
    <row r="83" spans="1:6" ht="24">
      <c r="A83" s="3115">
        <v>11</v>
      </c>
      <c r="B83" s="3813"/>
      <c r="C83" s="3089" t="s">
        <v>2671</v>
      </c>
      <c r="D83" s="3089" t="s">
        <v>2672</v>
      </c>
      <c r="E83" s="3115">
        <v>0.1</v>
      </c>
      <c r="F83" s="3115">
        <v>15</v>
      </c>
    </row>
    <row r="84" spans="1:6" ht="24">
      <c r="A84" s="3115">
        <v>12</v>
      </c>
      <c r="B84" s="3813"/>
      <c r="C84" s="3089" t="s">
        <v>2673</v>
      </c>
      <c r="D84" s="3089" t="s">
        <v>2674</v>
      </c>
      <c r="E84" s="3115">
        <v>0.1</v>
      </c>
      <c r="F84" s="3115">
        <v>15</v>
      </c>
    </row>
    <row r="85" spans="1:6" ht="13.5">
      <c r="A85" s="3115">
        <v>13</v>
      </c>
      <c r="B85" s="3813"/>
      <c r="C85" s="3089" t="s">
        <v>2675</v>
      </c>
      <c r="D85" s="3089" t="s">
        <v>2676</v>
      </c>
      <c r="E85" s="3115">
        <v>0.1</v>
      </c>
      <c r="F85" s="3115">
        <v>15</v>
      </c>
    </row>
    <row r="86" spans="1:6" ht="13.5">
      <c r="A86" s="3115">
        <v>14</v>
      </c>
      <c r="B86" s="3813"/>
      <c r="C86" s="3089" t="s">
        <v>2677</v>
      </c>
      <c r="D86" s="3089" t="s">
        <v>2678</v>
      </c>
      <c r="E86" s="3115">
        <v>0.1</v>
      </c>
      <c r="F86" s="3115">
        <v>15</v>
      </c>
    </row>
    <row r="87" spans="1:6" ht="13.5">
      <c r="A87" s="3115">
        <v>15</v>
      </c>
      <c r="B87" s="3813"/>
      <c r="C87" s="3089" t="s">
        <v>2679</v>
      </c>
      <c r="D87" s="3089" t="s">
        <v>2680</v>
      </c>
      <c r="E87" s="3115">
        <v>0.1</v>
      </c>
      <c r="F87" s="3115">
        <v>15</v>
      </c>
    </row>
    <row r="88" spans="1:6" ht="24">
      <c r="A88" s="3115">
        <v>16</v>
      </c>
      <c r="B88" s="3813"/>
      <c r="C88" s="3089" t="s">
        <v>2681</v>
      </c>
      <c r="D88" s="3089" t="s">
        <v>2682</v>
      </c>
      <c r="E88" s="3115">
        <v>0.1</v>
      </c>
      <c r="F88" s="3115">
        <v>15</v>
      </c>
    </row>
    <row r="89" spans="1:6" ht="24">
      <c r="A89" s="3115">
        <v>17</v>
      </c>
      <c r="B89" s="3822"/>
      <c r="C89" s="3089" t="s">
        <v>2683</v>
      </c>
      <c r="D89" s="3089" t="s">
        <v>2684</v>
      </c>
      <c r="E89" s="3115">
        <v>0.1</v>
      </c>
      <c r="F89" s="3115">
        <v>15</v>
      </c>
    </row>
    <row r="90" spans="1:6" ht="13.5">
      <c r="A90" s="3115">
        <v>18</v>
      </c>
      <c r="B90" s="3818" t="s">
        <v>2685</v>
      </c>
      <c r="C90" s="3089" t="s">
        <v>2686</v>
      </c>
      <c r="D90" s="3089" t="s">
        <v>2687</v>
      </c>
      <c r="E90" s="3115">
        <v>0.2</v>
      </c>
      <c r="F90" s="3115">
        <v>25</v>
      </c>
    </row>
    <row r="91" spans="1:6" ht="24">
      <c r="A91" s="3115">
        <v>19</v>
      </c>
      <c r="B91" s="3813"/>
      <c r="C91" s="3089" t="s">
        <v>2688</v>
      </c>
      <c r="D91" s="3089" t="s">
        <v>2689</v>
      </c>
      <c r="E91" s="3115">
        <v>0.2</v>
      </c>
      <c r="F91" s="3115">
        <v>25</v>
      </c>
    </row>
    <row r="92" spans="1:6" ht="13.5">
      <c r="A92" s="3115">
        <v>20</v>
      </c>
      <c r="B92" s="3813"/>
      <c r="C92" s="3089" t="s">
        <v>2690</v>
      </c>
      <c r="D92" s="3089" t="s">
        <v>2691</v>
      </c>
      <c r="E92" s="3115">
        <v>0.15</v>
      </c>
      <c r="F92" s="3115">
        <v>20</v>
      </c>
    </row>
    <row r="93" spans="1:6" ht="13.5">
      <c r="A93" s="3115">
        <v>21</v>
      </c>
      <c r="B93" s="3813"/>
      <c r="C93" s="3089" t="s">
        <v>2692</v>
      </c>
      <c r="D93" s="3089" t="s">
        <v>2693</v>
      </c>
      <c r="E93" s="3115">
        <v>0.15</v>
      </c>
      <c r="F93" s="3115">
        <v>20</v>
      </c>
    </row>
    <row r="94" spans="1:6" ht="13.5">
      <c r="A94" s="3115">
        <v>22</v>
      </c>
      <c r="B94" s="3813"/>
      <c r="C94" s="3089" t="s">
        <v>2694</v>
      </c>
      <c r="D94" s="3089" t="s">
        <v>2695</v>
      </c>
      <c r="E94" s="3115">
        <v>0.15</v>
      </c>
      <c r="F94" s="3115">
        <v>20</v>
      </c>
    </row>
    <row r="95" spans="1:6" ht="36">
      <c r="A95" s="3115">
        <v>23</v>
      </c>
      <c r="B95" s="3813"/>
      <c r="C95" s="3089" t="s">
        <v>2696</v>
      </c>
      <c r="D95" s="3089" t="s">
        <v>2697</v>
      </c>
      <c r="E95" s="3115">
        <v>0.15</v>
      </c>
      <c r="F95" s="3115">
        <v>20</v>
      </c>
    </row>
    <row r="96" spans="1:6" ht="13.5">
      <c r="A96" s="3115">
        <v>24</v>
      </c>
      <c r="B96" s="3813"/>
      <c r="C96" s="3089" t="s">
        <v>2698</v>
      </c>
      <c r="D96" s="3089" t="s">
        <v>2699</v>
      </c>
      <c r="E96" s="3115">
        <v>0.1</v>
      </c>
      <c r="F96" s="3115">
        <v>15</v>
      </c>
    </row>
    <row r="97" spans="1:6" ht="13.5">
      <c r="A97" s="3115">
        <v>25</v>
      </c>
      <c r="B97" s="3813"/>
      <c r="C97" s="3089" t="s">
        <v>2700</v>
      </c>
      <c r="D97" s="3089" t="s">
        <v>2701</v>
      </c>
      <c r="E97" s="3115">
        <v>0.1</v>
      </c>
      <c r="F97" s="3115">
        <v>15</v>
      </c>
    </row>
    <row r="98" spans="1:6" ht="24">
      <c r="A98" s="3115">
        <v>26</v>
      </c>
      <c r="B98" s="3813"/>
      <c r="C98" s="3089" t="s">
        <v>2702</v>
      </c>
      <c r="D98" s="3089" t="s">
        <v>2703</v>
      </c>
      <c r="E98" s="3115">
        <v>0.1</v>
      </c>
      <c r="F98" s="3115">
        <v>15</v>
      </c>
    </row>
    <row r="99" spans="1:6" ht="24">
      <c r="A99" s="3115">
        <v>27</v>
      </c>
      <c r="B99" s="3813"/>
      <c r="C99" s="3089" t="s">
        <v>2704</v>
      </c>
      <c r="D99" s="3089" t="s">
        <v>2705</v>
      </c>
      <c r="E99" s="3115">
        <v>0.1</v>
      </c>
      <c r="F99" s="3115">
        <v>15</v>
      </c>
    </row>
    <row r="100" spans="1:6" ht="13.5">
      <c r="A100" s="3115">
        <v>28</v>
      </c>
      <c r="B100" s="3813"/>
      <c r="C100" s="3089" t="s">
        <v>2706</v>
      </c>
      <c r="D100" s="3089" t="s">
        <v>2707</v>
      </c>
      <c r="E100" s="3115">
        <v>0.1</v>
      </c>
      <c r="F100" s="3115">
        <v>15</v>
      </c>
    </row>
    <row r="101" spans="1:6" ht="13.5">
      <c r="A101" s="3115">
        <v>29</v>
      </c>
      <c r="B101" s="3813"/>
      <c r="C101" s="3089" t="s">
        <v>2708</v>
      </c>
      <c r="D101" s="3089" t="s">
        <v>2709</v>
      </c>
      <c r="E101" s="3115">
        <v>0.1</v>
      </c>
      <c r="F101" s="3115">
        <v>15</v>
      </c>
    </row>
    <row r="102" spans="1:6" ht="13.5">
      <c r="A102" s="3115">
        <v>30</v>
      </c>
      <c r="B102" s="3813"/>
      <c r="C102" s="3089" t="s">
        <v>2710</v>
      </c>
      <c r="D102" s="3089" t="s">
        <v>2711</v>
      </c>
      <c r="E102" s="3115">
        <v>0.1</v>
      </c>
      <c r="F102" s="3115">
        <v>15</v>
      </c>
    </row>
    <row r="103" spans="1:6" ht="24">
      <c r="A103" s="3115">
        <v>31</v>
      </c>
      <c r="B103" s="3813"/>
      <c r="C103" s="3089" t="s">
        <v>2712</v>
      </c>
      <c r="D103" s="3089" t="s">
        <v>2713</v>
      </c>
      <c r="E103" s="3115">
        <v>0.1</v>
      </c>
      <c r="F103" s="3115">
        <v>15</v>
      </c>
    </row>
    <row r="104" spans="1:6" ht="24">
      <c r="A104" s="3115">
        <v>32</v>
      </c>
      <c r="B104" s="3813"/>
      <c r="C104" s="3089" t="s">
        <v>2714</v>
      </c>
      <c r="D104" s="3089" t="s">
        <v>2715</v>
      </c>
      <c r="E104" s="3115">
        <v>0.1</v>
      </c>
      <c r="F104" s="3115">
        <v>15</v>
      </c>
    </row>
    <row r="105" spans="1:6" ht="24">
      <c r="A105" s="3115">
        <v>33</v>
      </c>
      <c r="B105" s="3813"/>
      <c r="C105" s="3089" t="s">
        <v>2716</v>
      </c>
      <c r="D105" s="3089" t="s">
        <v>2717</v>
      </c>
      <c r="E105" s="3115">
        <v>0.1</v>
      </c>
      <c r="F105" s="3115">
        <v>15</v>
      </c>
    </row>
    <row r="106" spans="1:6" ht="24">
      <c r="A106" s="3115">
        <v>34</v>
      </c>
      <c r="B106" s="3822"/>
      <c r="C106" s="3089" t="s">
        <v>2718</v>
      </c>
      <c r="D106" s="3089" t="s">
        <v>2719</v>
      </c>
      <c r="E106" s="3115">
        <v>0.1</v>
      </c>
      <c r="F106" s="3115">
        <v>15</v>
      </c>
    </row>
    <row r="107" spans="1:6" ht="24">
      <c r="A107" s="3115">
        <v>35</v>
      </c>
      <c r="B107" s="3818" t="s">
        <v>2720</v>
      </c>
      <c r="C107" s="3115" t="s">
        <v>2721</v>
      </c>
      <c r="D107" s="3089" t="s">
        <v>2722</v>
      </c>
      <c r="E107" s="3115">
        <v>0.15</v>
      </c>
      <c r="F107" s="3115">
        <v>20</v>
      </c>
    </row>
    <row r="108" spans="1:6" ht="13.5">
      <c r="A108" s="3115">
        <v>36</v>
      </c>
      <c r="B108" s="3813"/>
      <c r="C108" s="3115" t="s">
        <v>2723</v>
      </c>
      <c r="D108" s="3089" t="s">
        <v>2724</v>
      </c>
      <c r="E108" s="3115">
        <v>0.15</v>
      </c>
      <c r="F108" s="3115">
        <v>20</v>
      </c>
    </row>
    <row r="109" spans="1:6" ht="13.5">
      <c r="A109" s="3115">
        <v>37</v>
      </c>
      <c r="B109" s="3813"/>
      <c r="C109" s="3115" t="s">
        <v>2725</v>
      </c>
      <c r="D109" s="3089" t="s">
        <v>2726</v>
      </c>
      <c r="E109" s="3115">
        <v>0.15</v>
      </c>
      <c r="F109" s="3115">
        <v>20</v>
      </c>
    </row>
    <row r="110" spans="1:6" ht="13.5">
      <c r="A110" s="3115">
        <v>38</v>
      </c>
      <c r="B110" s="3813"/>
      <c r="C110" s="3115" t="s">
        <v>2727</v>
      </c>
      <c r="D110" s="3089" t="s">
        <v>2728</v>
      </c>
      <c r="E110" s="3115">
        <v>0.1</v>
      </c>
      <c r="F110" s="3115">
        <v>15</v>
      </c>
    </row>
    <row r="111" spans="1:6" ht="24">
      <c r="A111" s="3115">
        <v>39</v>
      </c>
      <c r="B111" s="3813"/>
      <c r="C111" s="3115" t="s">
        <v>2729</v>
      </c>
      <c r="D111" s="3089" t="s">
        <v>2730</v>
      </c>
      <c r="E111" s="3115">
        <v>0.1</v>
      </c>
      <c r="F111" s="3115">
        <v>15</v>
      </c>
    </row>
    <row r="112" spans="1:6" ht="24">
      <c r="A112" s="3115">
        <v>40</v>
      </c>
      <c r="B112" s="3822"/>
      <c r="C112" s="3115" t="s">
        <v>2731</v>
      </c>
      <c r="D112" s="3089" t="s">
        <v>2732</v>
      </c>
      <c r="E112" s="3115">
        <v>0.1</v>
      </c>
      <c r="F112" s="3115">
        <v>15</v>
      </c>
    </row>
    <row r="113" spans="1:6" ht="13.5">
      <c r="A113" s="3115">
        <v>41</v>
      </c>
      <c r="B113" s="3823" t="s">
        <v>2733</v>
      </c>
      <c r="C113" s="3115" t="s">
        <v>2734</v>
      </c>
      <c r="D113" s="3089" t="s">
        <v>2735</v>
      </c>
      <c r="E113" s="3115">
        <v>0.1</v>
      </c>
      <c r="F113" s="3115">
        <v>15</v>
      </c>
    </row>
    <row r="114" spans="1:6" ht="13.5">
      <c r="A114" s="3115">
        <v>42</v>
      </c>
      <c r="B114" s="3823"/>
      <c r="C114" s="3115" t="s">
        <v>2736</v>
      </c>
      <c r="D114" s="3089" t="s">
        <v>2737</v>
      </c>
      <c r="E114" s="3115">
        <v>0.1</v>
      </c>
      <c r="F114" s="3115">
        <v>15</v>
      </c>
    </row>
    <row r="115" spans="1:6" ht="24">
      <c r="A115" s="3115">
        <v>43</v>
      </c>
      <c r="B115" s="3823"/>
      <c r="C115" s="3115" t="s">
        <v>2738</v>
      </c>
      <c r="D115" s="3089" t="s">
        <v>2739</v>
      </c>
      <c r="E115" s="3115">
        <v>0.1</v>
      </c>
      <c r="F115" s="3115">
        <v>15</v>
      </c>
    </row>
    <row r="116" spans="1:6" ht="13.5">
      <c r="A116" s="3115">
        <v>44</v>
      </c>
      <c r="B116" s="3818" t="s">
        <v>2740</v>
      </c>
      <c r="C116" s="3115" t="s">
        <v>2741</v>
      </c>
      <c r="D116" s="3089" t="s">
        <v>2742</v>
      </c>
      <c r="E116" s="3115">
        <v>0.1</v>
      </c>
      <c r="F116" s="3115">
        <v>15</v>
      </c>
    </row>
    <row r="117" spans="1:6" ht="24">
      <c r="A117" s="3115">
        <v>45</v>
      </c>
      <c r="B117" s="3822"/>
      <c r="C117" s="3089" t="s">
        <v>2743</v>
      </c>
      <c r="D117" s="3089" t="s">
        <v>2744</v>
      </c>
      <c r="E117" s="3115">
        <v>0.1</v>
      </c>
      <c r="F117" s="3115">
        <v>15</v>
      </c>
    </row>
    <row r="118" spans="1:6" ht="24">
      <c r="A118" s="3115">
        <v>46</v>
      </c>
      <c r="B118" s="3818" t="s">
        <v>2745</v>
      </c>
      <c r="C118" s="3115" t="s">
        <v>2746</v>
      </c>
      <c r="D118" s="3089" t="s">
        <v>2747</v>
      </c>
      <c r="E118" s="3115">
        <v>0.1</v>
      </c>
      <c r="F118" s="3115">
        <v>15</v>
      </c>
    </row>
    <row r="119" spans="1:6" ht="24">
      <c r="A119" s="3115">
        <v>47</v>
      </c>
      <c r="B119" s="3822"/>
      <c r="C119" s="3115" t="s">
        <v>2748</v>
      </c>
      <c r="D119" s="3089" t="s">
        <v>2749</v>
      </c>
      <c r="E119" s="3115">
        <v>0.1</v>
      </c>
      <c r="F119" s="3115">
        <v>15</v>
      </c>
    </row>
    <row r="120" spans="1:6" ht="13.5">
      <c r="A120" s="3115">
        <v>48</v>
      </c>
      <c r="B120" s="3818" t="s">
        <v>2750</v>
      </c>
      <c r="C120" s="3115" t="s">
        <v>2751</v>
      </c>
      <c r="D120" s="3089" t="s">
        <v>2752</v>
      </c>
      <c r="E120" s="3115">
        <v>0.1</v>
      </c>
      <c r="F120" s="3115">
        <v>15</v>
      </c>
    </row>
    <row r="121" spans="1:6" ht="13.5">
      <c r="A121" s="3115">
        <v>49</v>
      </c>
      <c r="B121" s="3822"/>
      <c r="C121" s="3115" t="s">
        <v>2753</v>
      </c>
      <c r="D121" s="3089" t="s">
        <v>2754</v>
      </c>
      <c r="E121" s="3115">
        <v>0.1</v>
      </c>
      <c r="F121" s="3115">
        <v>15</v>
      </c>
    </row>
    <row r="122" spans="1:6" ht="24">
      <c r="A122" s="3115">
        <v>50</v>
      </c>
      <c r="B122" s="3823" t="s">
        <v>2755</v>
      </c>
      <c r="C122" s="3115" t="s">
        <v>2756</v>
      </c>
      <c r="D122" s="3089" t="s">
        <v>2757</v>
      </c>
      <c r="E122" s="3115">
        <v>0.1</v>
      </c>
      <c r="F122" s="3115">
        <v>15</v>
      </c>
    </row>
    <row r="123" spans="1:6" ht="24">
      <c r="A123" s="3115">
        <v>51</v>
      </c>
      <c r="B123" s="3823"/>
      <c r="C123" s="3115" t="s">
        <v>2758</v>
      </c>
      <c r="D123" s="3089" t="s">
        <v>2759</v>
      </c>
      <c r="E123" s="3115">
        <v>0.1</v>
      </c>
      <c r="F123" s="3115">
        <v>15</v>
      </c>
    </row>
    <row r="124" spans="1:6" ht="24">
      <c r="A124" s="3115">
        <v>52</v>
      </c>
      <c r="B124" s="3823" t="s">
        <v>2760</v>
      </c>
      <c r="C124" s="3115" t="s">
        <v>2761</v>
      </c>
      <c r="D124" s="3089" t="s">
        <v>2762</v>
      </c>
      <c r="E124" s="3115">
        <v>0.1</v>
      </c>
      <c r="F124" s="3115">
        <v>15</v>
      </c>
    </row>
    <row r="125" spans="1:6" ht="24">
      <c r="A125" s="3115">
        <v>53</v>
      </c>
      <c r="B125" s="382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23" t="s">
        <v>2768</v>
      </c>
      <c r="C127" s="3115" t="s">
        <v>2769</v>
      </c>
      <c r="D127" s="3089" t="s">
        <v>2770</v>
      </c>
      <c r="E127" s="3115">
        <v>0.1</v>
      </c>
      <c r="F127" s="3115">
        <v>15</v>
      </c>
    </row>
    <row r="128" spans="1:6" ht="13.5">
      <c r="A128" s="3115">
        <v>56</v>
      </c>
      <c r="B128" s="3823"/>
      <c r="C128" s="3115" t="s">
        <v>2771</v>
      </c>
      <c r="D128" s="3089" t="s">
        <v>2772</v>
      </c>
      <c r="E128" s="3115">
        <v>0.1</v>
      </c>
      <c r="F128" s="3115">
        <v>15</v>
      </c>
    </row>
    <row r="129" spans="1:6" ht="24">
      <c r="A129" s="3115">
        <v>57</v>
      </c>
      <c r="B129" s="3823"/>
      <c r="C129" s="3115" t="s">
        <v>2773</v>
      </c>
      <c r="D129" s="3089" t="s">
        <v>2774</v>
      </c>
      <c r="E129" s="3115">
        <v>0.1</v>
      </c>
      <c r="F129" s="3115">
        <v>15</v>
      </c>
    </row>
    <row r="130" spans="1:6" ht="24">
      <c r="A130" s="3115">
        <v>58</v>
      </c>
      <c r="B130" s="3823" t="s">
        <v>2775</v>
      </c>
      <c r="C130" s="3115" t="s">
        <v>2776</v>
      </c>
      <c r="D130" s="3089" t="s">
        <v>2777</v>
      </c>
      <c r="E130" s="3115">
        <v>0.1</v>
      </c>
      <c r="F130" s="3115">
        <v>15</v>
      </c>
    </row>
    <row r="131" spans="1:6" ht="13.5">
      <c r="A131" s="3115">
        <v>59</v>
      </c>
      <c r="B131" s="3823"/>
      <c r="C131" s="3115" t="s">
        <v>2778</v>
      </c>
      <c r="D131" s="3089" t="s">
        <v>2779</v>
      </c>
      <c r="E131" s="3115">
        <v>0.1</v>
      </c>
      <c r="F131" s="3115">
        <v>15</v>
      </c>
    </row>
    <row r="132" spans="1:6" ht="13.5">
      <c r="A132" s="3115">
        <v>60</v>
      </c>
      <c r="B132" s="3818" t="s">
        <v>2780</v>
      </c>
      <c r="C132" s="3115" t="s">
        <v>2781</v>
      </c>
      <c r="D132" s="3089" t="s">
        <v>2782</v>
      </c>
      <c r="E132" s="3115">
        <v>0.1</v>
      </c>
      <c r="F132" s="3115">
        <v>15</v>
      </c>
    </row>
    <row r="133" spans="1:6" ht="13.5">
      <c r="A133" s="3115">
        <v>61</v>
      </c>
      <c r="B133" s="382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23" t="s">
        <v>2788</v>
      </c>
      <c r="C135" s="3115" t="s">
        <v>2789</v>
      </c>
      <c r="D135" s="3089" t="s">
        <v>2790</v>
      </c>
      <c r="E135" s="3115">
        <v>0.1</v>
      </c>
      <c r="F135" s="3115">
        <v>15</v>
      </c>
    </row>
    <row r="136" spans="1:6" ht="13.5">
      <c r="A136" s="3115">
        <v>64</v>
      </c>
      <c r="B136" s="382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92"/>
      <c r="B4" s="3509" t="s">
        <v>917</v>
      </c>
      <c r="C4" s="3509"/>
      <c r="D4" s="3509"/>
      <c r="E4" s="1492"/>
    </row>
    <row r="5" spans="1:5" ht="16.5" thickTop="1">
      <c r="A5" s="1490"/>
      <c r="B5" s="3507" t="s">
        <v>909</v>
      </c>
      <c r="C5" s="1493" t="s">
        <v>910</v>
      </c>
      <c r="D5" s="849">
        <f ca="1">结果表!H101</f>
        <v>35274</v>
      </c>
      <c r="E5" s="1490"/>
    </row>
    <row r="6" spans="1:5" ht="15.75">
      <c r="A6" s="1490"/>
      <c r="B6" s="3507"/>
      <c r="C6" s="1493" t="s">
        <v>911</v>
      </c>
      <c r="D6" s="849" t="str">
        <f ca="1">NUMBERSTRING(INT(D5*10000),2)&amp;"元整"</f>
        <v>叁亿伍仟贰佰柒拾肆万元整</v>
      </c>
      <c r="E6" s="1490"/>
    </row>
    <row r="7" spans="1:5" ht="15.75">
      <c r="A7" s="1490"/>
      <c r="B7" s="3512"/>
      <c r="C7" s="1494" t="s">
        <v>912</v>
      </c>
      <c r="D7" s="850">
        <f ca="1">结果表!H102</f>
        <v>7317</v>
      </c>
      <c r="E7" s="1490"/>
    </row>
    <row r="8" spans="1:5" ht="15.75">
      <c r="A8" s="1490"/>
      <c r="B8" s="3513" t="str">
        <f>结果表!E103</f>
        <v>2.估价师知悉的法定优先受偿款</v>
      </c>
      <c r="C8" s="1495" t="s">
        <v>913</v>
      </c>
      <c r="D8" s="850">
        <f>结果表!H103</f>
        <v>0</v>
      </c>
      <c r="E8" s="1490"/>
    </row>
    <row r="9" spans="1:5" ht="15.75">
      <c r="A9" s="1490"/>
      <c r="B9" s="351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6" t="str">
        <f>结果表!E107</f>
        <v>3.房地产抵押价值</v>
      </c>
      <c r="C13" s="1498" t="s">
        <v>910</v>
      </c>
      <c r="D13" s="852">
        <f ca="1">结果表!H107</f>
        <v>35274</v>
      </c>
      <c r="E13" s="1490"/>
    </row>
    <row r="14" spans="1:5" ht="15.75">
      <c r="A14" s="1490"/>
      <c r="B14" s="3507"/>
      <c r="C14" s="1493" t="s">
        <v>911</v>
      </c>
      <c r="D14" s="849" t="str">
        <f ca="1">NUMBERSTRING(INT(D13*10000),2)&amp;"元整"</f>
        <v>叁亿伍仟贰佰柒拾肆万元整</v>
      </c>
      <c r="E14" s="1490"/>
    </row>
    <row r="15" spans="1:5" ht="15">
      <c r="A15" s="1490"/>
      <c r="B15" s="3512"/>
      <c r="C15" s="1494" t="s">
        <v>921</v>
      </c>
      <c r="D15" s="858">
        <f ca="1">结果表!H108</f>
        <v>7317</v>
      </c>
      <c r="E15" s="1490"/>
    </row>
    <row r="16" spans="1:5" ht="15">
      <c r="A16" s="1490"/>
      <c r="B16" s="3513" t="str">
        <f>结果表!E109</f>
        <v>——</v>
      </c>
      <c r="C16" s="1498" t="s">
        <v>922</v>
      </c>
      <c r="D16" s="1499" t="str">
        <f>结果表!H109</f>
        <v>——</v>
      </c>
      <c r="E16" s="1490"/>
    </row>
    <row r="17" spans="1:5" ht="15.75">
      <c r="A17" s="1490"/>
      <c r="B17" s="3514"/>
      <c r="C17" s="1493" t="s">
        <v>923</v>
      </c>
      <c r="D17" s="849" t="e">
        <f>NUMBERSTRING(INT(D16*10000),2)&amp;"元整"</f>
        <v>#VALUE!</v>
      </c>
      <c r="E17" s="1490"/>
    </row>
    <row r="18" spans="1:5" ht="15">
      <c r="A18" s="1490"/>
      <c r="B18" s="3515"/>
      <c r="C18" s="1494" t="s">
        <v>912</v>
      </c>
      <c r="D18" s="858" t="str">
        <f>结果表!H110</f>
        <v>——</v>
      </c>
      <c r="E18" s="1490"/>
    </row>
    <row r="19" spans="1:5" ht="15.75">
      <c r="A19" s="1490"/>
      <c r="B19" s="3506" t="str">
        <f>结果表!E111</f>
        <v>——</v>
      </c>
      <c r="C19" s="1498" t="s">
        <v>910</v>
      </c>
      <c r="D19" s="850" t="str">
        <f>结果表!H111</f>
        <v>——</v>
      </c>
      <c r="E19" s="1490"/>
    </row>
    <row r="20" spans="1:5" ht="15.75">
      <c r="A20" s="1490"/>
      <c r="B20" s="3507"/>
      <c r="C20" s="1493" t="s">
        <v>923</v>
      </c>
      <c r="D20" s="849" t="e">
        <f>NUMBERSTRING(INT(D19*10000),2)&amp;"元整"</f>
        <v>#VALUE!</v>
      </c>
      <c r="E20" s="1490"/>
    </row>
    <row r="21" spans="1:5" ht="15.75" thickBot="1">
      <c r="A21" s="1490"/>
      <c r="B21" s="350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1.0359</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0.94299999999999995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60726</v>
      </c>
      <c r="C2" s="2" t="s">
        <v>106</v>
      </c>
      <c r="D2" s="199"/>
      <c r="E2" s="199"/>
      <c r="F2" s="199"/>
      <c r="G2" s="199"/>
    </row>
    <row r="3" spans="1:7" s="200" customFormat="1" ht="18" customHeight="1" thickBot="1">
      <c r="A3" s="203" t="s">
        <v>58</v>
      </c>
      <c r="B3" s="204">
        <f ca="1">ROUND(B2*10000/'数据-汇总表'!E3,0)</f>
        <v>12597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916</v>
      </c>
      <c r="D10" s="844">
        <f>'数据-汇总表'!E6</f>
        <v>48207.299999999996</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964</v>
      </c>
      <c r="D19" s="848">
        <f>'数据-汇总表'!E3</f>
        <v>48207.299999999996</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1719</v>
      </c>
      <c r="D22" s="235">
        <f ca="1">C26</f>
        <v>8.0000000000000004E-4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1618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76</v>
      </c>
      <c r="D24" s="238"/>
      <c r="E24" s="238"/>
      <c r="F24" s="239"/>
      <c r="G24" s="240" t="s">
        <v>82</v>
      </c>
    </row>
    <row r="25" spans="1:7" s="214" customFormat="1" ht="24">
      <c r="A25" s="779" t="s">
        <v>348</v>
      </c>
      <c r="B25" s="215" t="s">
        <v>420</v>
      </c>
      <c r="C25" s="1104">
        <f ca="1">ROUND(IF('数据-取费表'!B22&lt;=1,C20*F22*'数据-取费表'!B23/2,C20*(POWER((1+F22),'数据-取费表'!B23/2)-1)),0)</f>
        <v>25</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2420</v>
      </c>
      <c r="D27" s="235">
        <f>C29</f>
        <v>2.2000000000000001E-3</v>
      </c>
      <c r="E27" s="236" t="s">
        <v>99</v>
      </c>
      <c r="F27" s="246">
        <f>'数据-取费表'!Q16</f>
        <v>0.11</v>
      </c>
      <c r="G27" s="247" t="s">
        <v>431</v>
      </c>
    </row>
    <row r="28" spans="1:7" s="214" customFormat="1" ht="13.5" customHeight="1">
      <c r="A28" s="779" t="s">
        <v>349</v>
      </c>
      <c r="B28" s="248" t="s">
        <v>424</v>
      </c>
      <c r="C28" s="249">
        <f>ROUND((C5+C19+C20)*F27*'数据-取费表'!B21/'数据-取费表'!B20,0)</f>
        <v>2420</v>
      </c>
      <c r="D28" s="235"/>
      <c r="E28" s="236"/>
      <c r="F28" s="246"/>
      <c r="G28" s="247"/>
    </row>
    <row r="29" spans="1:7" s="214" customFormat="1" ht="13.5" customHeight="1">
      <c r="A29" s="779" t="s">
        <v>347</v>
      </c>
      <c r="B29" s="248" t="s">
        <v>425</v>
      </c>
      <c r="C29" s="238">
        <f>ROUND(C21*F27*'数据-取费表'!B21/'数据-取费表'!B20,4)</f>
        <v>2.2000000000000001E-3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25181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22431</v>
      </c>
      <c r="D34" s="217"/>
      <c r="E34" s="220"/>
      <c r="F34" s="257">
        <f>IF('数据-取费表'!B24=0,1,'数据-取费表'!N16)</f>
        <v>0.99</v>
      </c>
      <c r="G34" s="219" t="s">
        <v>89</v>
      </c>
    </row>
    <row r="35" spans="1:7" ht="13.5" customHeight="1">
      <c r="A35" s="779" t="s">
        <v>351</v>
      </c>
      <c r="B35" s="215" t="s">
        <v>33</v>
      </c>
      <c r="C35" s="220">
        <f>ROUND(C34*F35,0)</f>
        <v>1122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955</v>
      </c>
      <c r="D37" s="217">
        <f>'数据-汇总表'!E3</f>
        <v>48207.299999999996</v>
      </c>
      <c r="E37" s="249">
        <f>'数据-取费表'!B35</f>
        <v>200</v>
      </c>
      <c r="F37" s="259"/>
      <c r="G37" s="261" t="s">
        <v>92</v>
      </c>
    </row>
    <row r="38" spans="1:7" ht="13.5" customHeight="1">
      <c r="A38" s="779" t="s">
        <v>354</v>
      </c>
      <c r="B38" s="215" t="s">
        <v>36</v>
      </c>
      <c r="C38" s="220">
        <f>ROUND(C34*F38,0)</f>
        <v>673</v>
      </c>
      <c r="D38" s="220"/>
      <c r="E38" s="220"/>
      <c r="F38" s="259">
        <f>'数据-取费表'!B36</f>
        <v>0.03</v>
      </c>
      <c r="G38" s="219" t="s">
        <v>90</v>
      </c>
    </row>
    <row r="39" spans="1:7" s="214" customFormat="1" ht="13.5" customHeight="1">
      <c r="A39" s="776" t="s">
        <v>338</v>
      </c>
      <c r="B39" s="210" t="s">
        <v>77</v>
      </c>
      <c r="C39" s="232">
        <f>ROUND(C33*F20,0)</f>
        <v>755</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999</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970</v>
      </c>
      <c r="D42" s="238"/>
      <c r="E42" s="238"/>
      <c r="F42" s="239"/>
      <c r="G42" s="3688" t="s">
        <v>94</v>
      </c>
    </row>
    <row r="43" spans="1:7" ht="13.5" customHeight="1">
      <c r="A43" s="779" t="s">
        <v>347</v>
      </c>
      <c r="B43" s="215" t="s">
        <v>426</v>
      </c>
      <c r="C43" s="238">
        <f ca="1">ROUND(IF('数据-取费表'!B22&lt;=1,C39*F22*'数据-取费表'!B21/2,C39*(POWER((1+F22),'数据-取费表'!B21/2)-1)),0)</f>
        <v>29</v>
      </c>
      <c r="D43" s="238"/>
      <c r="E43" s="238"/>
      <c r="F43" s="239"/>
      <c r="G43" s="3689"/>
    </row>
    <row r="44" spans="1:7" ht="13.5" customHeight="1">
      <c r="A44" s="779" t="s">
        <v>348</v>
      </c>
      <c r="B44" s="215" t="s">
        <v>428</v>
      </c>
      <c r="C44" s="238">
        <f ca="1">ROUND(IF('数据-取费表'!B22&lt;=1,C40*F22*'数据-取费表'!B21/2,C40*(POWER((1+F22),'数据-取费表'!B21/2)-1)),4)</f>
        <v>8.0000000000000004E-4</v>
      </c>
      <c r="D44" s="238"/>
      <c r="E44" s="238"/>
      <c r="F44" s="239"/>
      <c r="G44" s="3690"/>
    </row>
    <row r="45" spans="1:7" s="214" customFormat="1" ht="13.5" customHeight="1">
      <c r="A45" s="776" t="s">
        <v>341</v>
      </c>
      <c r="B45" s="244" t="s">
        <v>85</v>
      </c>
      <c r="C45" s="245">
        <f>C46</f>
        <v>2853</v>
      </c>
      <c r="D45" s="235">
        <f>C47</f>
        <v>2.2000000000000001E-3</v>
      </c>
      <c r="E45" s="236" t="s">
        <v>102</v>
      </c>
      <c r="F45" s="246"/>
      <c r="G45" s="247" t="s">
        <v>434</v>
      </c>
    </row>
    <row r="46" spans="1:7" s="214" customFormat="1" ht="13.5" customHeight="1">
      <c r="A46" s="779" t="s">
        <v>349</v>
      </c>
      <c r="B46" s="248" t="s">
        <v>427</v>
      </c>
      <c r="C46" s="249">
        <f>ROUND((C33+C39)*F27,0)</f>
        <v>2853</v>
      </c>
      <c r="D46" s="263"/>
      <c r="E46" s="236"/>
      <c r="F46" s="246"/>
      <c r="G46" s="247"/>
    </row>
    <row r="47" spans="1:7" s="214" customFormat="1" ht="13.5" customHeight="1">
      <c r="A47" s="779" t="s">
        <v>347</v>
      </c>
      <c r="B47" s="248" t="s">
        <v>429</v>
      </c>
      <c r="C47" s="238">
        <f>ROUND(C40*F27,4)</f>
        <v>2.2000000000000001E-3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32217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32217</v>
      </c>
      <c r="D51" s="232"/>
      <c r="E51" s="232"/>
      <c r="F51" s="264"/>
      <c r="G51" s="234" t="s">
        <v>37</v>
      </c>
    </row>
    <row r="52" spans="1:7" s="208" customFormat="1" ht="16.5" thickBot="1">
      <c r="A52" s="265" t="s">
        <v>38</v>
      </c>
      <c r="B52" s="266"/>
      <c r="C52" s="267">
        <f ca="1">C31+C51</f>
        <v>60726</v>
      </c>
      <c r="D52" s="266"/>
      <c r="E52" s="266"/>
      <c r="F52" s="266"/>
      <c r="G52" s="268"/>
    </row>
    <row r="55" spans="1:7" ht="15">
      <c r="B55" s="270" t="s">
        <v>39</v>
      </c>
      <c r="C55" s="271"/>
    </row>
    <row r="56" spans="1:7">
      <c r="B56" s="273" t="s">
        <v>40</v>
      </c>
      <c r="C56" s="274">
        <f ca="1">ROUND(C51/C52,3)</f>
        <v>0.53100000000000003</v>
      </c>
    </row>
    <row r="57" spans="1:7">
      <c r="B57" s="273" t="s">
        <v>41</v>
      </c>
      <c r="C57" s="275">
        <f ca="1">1-C56</f>
        <v>0.46899999999999997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6" t="s">
        <v>2838</v>
      </c>
      <c r="B1" s="3826"/>
      <c r="C1" s="3826"/>
      <c r="D1" s="3826"/>
      <c r="E1" s="3826"/>
      <c r="F1" s="3826"/>
      <c r="G1" s="382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2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2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28" t="s">
        <v>3180</v>
      </c>
      <c r="B1" s="3828"/>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29" t="s">
        <v>3231</v>
      </c>
      <c r="B1" s="3829"/>
      <c r="C1" s="3829"/>
      <c r="D1" s="3829"/>
      <c r="E1" s="3829"/>
      <c r="F1" s="383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9" sqref="H9"/>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3379</v>
      </c>
      <c r="C1" s="3208"/>
      <c r="D1" s="3208"/>
      <c r="E1" s="3208"/>
      <c r="F1" s="3208"/>
      <c r="G1" s="3208"/>
      <c r="H1" s="3208"/>
      <c r="I1" s="3208"/>
      <c r="J1" s="3162"/>
      <c r="K1" s="3208" t="s">
        <v>454</v>
      </c>
      <c r="L1" s="3208"/>
      <c r="M1" s="3208"/>
      <c r="N1" s="3208"/>
      <c r="O1" s="3208"/>
      <c r="P1" s="3208"/>
      <c r="Q1" s="3162"/>
      <c r="R1" s="3831" t="s">
        <v>456</v>
      </c>
      <c r="S1" s="3832"/>
      <c r="T1" s="3832"/>
      <c r="U1" s="3832"/>
      <c r="V1" s="3832"/>
      <c r="W1" s="3832"/>
      <c r="X1" s="3162"/>
      <c r="Y1" s="3831" t="s">
        <v>457</v>
      </c>
      <c r="Z1" s="3832"/>
      <c r="AA1" s="3832"/>
      <c r="AB1" s="3832"/>
      <c r="AC1" s="3832"/>
      <c r="AD1" s="383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3384</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2"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3374</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3370</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3369</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3367</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3366</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3365</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3363</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3354</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3382</v>
      </c>
    </row>
    <row r="24" spans="1:30" s="3006" customFormat="1">
      <c r="I24" s="3205" t="s">
        <v>2824</v>
      </c>
    </row>
    <row r="25" spans="1:30" s="3006" customFormat="1"/>
    <row r="26" spans="1:30" s="3206" customFormat="1" ht="12.75">
      <c r="B26" s="3207" t="s">
        <v>3380</v>
      </c>
      <c r="C26" s="3208"/>
      <c r="D26" s="3208"/>
      <c r="E26" s="3208"/>
      <c r="F26" s="3208"/>
      <c r="G26" s="3208"/>
      <c r="H26" s="3208"/>
      <c r="I26" s="3208"/>
      <c r="J26" s="3162"/>
      <c r="K26" s="3208" t="s">
        <v>2825</v>
      </c>
      <c r="L26" s="3208"/>
      <c r="M26" s="3208"/>
      <c r="N26" s="3208"/>
      <c r="O26" s="3208"/>
      <c r="P26" s="3208"/>
      <c r="Q26" s="3162"/>
      <c r="R26" s="3831" t="s">
        <v>2826</v>
      </c>
      <c r="S26" s="3832"/>
      <c r="T26" s="3832"/>
      <c r="U26" s="3832"/>
      <c r="V26" s="3832"/>
      <c r="W26" s="3832"/>
      <c r="X26" s="3162"/>
      <c r="Y26" s="3831" t="s">
        <v>2827</v>
      </c>
      <c r="Z26" s="3832"/>
      <c r="AA26" s="3832"/>
      <c r="AB26" s="3832"/>
      <c r="AC26" s="3832"/>
      <c r="AD26" s="3832"/>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2"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3377</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2" t="s">
        <v>3372</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3373</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3371</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3369</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3368</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3366</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3365</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3364</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3354</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8" t="s">
        <v>452</v>
      </c>
      <c r="C1" s="3838"/>
      <c r="D1" s="3838"/>
      <c r="E1" s="3838"/>
      <c r="F1" s="3838"/>
      <c r="G1" s="3834" t="s">
        <v>453</v>
      </c>
      <c r="H1" s="3834"/>
      <c r="I1" s="3834"/>
      <c r="J1" s="3834"/>
      <c r="K1" s="3834"/>
      <c r="L1" s="3834"/>
      <c r="N1" s="3834" t="s">
        <v>454</v>
      </c>
      <c r="O1" s="3834"/>
      <c r="P1" s="3834"/>
      <c r="Q1" s="3834"/>
      <c r="S1" s="3834" t="s">
        <v>455</v>
      </c>
      <c r="T1" s="3834"/>
      <c r="U1" s="3834"/>
      <c r="V1" s="3834"/>
      <c r="X1" s="3833" t="s">
        <v>456</v>
      </c>
      <c r="Y1" s="3834"/>
      <c r="Z1" s="3834"/>
      <c r="AA1" s="3834"/>
      <c r="AB1" s="3834"/>
      <c r="AD1" s="3833" t="s">
        <v>457</v>
      </c>
      <c r="AE1" s="3834"/>
      <c r="AF1" s="3834"/>
      <c r="AG1" s="3834"/>
      <c r="AH1" s="383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2.5</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1" sqref="L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在建建筑物价值</v>
      </c>
      <c r="G2" s="3517"/>
      <c r="H2" s="3517" t="str">
        <f>IF(项目基本情况!B9="房地产市场价值","房地产市场价值","房地产价值")</f>
        <v>房地产价值</v>
      </c>
      <c r="I2" s="3517"/>
    </row>
    <row r="3" spans="1:9" ht="15">
      <c r="A3" s="3518"/>
      <c r="B3" s="3518"/>
      <c r="C3" s="3518"/>
      <c r="D3" s="853" t="s">
        <v>925</v>
      </c>
      <c r="E3" s="853" t="s">
        <v>931</v>
      </c>
      <c r="F3" s="853" t="s">
        <v>925</v>
      </c>
      <c r="G3" s="853" t="s">
        <v>926</v>
      </c>
      <c r="H3" s="853" t="s">
        <v>925</v>
      </c>
      <c r="I3" s="853" t="s">
        <v>926</v>
      </c>
    </row>
    <row r="4" spans="1:9" ht="15">
      <c r="A4" s="1504" t="str">
        <f>项目基本情况!S2</f>
        <v>北京市房地产</v>
      </c>
      <c r="B4" s="853">
        <f>项目基本情况!C17</f>
        <v>48207.299999999996</v>
      </c>
      <c r="C4" s="853">
        <f>项目基本情况!C18</f>
        <v>18023.05</v>
      </c>
      <c r="D4" s="853">
        <f ca="1">结果表!D118</f>
        <v>6808</v>
      </c>
      <c r="E4" s="853">
        <f ca="1">结果表!E118</f>
        <v>1412</v>
      </c>
      <c r="F4" s="853">
        <f ca="1">结果表!F118</f>
        <v>28466</v>
      </c>
      <c r="G4" s="853">
        <f ca="1">结果表!G118</f>
        <v>5905</v>
      </c>
      <c r="H4" s="853">
        <f ca="1">结果表!H118</f>
        <v>35274</v>
      </c>
      <c r="I4" s="853">
        <f ca="1">结果表!I118</f>
        <v>7317</v>
      </c>
    </row>
    <row r="5" spans="1:9" ht="30" customHeight="1">
      <c r="A5" s="3518" t="s">
        <v>927</v>
      </c>
      <c r="B5" s="3518"/>
      <c r="C5" s="3518"/>
      <c r="D5" s="3518" t="str">
        <f ca="1">结果表!D119</f>
        <v>陆仟捌佰零捌万元整</v>
      </c>
      <c r="E5" s="3518"/>
      <c r="F5" s="3518" t="str">
        <f ca="1">结果表!F119</f>
        <v>贰亿捌仟肆佰陆拾陆万元整</v>
      </c>
      <c r="G5" s="3518"/>
      <c r="H5" s="3518" t="str">
        <f ca="1">结果表!H119</f>
        <v>叁亿伍仟贰佰柒拾肆万元整</v>
      </c>
      <c r="I5" s="3518"/>
    </row>
    <row r="6" spans="1:9" ht="15.75">
      <c r="A6" s="3519" t="str">
        <f>结果表!A120</f>
        <v>估价师知悉的法定优先受偿款</v>
      </c>
      <c r="B6" s="3519"/>
      <c r="C6" s="3519"/>
      <c r="D6" s="3519">
        <f>结果表!D120</f>
        <v>0</v>
      </c>
      <c r="E6" s="3519"/>
      <c r="F6" s="3519"/>
      <c r="G6" s="3519"/>
      <c r="H6" s="3519"/>
      <c r="I6" s="3519"/>
    </row>
    <row r="7" spans="1:9" ht="15">
      <c r="A7" s="3518" t="s">
        <v>927</v>
      </c>
      <c r="B7" s="3518"/>
      <c r="C7" s="3518"/>
      <c r="D7" s="3520" t="str">
        <f>结果表!D121</f>
        <v>零元整</v>
      </c>
      <c r="E7" s="3521"/>
      <c r="F7" s="3521"/>
      <c r="G7" s="3521"/>
      <c r="H7" s="3521"/>
      <c r="I7" s="3522"/>
    </row>
    <row r="8" spans="1:9" ht="15.75">
      <c r="A8" s="3519" t="str">
        <f>结果表!A122</f>
        <v>房地产抵押价值</v>
      </c>
      <c r="B8" s="3519"/>
      <c r="C8" s="3519"/>
      <c r="D8" s="3519">
        <f ca="1">结果表!D122</f>
        <v>35274</v>
      </c>
      <c r="E8" s="3519"/>
      <c r="F8" s="3519"/>
      <c r="G8" s="3519"/>
      <c r="H8" s="3519"/>
      <c r="I8" s="3519"/>
    </row>
    <row r="9" spans="1:9" ht="15">
      <c r="A9" s="3518" t="s">
        <v>927</v>
      </c>
      <c r="B9" s="3518"/>
      <c r="C9" s="3518"/>
      <c r="D9" s="3518" t="str">
        <f ca="1">结果表!D123</f>
        <v>叁亿伍仟贰佰柒拾肆万元整</v>
      </c>
      <c r="E9" s="3518"/>
      <c r="F9" s="3518"/>
      <c r="G9" s="3518"/>
      <c r="H9" s="3518"/>
      <c r="I9" s="3518"/>
    </row>
    <row r="10" spans="1:9" ht="15.75">
      <c r="A10" s="3519" t="str">
        <f>结果表!A124</f>
        <v/>
      </c>
      <c r="B10" s="3519"/>
      <c r="C10" s="3519"/>
      <c r="D10" s="3519" t="str">
        <f>结果表!D124</f>
        <v>——</v>
      </c>
      <c r="E10" s="3519"/>
      <c r="F10" s="3519"/>
      <c r="G10" s="3519"/>
      <c r="H10" s="3519"/>
      <c r="I10" s="3519"/>
    </row>
    <row r="11" spans="1:9" ht="15">
      <c r="A11" s="3518" t="s">
        <v>927</v>
      </c>
      <c r="B11" s="3518"/>
      <c r="C11" s="3518"/>
      <c r="D11" s="3518" t="e">
        <f>结果表!D125</f>
        <v>#VALUE!</v>
      </c>
      <c r="E11" s="3518"/>
      <c r="F11" s="3518"/>
      <c r="G11" s="3518"/>
      <c r="H11" s="3518"/>
      <c r="I11" s="3518"/>
    </row>
    <row r="12" spans="1:9" ht="15.75">
      <c r="A12" s="3519" t="str">
        <f>结果表!A126</f>
        <v/>
      </c>
      <c r="B12" s="3519"/>
      <c r="C12" s="3519"/>
      <c r="D12" s="3519" t="str">
        <f>结果表!D126</f>
        <v>——</v>
      </c>
      <c r="E12" s="3519"/>
      <c r="F12" s="3519"/>
      <c r="G12" s="3519"/>
      <c r="H12" s="3519"/>
      <c r="I12" s="3519"/>
    </row>
    <row r="13" spans="1:9" ht="15.75" thickBot="1">
      <c r="A13" s="3523" t="s">
        <v>927</v>
      </c>
      <c r="B13" s="3523"/>
      <c r="C13" s="3523"/>
      <c r="D13" s="3523" t="e">
        <f>结果表!D127</f>
        <v>#VALUE!</v>
      </c>
      <c r="E13" s="3523"/>
      <c r="F13" s="3523"/>
      <c r="G13" s="3523"/>
      <c r="H13" s="3523"/>
      <c r="I13" s="3523"/>
    </row>
    <row r="14" spans="1:9" ht="15" thickTop="1">
      <c r="A14" s="3524" t="s">
        <v>932</v>
      </c>
      <c r="B14" s="3524"/>
      <c r="C14" s="3524"/>
      <c r="D14" s="3524"/>
      <c r="E14" s="3524"/>
      <c r="F14" s="3524"/>
      <c r="G14" s="3524"/>
      <c r="H14" s="3524"/>
      <c r="I14" s="352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5" t="s">
        <v>949</v>
      </c>
      <c r="B1" s="3525"/>
      <c r="C1" s="3525"/>
      <c r="D1" s="3525"/>
    </row>
    <row r="2" spans="1:4" ht="18">
      <c r="A2" s="3526" t="s">
        <v>933</v>
      </c>
      <c r="B2" s="3526"/>
      <c r="C2" s="3526"/>
      <c r="D2" s="352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6" t="s">
        <v>939</v>
      </c>
      <c r="B6" s="3526"/>
      <c r="C6" s="3526"/>
      <c r="D6" s="352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9" t="s">
        <v>956</v>
      </c>
      <c r="B15" s="3534" t="s">
        <v>109</v>
      </c>
      <c r="C15" s="3535"/>
    </row>
    <row r="16" spans="1:7" ht="13.5">
      <c r="A16" s="3540"/>
      <c r="B16" s="3534" t="s">
        <v>42</v>
      </c>
      <c r="C16" s="3535"/>
    </row>
    <row r="17" spans="1:3" ht="13.5">
      <c r="A17" s="3540"/>
      <c r="B17" s="3537" t="s">
        <v>957</v>
      </c>
      <c r="C17" s="1531" t="s">
        <v>956</v>
      </c>
    </row>
    <row r="18" spans="1:3" ht="13.5">
      <c r="A18" s="3540"/>
      <c r="B18" s="3537"/>
      <c r="C18" s="1531" t="s">
        <v>958</v>
      </c>
    </row>
    <row r="19" spans="1:3" ht="13.5">
      <c r="A19" s="3540"/>
      <c r="B19" s="3537"/>
      <c r="C19" s="1531" t="s">
        <v>959</v>
      </c>
    </row>
    <row r="20" spans="1:3" ht="13.5">
      <c r="A20" s="3541"/>
      <c r="B20" s="3536" t="s">
        <v>960</v>
      </c>
      <c r="C20" s="3535"/>
    </row>
    <row r="21" spans="1:3" ht="13.5">
      <c r="A21" s="1532" t="s">
        <v>961</v>
      </c>
      <c r="B21" s="1533"/>
      <c r="C21" s="1534"/>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31" t="s">
        <v>967</v>
      </c>
    </row>
    <row r="26" spans="1:3" ht="13.5">
      <c r="A26" s="3538"/>
      <c r="B26" s="3537"/>
      <c r="C26" s="1531" t="s">
        <v>968</v>
      </c>
    </row>
    <row r="27" spans="1:3" ht="13.5">
      <c r="A27" s="3538"/>
      <c r="B27" s="3537"/>
      <c r="C27" s="1531" t="s">
        <v>969</v>
      </c>
    </row>
    <row r="28" spans="1:3" ht="13.5">
      <c r="A28" s="3538"/>
      <c r="B28" s="3537"/>
      <c r="C28" s="1531" t="s">
        <v>970</v>
      </c>
    </row>
    <row r="29" spans="1:3" ht="13.5">
      <c r="A29" s="3538"/>
      <c r="B29" s="3537"/>
      <c r="C29" s="1531" t="s">
        <v>971</v>
      </c>
    </row>
    <row r="30" spans="1:3" ht="13.5">
      <c r="A30" s="3538"/>
      <c r="B30" s="3537"/>
      <c r="C30" s="1531" t="s">
        <v>972</v>
      </c>
    </row>
    <row r="31" spans="1:3" ht="13.5">
      <c r="A31" s="3538"/>
      <c r="B31" s="3537"/>
      <c r="C31" s="1531" t="s">
        <v>973</v>
      </c>
    </row>
    <row r="32" spans="1:3" ht="13.5">
      <c r="A32" s="3538"/>
      <c r="B32" s="3537"/>
      <c r="C32" s="1531" t="s">
        <v>974</v>
      </c>
    </row>
    <row r="33" spans="1:3" ht="13.5">
      <c r="A33" s="3538"/>
      <c r="B33" s="353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45728</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t="str">
        <f ca="1">IF(C6&lt;B2,"已过期",1120050019)</f>
        <v>已过期</v>
      </c>
      <c r="C6" s="2342">
        <v>45410</v>
      </c>
      <c r="D6" s="2343" t="str">
        <f t="shared" ca="1" si="0"/>
        <v>王鹏（注册号：已过期）</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t="str">
        <f ca="1">IF(C9&lt;B2,"已过期",1120060040)</f>
        <v>已过期</v>
      </c>
      <c r="C9" s="2347">
        <v>45592</v>
      </c>
      <c r="D9" s="2343" t="str">
        <f t="shared" ca="1" si="0"/>
        <v>陈颖（注册号：已过期）</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t="str">
        <f ca="1">IF(C13&lt;B2,"已过期",1120020033)</f>
        <v>已过期</v>
      </c>
      <c r="C13" s="2342">
        <v>45375</v>
      </c>
      <c r="D13" s="2343" t="str">
        <f t="shared" ca="1" si="0"/>
        <v>刘敬东（注册号：已过期）</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2436</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42" t="s">
        <v>2159</v>
      </c>
      <c r="B17" s="3542"/>
      <c r="C17" s="3542"/>
      <c r="D17" s="3542"/>
      <c r="E17" s="3542"/>
      <c r="F17" s="3542"/>
      <c r="G17" s="3542"/>
      <c r="H17" s="3542"/>
    </row>
    <row r="18" spans="1:8" ht="24" customHeight="1">
      <c r="A18" s="3543" t="s">
        <v>2160</v>
      </c>
      <c r="B18" s="3543"/>
      <c r="C18" s="3543"/>
      <c r="D18" s="2340"/>
      <c r="E18" s="3544" t="s">
        <v>2161</v>
      </c>
      <c r="F18" s="3543"/>
      <c r="G18" s="3543"/>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2025-03-12T09:28:46Z</dcterms:modified>
</cp:coreProperties>
</file>