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383-F01-门总恒丰银行盈地大厦\F01HDZC2\过程\"/>
    </mc:Choice>
  </mc:AlternateContent>
  <xr:revisionPtr revIDLastSave="0" documentId="13_ncr:1_{C31A3F8C-C726-40BD-8393-C4863563A6A8}" xr6:coauthVersionLast="47" xr6:coauthVersionMax="47" xr10:uidLastSave="{00000000-0000-0000-0000-000000000000}"/>
  <bookViews>
    <workbookView xWindow="3450" yWindow="570" windowWidth="17760" windowHeight="1377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清单" sheetId="82"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办公" sheetId="43" r:id="rId24"/>
    <sheet name="基准地价修正商业" sheetId="80" r:id="rId25"/>
    <sheet name="收益法（汇总）" sheetId="70" r:id="rId26"/>
    <sheet name="收益法" sheetId="15" r:id="rId27"/>
    <sheet name="收益法 (元)" sheetId="67" state="hidden" r:id="rId28"/>
    <sheet name="收益法-酒店模型" sheetId="77" state="hidden" r:id="rId29"/>
    <sheet name="Sheet1" sheetId="83" r:id="rId30"/>
    <sheet name="收益法商业" sheetId="84" r:id="rId31"/>
    <sheet name="收益法车库" sheetId="85"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基准地价修正办公!$A$1:$J$44,基准地价修正办公!$A$47:$H$101,基准地价修正办公!$R$1:$V$16</definedName>
    <definedName name="_xlnm.Print_Area" localSheetId="24">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5">'收益法（汇总）'!$A$1:$F$13</definedName>
    <definedName name="_xlnm.Print_Area" localSheetId="31">收益法车库!$A$1:$F$43,收益法车库!$H$3:$M$29,收益法车库!$A$46:$F$71,收益法车库!$I$46:$N$65</definedName>
    <definedName name="_xlnm.Print_Area" localSheetId="30">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4">基准地价修正商业!$Q$19:$AD$19</definedName>
    <definedName name="季度">基准地价修正办公!$Q$19:$AD$19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8">'[2]数据-汇总表'!$C$17:$C$26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21" i="1" l="1"/>
  <c r="G62" i="43"/>
  <c r="G63" i="43"/>
  <c r="G64" i="43"/>
  <c r="G65" i="43"/>
  <c r="G66" i="43"/>
  <c r="G67" i="43"/>
  <c r="G68" i="43"/>
  <c r="G69" i="43"/>
  <c r="G61" i="43"/>
  <c r="C14" i="74"/>
  <c r="B14" i="74"/>
  <c r="G44" i="43"/>
  <c r="D42" i="43"/>
  <c r="D33" i="43"/>
  <c r="G51" i="80"/>
  <c r="G52" i="80"/>
  <c r="G53" i="80"/>
  <c r="M53" i="80" s="1"/>
  <c r="N53" i="80" s="1"/>
  <c r="G54" i="80"/>
  <c r="K54" i="80" s="1"/>
  <c r="J54" i="80" s="1"/>
  <c r="G55" i="80"/>
  <c r="G56" i="80"/>
  <c r="G57" i="80"/>
  <c r="M57" i="80" s="1"/>
  <c r="N57" i="80" s="1"/>
  <c r="G58" i="80"/>
  <c r="M58" i="80" s="1"/>
  <c r="N58" i="80" s="1"/>
  <c r="G50" i="80"/>
  <c r="D37" i="80"/>
  <c r="D1" i="80" s="1"/>
  <c r="U2" i="80"/>
  <c r="Q72" i="85"/>
  <c r="Q59" i="85"/>
  <c r="K59" i="85"/>
  <c r="P74" i="85" s="1"/>
  <c r="F59" i="85"/>
  <c r="Q58" i="85"/>
  <c r="J52" i="85"/>
  <c r="Q51" i="85"/>
  <c r="J51" i="85"/>
  <c r="J50" i="85"/>
  <c r="J49" i="85"/>
  <c r="M47" i="85"/>
  <c r="D46" i="85"/>
  <c r="F34" i="85"/>
  <c r="F62" i="85" s="1"/>
  <c r="F33" i="85"/>
  <c r="F61" i="85" s="1"/>
  <c r="F32" i="85"/>
  <c r="F60" i="85" s="1"/>
  <c r="F31" i="85"/>
  <c r="F28" i="85"/>
  <c r="C28" i="85" s="1"/>
  <c r="F23" i="85"/>
  <c r="D23" i="85" s="1"/>
  <c r="F21" i="85"/>
  <c r="M20" i="85"/>
  <c r="F20" i="85"/>
  <c r="M19" i="85"/>
  <c r="M18" i="85"/>
  <c r="F18" i="85"/>
  <c r="M17" i="85"/>
  <c r="F17" i="85"/>
  <c r="F15" i="85"/>
  <c r="G1" i="85"/>
  <c r="Q72" i="84"/>
  <c r="Q59" i="84"/>
  <c r="K59" i="84"/>
  <c r="P74" i="84" s="1"/>
  <c r="F59" i="84"/>
  <c r="Q58" i="84"/>
  <c r="J52" i="84"/>
  <c r="Q51" i="84"/>
  <c r="J51" i="84"/>
  <c r="J50" i="84"/>
  <c r="J49" i="84"/>
  <c r="M47" i="84"/>
  <c r="D46" i="84"/>
  <c r="F34" i="84"/>
  <c r="F62" i="84" s="1"/>
  <c r="F33" i="84"/>
  <c r="F61" i="84" s="1"/>
  <c r="F32" i="84"/>
  <c r="F60" i="84" s="1"/>
  <c r="F31" i="84"/>
  <c r="F28" i="84"/>
  <c r="C28" i="84" s="1"/>
  <c r="F23" i="84"/>
  <c r="D23" i="84" s="1"/>
  <c r="F21" i="84"/>
  <c r="M20" i="84"/>
  <c r="F20" i="84"/>
  <c r="M19" i="84"/>
  <c r="M18" i="84"/>
  <c r="F18" i="84"/>
  <c r="M17" i="84"/>
  <c r="F17" i="84"/>
  <c r="F15" i="84"/>
  <c r="G1" i="84"/>
  <c r="J52" i="15"/>
  <c r="J49" i="15"/>
  <c r="Y8" i="1"/>
  <c r="Y7" i="1"/>
  <c r="V21" i="1"/>
  <c r="Y6" i="1"/>
  <c r="AM8" i="1"/>
  <c r="AM7" i="1"/>
  <c r="AL8" i="1"/>
  <c r="AL7" i="1"/>
  <c r="AK8" i="1"/>
  <c r="AK7" i="1"/>
  <c r="T23" i="1"/>
  <c r="T22" i="1"/>
  <c r="T21" i="1"/>
  <c r="T20" i="1"/>
  <c r="T19" i="1"/>
  <c r="N8" i="1"/>
  <c r="N7" i="1"/>
  <c r="N21" i="1"/>
  <c r="N19" i="1"/>
  <c r="L8" i="1"/>
  <c r="L7" i="1"/>
  <c r="I7" i="1"/>
  <c r="J7" i="1"/>
  <c r="H7" i="1"/>
  <c r="G21" i="6"/>
  <c r="G20" i="6"/>
  <c r="F20" i="6"/>
  <c r="F19" i="6"/>
  <c r="B53" i="78"/>
  <c r="O13" i="3"/>
  <c r="M13" i="3"/>
  <c r="K13" i="3"/>
  <c r="I13" i="3"/>
  <c r="J35" i="82"/>
  <c r="A3" i="3"/>
  <c r="J33" i="82"/>
  <c r="K13" i="82"/>
  <c r="K11" i="82"/>
  <c r="K10" i="82"/>
  <c r="K9" i="82"/>
  <c r="K8" i="82"/>
  <c r="E23" i="82"/>
  <c r="E21" i="82"/>
  <c r="K17" i="82"/>
  <c r="K16" i="82"/>
  <c r="K20" i="82" s="1"/>
  <c r="K21" i="82" s="1"/>
  <c r="K15" i="82"/>
  <c r="K14" i="82"/>
  <c r="E14" i="82"/>
  <c r="K18" i="82"/>
  <c r="K6" i="82"/>
  <c r="F13" i="4"/>
  <c r="F116" i="80"/>
  <c r="K112" i="80"/>
  <c r="G112" i="80"/>
  <c r="N111" i="80"/>
  <c r="N112" i="80" s="1"/>
  <c r="M111" i="80"/>
  <c r="M112" i="80" s="1"/>
  <c r="L111" i="80"/>
  <c r="L112" i="80" s="1"/>
  <c r="K111" i="80"/>
  <c r="J111" i="80"/>
  <c r="J112" i="80" s="1"/>
  <c r="I111" i="80"/>
  <c r="I112" i="80" s="1"/>
  <c r="H111" i="80"/>
  <c r="H112" i="80" s="1"/>
  <c r="G111" i="80"/>
  <c r="F111" i="80"/>
  <c r="F112" i="80" s="1"/>
  <c r="E111" i="80"/>
  <c r="E112" i="80" s="1"/>
  <c r="D111" i="80"/>
  <c r="D112" i="80" s="1"/>
  <c r="C111" i="80"/>
  <c r="C112" i="80" s="1"/>
  <c r="M101" i="80"/>
  <c r="N101" i="80" s="1"/>
  <c r="K101" i="80"/>
  <c r="J101" i="80"/>
  <c r="D101" i="80"/>
  <c r="B101" i="80"/>
  <c r="N100" i="80"/>
  <c r="M100" i="80"/>
  <c r="K100" i="80"/>
  <c r="J100" i="80" s="1"/>
  <c r="D100" i="80"/>
  <c r="B100" i="80"/>
  <c r="M99" i="80"/>
  <c r="N99" i="80" s="1"/>
  <c r="K99" i="80"/>
  <c r="J99" i="80"/>
  <c r="D99" i="80"/>
  <c r="B99" i="80"/>
  <c r="N98" i="80"/>
  <c r="M98" i="80"/>
  <c r="K98" i="80"/>
  <c r="J98" i="80" s="1"/>
  <c r="D98" i="80"/>
  <c r="N97" i="80"/>
  <c r="M97" i="80"/>
  <c r="K97" i="80"/>
  <c r="J97" i="80"/>
  <c r="D97" i="80"/>
  <c r="B97" i="80"/>
  <c r="M96" i="80"/>
  <c r="N96" i="80" s="1"/>
  <c r="K96" i="80"/>
  <c r="J96" i="80"/>
  <c r="D96" i="80"/>
  <c r="M95" i="80"/>
  <c r="N95" i="80" s="1"/>
  <c r="K95" i="80"/>
  <c r="J95" i="80"/>
  <c r="D95" i="80"/>
  <c r="B95" i="80"/>
  <c r="N94" i="80"/>
  <c r="M94" i="80"/>
  <c r="K94" i="80"/>
  <c r="J94" i="80" s="1"/>
  <c r="D94" i="80"/>
  <c r="B94" i="80"/>
  <c r="M93" i="80"/>
  <c r="N93" i="80" s="1"/>
  <c r="K93" i="80"/>
  <c r="J93" i="80"/>
  <c r="F93" i="80"/>
  <c r="D93" i="80"/>
  <c r="N90" i="80"/>
  <c r="M90" i="80"/>
  <c r="K90" i="80"/>
  <c r="J90" i="80" s="1"/>
  <c r="D90" i="80"/>
  <c r="B90" i="80"/>
  <c r="M89" i="80"/>
  <c r="N89" i="80" s="1"/>
  <c r="K89" i="80"/>
  <c r="J89" i="80"/>
  <c r="D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N83" i="80"/>
  <c r="M83" i="80"/>
  <c r="K83" i="80"/>
  <c r="J83" i="80" s="1"/>
  <c r="F83" i="80"/>
  <c r="H88" i="80" s="1"/>
  <c r="D83" i="80"/>
  <c r="B83" i="80"/>
  <c r="N80" i="80"/>
  <c r="M80" i="80"/>
  <c r="K80" i="80"/>
  <c r="J80" i="80" s="1"/>
  <c r="D80" i="80"/>
  <c r="N79" i="80"/>
  <c r="M79" i="80"/>
  <c r="K79" i="80"/>
  <c r="J79" i="80" s="1"/>
  <c r="D79" i="80"/>
  <c r="B79" i="80"/>
  <c r="M78" i="80"/>
  <c r="N78" i="80" s="1"/>
  <c r="K78" i="80"/>
  <c r="J78" i="80"/>
  <c r="D78" i="80"/>
  <c r="M77" i="80"/>
  <c r="N77" i="80" s="1"/>
  <c r="K77" i="80"/>
  <c r="J77" i="80"/>
  <c r="D77" i="80"/>
  <c r="B77" i="80"/>
  <c r="N76" i="80"/>
  <c r="M76" i="80"/>
  <c r="K76" i="80"/>
  <c r="J76" i="80" s="1"/>
  <c r="D76" i="80"/>
  <c r="B76" i="80"/>
  <c r="M75" i="80"/>
  <c r="N75" i="80" s="1"/>
  <c r="K75" i="80"/>
  <c r="J75" i="80"/>
  <c r="D75" i="80"/>
  <c r="B75" i="80"/>
  <c r="N74" i="80"/>
  <c r="M74" i="80"/>
  <c r="K74" i="80"/>
  <c r="J74" i="80" s="1"/>
  <c r="D74" i="80"/>
  <c r="B74" i="80"/>
  <c r="M73" i="80"/>
  <c r="N73" i="80" s="1"/>
  <c r="K73" i="80"/>
  <c r="J73" i="80"/>
  <c r="D73" i="80"/>
  <c r="B73" i="80"/>
  <c r="N72" i="80"/>
  <c r="M72" i="80"/>
  <c r="K72" i="80"/>
  <c r="J72" i="80" s="1"/>
  <c r="F72" i="80"/>
  <c r="H77" i="80" s="1"/>
  <c r="D72" i="80"/>
  <c r="B72" i="80"/>
  <c r="N69" i="80"/>
  <c r="M69" i="80"/>
  <c r="K69" i="80"/>
  <c r="J69" i="80" s="1"/>
  <c r="D69" i="80"/>
  <c r="B69" i="80"/>
  <c r="M68" i="80"/>
  <c r="N68" i="80" s="1"/>
  <c r="K68" i="80"/>
  <c r="J68" i="80"/>
  <c r="D68" i="80"/>
  <c r="B68" i="80"/>
  <c r="N67" i="80"/>
  <c r="M67" i="80"/>
  <c r="K67" i="80"/>
  <c r="J67" i="80" s="1"/>
  <c r="D67" i="80"/>
  <c r="B67" i="80"/>
  <c r="M66" i="80"/>
  <c r="N66" i="80" s="1"/>
  <c r="K66" i="80"/>
  <c r="J66" i="80"/>
  <c r="D66" i="80"/>
  <c r="E61" i="80" s="1"/>
  <c r="B59" i="80" s="1"/>
  <c r="M65" i="80"/>
  <c r="N65" i="80" s="1"/>
  <c r="K65" i="80"/>
  <c r="J65" i="80"/>
  <c r="D65" i="80"/>
  <c r="B65" i="80"/>
  <c r="N64" i="80"/>
  <c r="M64" i="80"/>
  <c r="K64" i="80"/>
  <c r="J64" i="80" s="1"/>
  <c r="D64" i="80"/>
  <c r="N63" i="80"/>
  <c r="M63" i="80"/>
  <c r="K63" i="80"/>
  <c r="J63" i="80" s="1"/>
  <c r="D63" i="80"/>
  <c r="B63" i="80"/>
  <c r="M62" i="80"/>
  <c r="N62" i="80" s="1"/>
  <c r="K62" i="80"/>
  <c r="J62" i="80"/>
  <c r="D62" i="80"/>
  <c r="B62" i="80"/>
  <c r="N61" i="80"/>
  <c r="M61" i="80"/>
  <c r="K61" i="80"/>
  <c r="J61" i="80" s="1"/>
  <c r="F61" i="80"/>
  <c r="H68" i="80" s="1"/>
  <c r="D61" i="80"/>
  <c r="B61" i="80"/>
  <c r="B58" i="80"/>
  <c r="K57" i="80"/>
  <c r="J57" i="80"/>
  <c r="D57" i="80" s="1"/>
  <c r="B57" i="80"/>
  <c r="M56" i="80"/>
  <c r="N56" i="80" s="1"/>
  <c r="K56" i="80"/>
  <c r="J56" i="80" s="1"/>
  <c r="B56" i="80"/>
  <c r="M55" i="80"/>
  <c r="N55" i="80" s="1"/>
  <c r="K55" i="80"/>
  <c r="J55" i="80" s="1"/>
  <c r="D55" i="80"/>
  <c r="M54" i="80"/>
  <c r="N54" i="80" s="1"/>
  <c r="D54" i="80"/>
  <c r="B54" i="80"/>
  <c r="K53" i="80"/>
  <c r="J53" i="80" s="1"/>
  <c r="D53" i="80"/>
  <c r="N52" i="80"/>
  <c r="M52" i="80"/>
  <c r="K52" i="80"/>
  <c r="J52" i="80" s="1"/>
  <c r="D52" i="80"/>
  <c r="B52" i="80"/>
  <c r="M51" i="80"/>
  <c r="N51" i="80" s="1"/>
  <c r="K51" i="80"/>
  <c r="D51" i="80" s="1"/>
  <c r="J51" i="80"/>
  <c r="B51" i="80"/>
  <c r="M50" i="80"/>
  <c r="N50" i="80" s="1"/>
  <c r="K50" i="80"/>
  <c r="J50" i="80" s="1"/>
  <c r="D50" i="80"/>
  <c r="B50" i="80"/>
  <c r="H42" i="80"/>
  <c r="H41" i="80"/>
  <c r="H40" i="80"/>
  <c r="H39" i="80"/>
  <c r="H38" i="80"/>
  <c r="Q32" i="80"/>
  <c r="J24" i="80"/>
  <c r="I24" i="80"/>
  <c r="G24" i="80"/>
  <c r="E24" i="80"/>
  <c r="M23" i="80"/>
  <c r="I23" i="80"/>
  <c r="C22" i="80"/>
  <c r="G17" i="80"/>
  <c r="C17" i="80"/>
  <c r="C13" i="80"/>
  <c r="C11" i="80"/>
  <c r="AH10" i="80"/>
  <c r="AG10" i="80"/>
  <c r="AD10" i="80"/>
  <c r="AC10" i="80"/>
  <c r="Z10" i="80"/>
  <c r="Y10" i="80"/>
  <c r="C10" i="80"/>
  <c r="AJ9" i="80"/>
  <c r="AJ10" i="80" s="1"/>
  <c r="AI9" i="80"/>
  <c r="AI10" i="80" s="1"/>
  <c r="AH9" i="80"/>
  <c r="AG9" i="80"/>
  <c r="AF9" i="80"/>
  <c r="AF10" i="80" s="1"/>
  <c r="AE9" i="80"/>
  <c r="AE10" i="80" s="1"/>
  <c r="AD9" i="80"/>
  <c r="AC9" i="80"/>
  <c r="AB9" i="80"/>
  <c r="AB10" i="80" s="1"/>
  <c r="AA9" i="80"/>
  <c r="AA10" i="80" s="1"/>
  <c r="Z9" i="80"/>
  <c r="C9" i="80"/>
  <c r="E8" i="80"/>
  <c r="G3" i="80"/>
  <c r="I2" i="80"/>
  <c r="N12" i="80" s="1"/>
  <c r="G2" i="80"/>
  <c r="C21" i="80" s="1"/>
  <c r="G14" i="73"/>
  <c r="F14" i="73"/>
  <c r="E14" i="73"/>
  <c r="C76" i="85"/>
  <c r="C76" i="84"/>
  <c r="K58" i="80" l="1"/>
  <c r="D56" i="80"/>
  <c r="H37" i="80"/>
  <c r="Q71" i="85"/>
  <c r="D24" i="85"/>
  <c r="P61" i="85"/>
  <c r="D22" i="85"/>
  <c r="Q71" i="84"/>
  <c r="D24" i="84"/>
  <c r="P61" i="84"/>
  <c r="D22" i="84"/>
  <c r="H90" i="80"/>
  <c r="S2" i="80"/>
  <c r="M8" i="80"/>
  <c r="N10" i="80"/>
  <c r="N2" i="80"/>
  <c r="M6" i="80"/>
  <c r="N4" i="80"/>
  <c r="M1" i="80"/>
  <c r="N6" i="80"/>
  <c r="N9" i="80"/>
  <c r="M10" i="80"/>
  <c r="H79" i="80"/>
  <c r="H61" i="80"/>
  <c r="H64" i="80"/>
  <c r="H67" i="80"/>
  <c r="H76" i="80"/>
  <c r="H87" i="80"/>
  <c r="H85" i="80"/>
  <c r="H63" i="80"/>
  <c r="H69" i="80"/>
  <c r="H74" i="80"/>
  <c r="H66" i="80"/>
  <c r="H72" i="80"/>
  <c r="H83" i="80"/>
  <c r="S5" i="80"/>
  <c r="E93" i="80"/>
  <c r="B91" i="80" s="1"/>
  <c r="H26" i="80"/>
  <c r="Z7" i="80"/>
  <c r="G26" i="80"/>
  <c r="S4" i="80"/>
  <c r="H101" i="80"/>
  <c r="H95" i="80"/>
  <c r="H98" i="80"/>
  <c r="H99" i="80"/>
  <c r="H96" i="80"/>
  <c r="H93" i="80"/>
  <c r="H116" i="80"/>
  <c r="F41" i="80"/>
  <c r="F39" i="80"/>
  <c r="N21" i="80"/>
  <c r="J21" i="80"/>
  <c r="E21" i="80"/>
  <c r="C6" i="80"/>
  <c r="X7" i="80"/>
  <c r="S6" i="80"/>
  <c r="F42" i="80"/>
  <c r="F40" i="80"/>
  <c r="F38" i="80"/>
  <c r="F37" i="80"/>
  <c r="C27" i="80"/>
  <c r="M21" i="80"/>
  <c r="I21" i="80"/>
  <c r="D21" i="80"/>
  <c r="K21" i="80"/>
  <c r="E44" i="80"/>
  <c r="C44" i="80" s="1"/>
  <c r="C24" i="80"/>
  <c r="I18" i="80"/>
  <c r="G18" i="80"/>
  <c r="L21" i="80"/>
  <c r="E26" i="80"/>
  <c r="S3" i="80"/>
  <c r="E10" i="80"/>
  <c r="E9" i="80"/>
  <c r="C7" i="80" s="1"/>
  <c r="O21" i="80"/>
  <c r="F26" i="80"/>
  <c r="H97" i="80"/>
  <c r="H100" i="80"/>
  <c r="B116" i="80"/>
  <c r="E11" i="80"/>
  <c r="H21" i="80"/>
  <c r="P32" i="80"/>
  <c r="O32" i="80"/>
  <c r="N32" i="80"/>
  <c r="J26" i="80"/>
  <c r="M32" i="80"/>
  <c r="E72" i="80"/>
  <c r="B70" i="80" s="1"/>
  <c r="E83" i="80"/>
  <c r="B81" i="80" s="1"/>
  <c r="H94" i="80"/>
  <c r="M11" i="80"/>
  <c r="M12" i="80"/>
  <c r="H75" i="80"/>
  <c r="H78" i="80"/>
  <c r="H86" i="80"/>
  <c r="H89" i="80"/>
  <c r="M3" i="80"/>
  <c r="M5" i="80"/>
  <c r="M7" i="80"/>
  <c r="N8" i="80"/>
  <c r="N1" i="80"/>
  <c r="F50" i="80" s="1"/>
  <c r="M2" i="80"/>
  <c r="N3" i="80"/>
  <c r="M4" i="80"/>
  <c r="N5" i="80"/>
  <c r="N7" i="80"/>
  <c r="M9" i="80"/>
  <c r="N11" i="80"/>
  <c r="H80" i="80"/>
  <c r="H62" i="80"/>
  <c r="H65" i="80"/>
  <c r="H73" i="80"/>
  <c r="H84" i="80"/>
  <c r="I12" i="79"/>
  <c r="F16" i="85"/>
  <c r="F7" i="85"/>
  <c r="M28" i="85"/>
  <c r="M23" i="85"/>
  <c r="F37" i="85"/>
  <c r="M26" i="85"/>
  <c r="L47" i="85"/>
  <c r="M6" i="85"/>
  <c r="F9" i="85"/>
  <c r="F42" i="85"/>
  <c r="F26" i="85"/>
  <c r="M29" i="85"/>
  <c r="J15" i="85"/>
  <c r="M24" i="85"/>
  <c r="L48" i="85"/>
  <c r="M8" i="85"/>
  <c r="F36" i="85"/>
  <c r="M22" i="85"/>
  <c r="M27" i="85"/>
  <c r="F6" i="85"/>
  <c r="F8" i="85"/>
  <c r="F40" i="85"/>
  <c r="F13" i="85"/>
  <c r="F38" i="85"/>
  <c r="M9" i="85"/>
  <c r="F43" i="85"/>
  <c r="M29" i="84"/>
  <c r="M22" i="84"/>
  <c r="J15" i="84"/>
  <c r="M27" i="84"/>
  <c r="L47" i="84"/>
  <c r="F9" i="84"/>
  <c r="F42" i="84"/>
  <c r="F26" i="84"/>
  <c r="M26" i="84"/>
  <c r="F43" i="84"/>
  <c r="M6" i="84"/>
  <c r="F36" i="84"/>
  <c r="F13" i="84"/>
  <c r="F6" i="84"/>
  <c r="M24" i="84"/>
  <c r="L48" i="84"/>
  <c r="M8" i="84"/>
  <c r="F38" i="84"/>
  <c r="F7" i="84"/>
  <c r="M28" i="84"/>
  <c r="M9" i="84"/>
  <c r="M23" i="84"/>
  <c r="F37" i="84"/>
  <c r="F16" i="84"/>
  <c r="F8" i="84"/>
  <c r="F40" i="84"/>
  <c r="J58" i="80" l="1"/>
  <c r="D58" i="80"/>
  <c r="E50" i="80" s="1"/>
  <c r="B48" i="80" s="1"/>
  <c r="C28" i="80" s="1"/>
  <c r="H57" i="80"/>
  <c r="H51" i="80"/>
  <c r="H55" i="80"/>
  <c r="H50" i="80"/>
  <c r="H54" i="80"/>
  <c r="H52" i="80"/>
  <c r="H58" i="80"/>
  <c r="H56" i="80"/>
  <c r="H53" i="80"/>
  <c r="E17" i="80"/>
  <c r="F71" i="85"/>
  <c r="F66" i="85"/>
  <c r="F68" i="85"/>
  <c r="F51" i="85"/>
  <c r="C6" i="85"/>
  <c r="F64" i="85"/>
  <c r="L57" i="85"/>
  <c r="L56" i="85"/>
  <c r="I54" i="85"/>
  <c r="L60" i="85"/>
  <c r="J53" i="85"/>
  <c r="J57" i="85"/>
  <c r="J55" i="85" s="1"/>
  <c r="J58" i="85" s="1"/>
  <c r="Q50" i="85" s="1"/>
  <c r="C27" i="85"/>
  <c r="N59" i="85"/>
  <c r="L58" i="85"/>
  <c r="M59" i="85"/>
  <c r="L59" i="85"/>
  <c r="F65" i="85"/>
  <c r="M7" i="85"/>
  <c r="J6" i="85" s="1"/>
  <c r="F50" i="85"/>
  <c r="F68" i="84"/>
  <c r="F51" i="84"/>
  <c r="F65" i="84"/>
  <c r="F50" i="84"/>
  <c r="M7" i="84"/>
  <c r="J6" i="84" s="1"/>
  <c r="F66" i="84"/>
  <c r="L57" i="84"/>
  <c r="L56" i="84"/>
  <c r="I54" i="84"/>
  <c r="J53" i="84"/>
  <c r="L60" i="84"/>
  <c r="J57" i="84"/>
  <c r="J55" i="84" s="1"/>
  <c r="J58" i="84" s="1"/>
  <c r="Q50" i="84" s="1"/>
  <c r="C6" i="84"/>
  <c r="F64" i="84"/>
  <c r="F71" i="84"/>
  <c r="C27" i="84"/>
  <c r="N59" i="84"/>
  <c r="L58" i="84"/>
  <c r="M59" i="84"/>
  <c r="L59" i="84"/>
  <c r="G21" i="80"/>
  <c r="C20" i="80" s="1"/>
  <c r="D5" i="80" s="1"/>
  <c r="I122" i="80"/>
  <c r="J122" i="80" s="1"/>
  <c r="K122" i="80" s="1"/>
  <c r="L122" i="80" s="1"/>
  <c r="M122" i="80" s="1"/>
  <c r="I121" i="80"/>
  <c r="J121" i="80" s="1"/>
  <c r="K121" i="80" s="1"/>
  <c r="L121" i="80" s="1"/>
  <c r="M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D121" i="80"/>
  <c r="E121" i="80" s="1"/>
  <c r="F121" i="80" s="1"/>
  <c r="D120" i="80"/>
  <c r="E120" i="80" s="1"/>
  <c r="F120" i="80" s="1"/>
  <c r="G120" i="80" s="1"/>
  <c r="H120" i="80" s="1"/>
  <c r="D119" i="80"/>
  <c r="E119" i="80" s="1"/>
  <c r="F119" i="80" s="1"/>
  <c r="G119" i="80" s="1"/>
  <c r="H119" i="80" s="1"/>
  <c r="D118" i="80"/>
  <c r="E118" i="80" s="1"/>
  <c r="F118" i="80" s="1"/>
  <c r="G118" i="80" s="1"/>
  <c r="H118" i="80" s="1"/>
  <c r="B122" i="80"/>
  <c r="C122" i="80" s="1"/>
  <c r="G121" i="80"/>
  <c r="H121" i="80" s="1"/>
  <c r="B119" i="80"/>
  <c r="C119" i="80" s="1"/>
  <c r="B120" i="80"/>
  <c r="C120" i="80" s="1"/>
  <c r="B121" i="80"/>
  <c r="C121" i="80" s="1"/>
  <c r="B118" i="80"/>
  <c r="C118" i="80" s="1"/>
  <c r="D26" i="80"/>
  <c r="C25"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7" i="85"/>
  <c r="C17" i="84"/>
  <c r="J19" i="85" l="1"/>
  <c r="J18" i="85"/>
  <c r="Q73" i="85"/>
  <c r="Q60" i="85"/>
  <c r="Q61" i="85"/>
  <c r="Q74" i="85"/>
  <c r="F1" i="85"/>
  <c r="Q52" i="85"/>
  <c r="C33" i="85"/>
  <c r="C32" i="85"/>
  <c r="Q66" i="85"/>
  <c r="Q57" i="85"/>
  <c r="C49" i="85"/>
  <c r="C49" i="84"/>
  <c r="C61" i="84" s="1"/>
  <c r="Q73" i="84"/>
  <c r="Q60" i="84"/>
  <c r="J19" i="84"/>
  <c r="J18" i="84"/>
  <c r="F1" i="84"/>
  <c r="Q52" i="84"/>
  <c r="Q66" i="84"/>
  <c r="Q57" i="84"/>
  <c r="Q61" i="84"/>
  <c r="Q74" i="84"/>
  <c r="C32" i="84"/>
  <c r="C33" i="84"/>
  <c r="C5" i="80"/>
  <c r="D116"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61" i="85" l="1"/>
  <c r="AD33" i="79"/>
  <c r="AR34" i="79"/>
  <c r="AR35" i="79" s="1"/>
  <c r="AR36" i="79" s="1"/>
  <c r="AR8" i="79"/>
  <c r="AD35" i="79"/>
  <c r="C60" i="78"/>
  <c r="D60" i="78" s="1"/>
  <c r="D53" i="78"/>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D36" i="79"/>
  <c r="AD38" i="79"/>
  <c r="AD37"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23" i="8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B52" i="7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U34" i="34"/>
  <c r="H39" i="33"/>
  <c r="AB39" i="33"/>
  <c r="F26" i="33"/>
  <c r="AA26" i="33" s="1"/>
  <c r="U33" i="33"/>
  <c r="U35" i="33"/>
  <c r="S40" i="33"/>
  <c r="W39" i="33"/>
  <c r="H39" i="37"/>
  <c r="AB39" i="37"/>
  <c r="S27" i="35"/>
  <c r="F11" i="40"/>
  <c r="AA11" i="40"/>
  <c r="H11" i="40"/>
  <c r="AB11" i="40" s="1"/>
  <c r="AB39"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s="1"/>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c r="AA44" i="33"/>
  <c r="AA14" i="33"/>
  <c r="J36" i="37"/>
  <c r="AC36" i="37"/>
  <c r="J10" i="36"/>
  <c r="AC10" i="36" s="1"/>
  <c r="AB30" i="21"/>
  <c r="W31"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s="1"/>
  <c r="BA548" i="3"/>
  <c r="BA546" i="3"/>
  <c r="BA544" i="3"/>
  <c r="AZ544" i="3" s="1"/>
  <c r="BA542" i="3"/>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AZ160" i="3" s="1"/>
  <c r="G161" i="3"/>
  <c r="BA163" i="3"/>
  <c r="AZ163" i="3"/>
  <c r="BL164" i="3"/>
  <c r="G165" i="3"/>
  <c r="BA167" i="3"/>
  <c r="BL168" i="3"/>
  <c r="AZ168" i="3" s="1"/>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AZ345" i="3" s="1"/>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AZ387" i="3" s="1"/>
  <c r="BL388" i="3"/>
  <c r="G389" i="3"/>
  <c r="BA391" i="3"/>
  <c r="AZ391" i="3" s="1"/>
  <c r="BL392" i="3"/>
  <c r="G393" i="3"/>
  <c r="BO5" i="3"/>
  <c r="BM5" i="3"/>
  <c r="BJ5" i="3"/>
  <c r="BH5" i="3"/>
  <c r="BF5" i="3"/>
  <c r="BD5" i="3"/>
  <c r="AZ325" i="3"/>
  <c r="AZ506" i="3"/>
  <c r="G548" i="3"/>
  <c r="G538" i="3"/>
  <c r="G520" i="3"/>
  <c r="G502" i="3"/>
  <c r="BS5" i="3"/>
  <c r="BP5" i="3"/>
  <c r="BN5" i="3"/>
  <c r="G29" i="6" s="1"/>
  <c r="BK5" i="3"/>
  <c r="BI5" i="3"/>
  <c r="BG5" i="3"/>
  <c r="BE5" i="3"/>
  <c r="BC5" i="3"/>
  <c r="G17" i="3"/>
  <c r="BA17" i="3"/>
  <c r="BT5" i="3"/>
  <c r="AZ350" i="3"/>
  <c r="BA15" i="3"/>
  <c r="BB5" i="3"/>
  <c r="BR5" i="3"/>
  <c r="AZ392" i="3"/>
  <c r="AZ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69"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AB12" i="39"/>
  <c r="F39" i="40"/>
  <c r="BA14" i="3"/>
  <c r="AZ254" i="3"/>
  <c r="AZ157" i="3"/>
  <c r="AZ189"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A21" i="39"/>
  <c r="S21" i="39"/>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AP7" i="1"/>
  <c r="AB45" i="21"/>
  <c r="AB9" i="21"/>
  <c r="AA32" i="21"/>
  <c r="S32" i="21"/>
  <c r="AB32" i="21"/>
  <c r="U32" i="21"/>
  <c r="U32" i="39"/>
  <c r="W32" i="39"/>
  <c r="W23" i="37"/>
  <c r="J63" i="37"/>
  <c r="K63" i="37" s="1"/>
  <c r="L63" i="37" s="1"/>
  <c r="M63" i="37" s="1"/>
  <c r="J11" i="37"/>
  <c r="AC11" i="37" s="1"/>
  <c r="J11" i="34"/>
  <c r="W11" i="34" s="1"/>
  <c r="AB36" i="33"/>
  <c r="W27" i="33"/>
  <c r="W25" i="33"/>
  <c r="AC25" i="33"/>
  <c r="AB19" i="33"/>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16" i="84"/>
  <c r="C14" i="84"/>
  <c r="C16" i="85"/>
  <c r="C14" i="85"/>
  <c r="E9" i="76"/>
  <c r="F4" i="73"/>
  <c r="F26" i="67"/>
  <c r="F38" i="15"/>
  <c r="L47" i="67"/>
  <c r="L47" i="15"/>
  <c r="F37" i="15"/>
  <c r="F13" i="67"/>
  <c r="M23" i="67"/>
  <c r="F36" i="15"/>
  <c r="F26" i="15"/>
  <c r="M8" i="67"/>
  <c r="F42" i="67"/>
  <c r="E10" i="76"/>
  <c r="F42" i="15"/>
  <c r="F20" i="31"/>
  <c r="M6" i="15"/>
  <c r="E2" i="69"/>
  <c r="F8" i="15"/>
  <c r="J15" i="67"/>
  <c r="F5" i="73"/>
  <c r="M9" i="15"/>
  <c r="B13" i="76"/>
  <c r="E8" i="76"/>
  <c r="L48" i="15"/>
  <c r="E2" i="68"/>
  <c r="M6" i="67"/>
  <c r="F13" i="15"/>
  <c r="E11" i="76"/>
  <c r="C76" i="15"/>
  <c r="J15" i="15"/>
  <c r="F7" i="15"/>
  <c r="B9" i="76"/>
  <c r="M28" i="15"/>
  <c r="B12" i="76"/>
  <c r="M8" i="15"/>
  <c r="M23" i="15"/>
  <c r="M29" i="15"/>
  <c r="AO13" i="1"/>
  <c r="F7" i="73"/>
  <c r="M9" i="67"/>
  <c r="F38" i="67"/>
  <c r="F6" i="73"/>
  <c r="M26" i="15"/>
  <c r="F40" i="15"/>
  <c r="M29" i="67"/>
  <c r="M26" i="67"/>
  <c r="E12" i="76"/>
  <c r="F43" i="67"/>
  <c r="B8" i="76"/>
  <c r="F16" i="15"/>
  <c r="E13" i="76"/>
  <c r="F6" i="15"/>
  <c r="M28" i="67"/>
  <c r="M24" i="15"/>
  <c r="F43" i="15"/>
  <c r="F3" i="73"/>
  <c r="M22" i="15"/>
  <c r="B10" i="76"/>
  <c r="F9" i="15"/>
  <c r="B11" i="76"/>
  <c r="F7" i="67"/>
  <c r="F6" i="67"/>
  <c r="L48" i="67"/>
  <c r="C18" i="85" l="1"/>
  <c r="C15" i="85"/>
  <c r="C19" i="85"/>
  <c r="C18" i="84"/>
  <c r="C19" i="84" s="1"/>
  <c r="C20" i="84" s="1"/>
  <c r="C26" i="84" s="1"/>
  <c r="C15" i="84"/>
  <c r="O7" i="1"/>
  <c r="P7" i="1" s="1"/>
  <c r="B41" i="1"/>
  <c r="F32" i="67" s="1"/>
  <c r="F60" i="67" s="1"/>
  <c r="D93" i="9"/>
  <c r="F28" i="15"/>
  <c r="F30" i="11"/>
  <c r="C48" i="11" s="1"/>
  <c r="F54" i="9"/>
  <c r="F30" i="68"/>
  <c r="F48" i="68" s="1"/>
  <c r="C40" i="69"/>
  <c r="C21" i="68"/>
  <c r="G26" i="12"/>
  <c r="G22" i="68"/>
  <c r="G22" i="69"/>
  <c r="D52" i="78"/>
  <c r="D51" i="78" s="1"/>
  <c r="B51" i="78"/>
  <c r="F29" i="6"/>
  <c r="J1" i="73"/>
  <c r="P27" i="80"/>
  <c r="P26" i="80"/>
  <c r="P28" i="80"/>
  <c r="M24" i="80"/>
  <c r="P29" i="80"/>
  <c r="C23" i="80"/>
  <c r="O23" i="80"/>
  <c r="P25" i="80"/>
  <c r="AA25" i="33"/>
  <c r="G509" i="3"/>
  <c r="AZ313" i="3"/>
  <c r="AZ306" i="3"/>
  <c r="AZ583" i="3"/>
  <c r="AZ576" i="3"/>
  <c r="AB46" i="34"/>
  <c r="U46" i="33"/>
  <c r="U33" i="40"/>
  <c r="AB33" i="40"/>
  <c r="U23" i="21"/>
  <c r="AA17" i="33"/>
  <c r="AC9" i="21"/>
  <c r="D6" i="52"/>
  <c r="S17" i="37"/>
  <c r="U21" i="39"/>
  <c r="AB33" i="34"/>
  <c r="S23" i="39"/>
  <c r="S43" i="34"/>
  <c r="AZ14" i="3"/>
  <c r="AZ334" i="3"/>
  <c r="AZ372" i="3"/>
  <c r="AZ347" i="3"/>
  <c r="AZ337" i="3"/>
  <c r="AZ394" i="3"/>
  <c r="AA13" i="33"/>
  <c r="AZ521" i="3"/>
  <c r="AZ523" i="3"/>
  <c r="AZ541" i="3"/>
  <c r="AZ571" i="3"/>
  <c r="AZ579" i="3"/>
  <c r="AZ542" i="3"/>
  <c r="W31" i="33"/>
  <c r="AC31" i="33"/>
  <c r="S13" i="21"/>
  <c r="AA35" i="33"/>
  <c r="S20" i="35"/>
  <c r="AZ362" i="3"/>
  <c r="AZ390" i="3"/>
  <c r="AZ351" i="3"/>
  <c r="AZ336" i="3"/>
  <c r="W35" i="40"/>
  <c r="AC12" i="37"/>
  <c r="AZ525" i="3"/>
  <c r="AZ531" i="3"/>
  <c r="AZ512" i="3"/>
  <c r="AZ520" i="3"/>
  <c r="AA14" i="37"/>
  <c r="AA11" i="36"/>
  <c r="S11" i="36"/>
  <c r="U45" i="33"/>
  <c r="AB45" i="33"/>
  <c r="U26" i="33"/>
  <c r="U34" i="35"/>
  <c r="AB34" i="35"/>
  <c r="AZ513" i="3"/>
  <c r="AZ502" i="3"/>
  <c r="BL585" i="3"/>
  <c r="H25" i="37"/>
  <c r="F25" i="37"/>
  <c r="BL550" i="3"/>
  <c r="AZ360" i="3"/>
  <c r="AZ539" i="3"/>
  <c r="AZ529" i="3"/>
  <c r="AZ537" i="3"/>
  <c r="AZ518" i="3"/>
  <c r="AZ526" i="3"/>
  <c r="AZ546" i="3"/>
  <c r="AZ564" i="3"/>
  <c r="AZ580" i="3"/>
  <c r="AZ585" i="3"/>
  <c r="AA29" i="35"/>
  <c r="AB17" i="34"/>
  <c r="W40" i="33"/>
  <c r="S38" i="40"/>
  <c r="W8" i="40"/>
  <c r="B79" i="43"/>
  <c r="H9" i="34"/>
  <c r="J12" i="36"/>
  <c r="F44" i="39"/>
  <c r="G552" i="3"/>
  <c r="AZ451" i="3"/>
  <c r="W33" i="33"/>
  <c r="W31" i="37"/>
  <c r="G585" i="3"/>
  <c r="BL587" i="3"/>
  <c r="AZ587" i="3" s="1"/>
  <c r="BL586" i="3"/>
  <c r="AZ586" i="3" s="1"/>
  <c r="J9" i="34"/>
  <c r="H12" i="35"/>
  <c r="H23" i="35"/>
  <c r="J9" i="36"/>
  <c r="H24" i="36"/>
  <c r="BL398" i="3"/>
  <c r="G402" i="3"/>
  <c r="BL403" i="3"/>
  <c r="G405" i="3"/>
  <c r="G406" i="3"/>
  <c r="BA408" i="3"/>
  <c r="AZ408" i="3" s="1"/>
  <c r="BA409" i="3"/>
  <c r="AZ409" i="3" s="1"/>
  <c r="BA411" i="3"/>
  <c r="AZ411" i="3" s="1"/>
  <c r="BL414" i="3"/>
  <c r="BL415" i="3"/>
  <c r="BA417" i="3"/>
  <c r="BL421" i="3"/>
  <c r="BL422" i="3"/>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BA485" i="3"/>
  <c r="BL49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BL448" i="3"/>
  <c r="G450" i="3"/>
  <c r="BA454" i="3"/>
  <c r="BA457" i="3"/>
  <c r="AZ457" i="3" s="1"/>
  <c r="BA459" i="3"/>
  <c r="BA460" i="3"/>
  <c r="BA461" i="3"/>
  <c r="AZ461" i="3" s="1"/>
  <c r="BL464" i="3"/>
  <c r="BL466" i="3"/>
  <c r="G468" i="3"/>
  <c r="BL476" i="3"/>
  <c r="AZ476" i="3" s="1"/>
  <c r="G574" i="3"/>
  <c r="BA401" i="3"/>
  <c r="BA403" i="3"/>
  <c r="AZ403" i="3" s="1"/>
  <c r="BA404" i="3"/>
  <c r="AZ404" i="3" s="1"/>
  <c r="BA405" i="3"/>
  <c r="AZ405" i="3" s="1"/>
  <c r="BL410" i="3"/>
  <c r="G412" i="3"/>
  <c r="AZ419" i="3"/>
  <c r="AZ422" i="3"/>
  <c r="AZ448" i="3"/>
  <c r="AZ464" i="3"/>
  <c r="AZ466" i="3"/>
  <c r="BA481"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7" i="3"/>
  <c r="AZ487" i="3" s="1"/>
  <c r="G492"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116"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288" i="3"/>
  <c r="BA290" i="3"/>
  <c r="G297" i="3"/>
  <c r="G491" i="3"/>
  <c r="BA303" i="3"/>
  <c r="AZ303" i="3" s="1"/>
  <c r="BA307" i="3"/>
  <c r="AZ307" i="3" s="1"/>
  <c r="G311" i="3"/>
  <c r="BL314" i="3"/>
  <c r="AZ314" i="3" s="1"/>
  <c r="G315" i="3"/>
  <c r="BA332" i="3"/>
  <c r="BL332" i="3"/>
  <c r="G339" i="3"/>
  <c r="G364" i="3"/>
  <c r="BA367" i="3"/>
  <c r="AZ367" i="3" s="1"/>
  <c r="BA370" i="3"/>
  <c r="AZ370" i="3" s="1"/>
  <c r="BA386" i="3"/>
  <c r="AZ386" i="3" s="1"/>
  <c r="G397" i="3"/>
  <c r="G210" i="3"/>
  <c r="BA253" i="3"/>
  <c r="BL260" i="3"/>
  <c r="G262" i="3"/>
  <c r="BL263" i="3"/>
  <c r="G264" i="3"/>
  <c r="BL270" i="3"/>
  <c r="BA272" i="3"/>
  <c r="AZ272" i="3" s="1"/>
  <c r="BL275" i="3"/>
  <c r="AZ275" i="3" s="1"/>
  <c r="G277" i="3"/>
  <c r="G280" i="3"/>
  <c r="G282" i="3"/>
  <c r="BL285" i="3"/>
  <c r="BL287" i="3"/>
  <c r="BL290" i="3"/>
  <c r="BL291" i="3"/>
  <c r="AZ291" i="3" s="1"/>
  <c r="BL293" i="3"/>
  <c r="BL294" i="3"/>
  <c r="BA297" i="3"/>
  <c r="BL297" i="3"/>
  <c r="BL214" i="3"/>
  <c r="AZ214" i="3" s="1"/>
  <c r="BL225" i="3"/>
  <c r="BL226" i="3"/>
  <c r="BA239" i="3"/>
  <c r="BL239" i="3"/>
  <c r="BA241" i="3"/>
  <c r="BL241" i="3"/>
  <c r="BA244" i="3"/>
  <c r="BL244" i="3"/>
  <c r="BA246" i="3"/>
  <c r="BA252" i="3"/>
  <c r="AZ252" i="3" s="1"/>
  <c r="AZ270" i="3"/>
  <c r="AZ284" i="3"/>
  <c r="BA296" i="3"/>
  <c r="BL300" i="3"/>
  <c r="BA302" i="3"/>
  <c r="G115" i="3"/>
  <c r="BA117" i="3"/>
  <c r="BA130" i="3"/>
  <c r="BL130" i="3"/>
  <c r="BA137" i="3"/>
  <c r="BL138" i="3"/>
  <c r="BA140" i="3"/>
  <c r="AZ140" i="3" s="1"/>
  <c r="BA142" i="3"/>
  <c r="BL149" i="3"/>
  <c r="AZ149" i="3" s="1"/>
  <c r="BL150" i="3"/>
  <c r="G151" i="3"/>
  <c r="BA152" i="3"/>
  <c r="AZ152" i="3" s="1"/>
  <c r="BA154" i="3"/>
  <c r="AZ154" i="3" s="1"/>
  <c r="BL162" i="3"/>
  <c r="AZ162" i="3" s="1"/>
  <c r="BL170" i="3"/>
  <c r="BA173" i="3"/>
  <c r="AZ173" i="3" s="1"/>
  <c r="BA174" i="3"/>
  <c r="BL179" i="3"/>
  <c r="AZ179" i="3" s="1"/>
  <c r="BA181" i="3"/>
  <c r="AZ181" i="3" s="1"/>
  <c r="BA182" i="3"/>
  <c r="BL193" i="3"/>
  <c r="G194" i="3"/>
  <c r="BL194" i="3"/>
  <c r="AZ194" i="3" s="1"/>
  <c r="BA198" i="3"/>
  <c r="AZ198" i="3" s="1"/>
  <c r="G199" i="3"/>
  <c r="G205" i="3"/>
  <c r="BL206" i="3"/>
  <c r="BA19" i="3"/>
  <c r="AZ19" i="3" s="1"/>
  <c r="G22" i="3"/>
  <c r="G24" i="3"/>
  <c r="G25" i="3"/>
  <c r="G27" i="3"/>
  <c r="BA27" i="3"/>
  <c r="G30" i="3"/>
  <c r="BL30" i="3"/>
  <c r="BL31" i="3"/>
  <c r="AZ31" i="3" s="1"/>
  <c r="G37" i="3"/>
  <c r="BL40" i="3"/>
  <c r="BL41" i="3"/>
  <c r="AZ41" i="3" s="1"/>
  <c r="BL45" i="3"/>
  <c r="BA48" i="3"/>
  <c r="BA49" i="3"/>
  <c r="BA51" i="3"/>
  <c r="G55" i="3"/>
  <c r="BL56" i="3"/>
  <c r="BA58" i="3"/>
  <c r="BL59" i="3"/>
  <c r="AZ59" i="3" s="1"/>
  <c r="BL60" i="3"/>
  <c r="BA61" i="3"/>
  <c r="AZ61" i="3" s="1"/>
  <c r="BA68" i="3"/>
  <c r="BA73" i="3"/>
  <c r="V24" i="71"/>
  <c r="E23" i="71"/>
  <c r="E22" i="71" s="1"/>
  <c r="E21" i="71" s="1"/>
  <c r="E20" i="71" s="1"/>
  <c r="BL177" i="3"/>
  <c r="AZ177" i="3" s="1"/>
  <c r="BL183" i="3"/>
  <c r="AZ183" i="3" s="1"/>
  <c r="BA186" i="3"/>
  <c r="AZ186" i="3" s="1"/>
  <c r="BA190" i="3"/>
  <c r="AZ190" i="3" s="1"/>
  <c r="BA197" i="3"/>
  <c r="AZ197" i="3" s="1"/>
  <c r="BL201" i="3"/>
  <c r="AZ201" i="3" s="1"/>
  <c r="BL203" i="3"/>
  <c r="AZ203" i="3" s="1"/>
  <c r="BA204" i="3"/>
  <c r="AZ204" i="3" s="1"/>
  <c r="BA18" i="3"/>
  <c r="BL21"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BA71" i="3"/>
  <c r="G76" i="3"/>
  <c r="BA80" i="3"/>
  <c r="BL84" i="3"/>
  <c r="BA90" i="3"/>
  <c r="BL94" i="3"/>
  <c r="AZ94" i="3" s="1"/>
  <c r="BA109" i="3"/>
  <c r="C44" i="71"/>
  <c r="D43" i="71"/>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BL71" i="3"/>
  <c r="BL72" i="3"/>
  <c r="AZ72" i="3" s="1"/>
  <c r="G74" i="3"/>
  <c r="BA103" i="3"/>
  <c r="AZ103" i="3" s="1"/>
  <c r="BA104" i="3"/>
  <c r="C47" i="71"/>
  <c r="D47" i="71" s="1"/>
  <c r="D46" i="71"/>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84" i="3"/>
  <c r="AZ184" i="3" s="1"/>
  <c r="AZ27" i="3"/>
  <c r="AZ62" i="3"/>
  <c r="AZ64" i="3"/>
  <c r="AZ65" i="3"/>
  <c r="AZ70" i="3"/>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77" i="3"/>
  <c r="AZ77" i="3" s="1"/>
  <c r="BA79" i="3"/>
  <c r="AZ79" i="3" s="1"/>
  <c r="G82" i="3"/>
  <c r="G83" i="3"/>
  <c r="BA84" i="3"/>
  <c r="AZ84" i="3" s="1"/>
  <c r="BL88" i="3"/>
  <c r="AZ88" i="3" s="1"/>
  <c r="G90" i="3"/>
  <c r="BL90" i="3"/>
  <c r="BL92" i="3"/>
  <c r="G101" i="3"/>
  <c r="BA101" i="3"/>
  <c r="AZ101" i="3" s="1"/>
  <c r="G108" i="3"/>
  <c r="G109" i="3"/>
  <c r="BL112" i="3"/>
  <c r="AB21" i="33"/>
  <c r="S21" i="34"/>
  <c r="B88" i="43"/>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J6" i="67" s="1"/>
  <c r="F50" i="67"/>
  <c r="F68" i="15"/>
  <c r="C36" i="68"/>
  <c r="D9" i="69"/>
  <c r="C36" i="69"/>
  <c r="D9" i="68"/>
  <c r="C76" i="67"/>
  <c r="D6" i="73"/>
  <c r="F40" i="67"/>
  <c r="F16" i="67"/>
  <c r="D4" i="73"/>
  <c r="C16" i="15"/>
  <c r="M22" i="67"/>
  <c r="F8" i="67"/>
  <c r="F37" i="67"/>
  <c r="F9" i="67"/>
  <c r="M24" i="67"/>
  <c r="D7" i="73"/>
  <c r="D3" i="73"/>
  <c r="D5" i="73"/>
  <c r="F36" i="67"/>
  <c r="C20" i="85" l="1"/>
  <c r="C26" i="85" s="1"/>
  <c r="M11" i="85"/>
  <c r="J10" i="85" s="1"/>
  <c r="J5" i="85" s="1"/>
  <c r="F11" i="85"/>
  <c r="M11" i="84"/>
  <c r="J10" i="84" s="1"/>
  <c r="J5" i="84" s="1"/>
  <c r="F11" i="84"/>
  <c r="F52" i="9"/>
  <c r="M18" i="15"/>
  <c r="M18" i="67"/>
  <c r="C30" i="11"/>
  <c r="F32" i="15"/>
  <c r="F60" i="15" s="1"/>
  <c r="F28" i="67"/>
  <c r="C28" i="67" s="1"/>
  <c r="C30" i="68"/>
  <c r="F48" i="9"/>
  <c r="O52" i="9" s="1"/>
  <c r="F30" i="69"/>
  <c r="D68" i="9"/>
  <c r="F31" i="12"/>
  <c r="C31" i="12" s="1"/>
  <c r="K16" i="1"/>
  <c r="Q16" i="1"/>
  <c r="F27" i="69" s="1"/>
  <c r="C47" i="69" s="1"/>
  <c r="D45" i="69" s="1"/>
  <c r="C51" i="78"/>
  <c r="C56" i="78" s="1"/>
  <c r="C58" i="78" s="1"/>
  <c r="B56" i="78"/>
  <c r="B55" i="78"/>
  <c r="D55" i="78" s="1"/>
  <c r="B62" i="78"/>
  <c r="B54" i="78"/>
  <c r="D54" i="78" s="1"/>
  <c r="H16" i="1"/>
  <c r="G26" i="43"/>
  <c r="N94" i="46"/>
  <c r="J26" i="43"/>
  <c r="N370" i="46"/>
  <c r="F26" i="43"/>
  <c r="E26" i="43"/>
  <c r="P6" i="1"/>
  <c r="C13" i="12" s="1"/>
  <c r="C42" i="80"/>
  <c r="C40" i="80"/>
  <c r="C39" i="80"/>
  <c r="T6" i="80"/>
  <c r="V6" i="80" s="1"/>
  <c r="T10" i="80"/>
  <c r="V10" i="80" s="1"/>
  <c r="T16" i="80"/>
  <c r="V16" i="80" s="1"/>
  <c r="T3" i="80"/>
  <c r="V3" i="80" s="1"/>
  <c r="T13" i="80"/>
  <c r="V13" i="80" s="1"/>
  <c r="T12" i="80"/>
  <c r="V12" i="80" s="1"/>
  <c r="C41" i="80"/>
  <c r="C38" i="80"/>
  <c r="T15" i="80"/>
  <c r="V15" i="80" s="1"/>
  <c r="T4" i="80"/>
  <c r="V4" i="80" s="1"/>
  <c r="T14" i="80"/>
  <c r="V14" i="80" s="1"/>
  <c r="T11" i="80"/>
  <c r="V11" i="80" s="1"/>
  <c r="C37" i="80"/>
  <c r="T2" i="80"/>
  <c r="V2" i="80" s="1"/>
  <c r="T9" i="80"/>
  <c r="V9" i="80" s="1"/>
  <c r="T8" i="80"/>
  <c r="V8" i="80" s="1"/>
  <c r="C33" i="80"/>
  <c r="T7" i="80"/>
  <c r="V7" i="80" s="1"/>
  <c r="T5" i="80"/>
  <c r="V5" i="80" s="1"/>
  <c r="Q71" i="67"/>
  <c r="F64" i="67"/>
  <c r="F65" i="67"/>
  <c r="F31" i="67"/>
  <c r="C6" i="67"/>
  <c r="C32" i="67" s="1"/>
  <c r="F51" i="67"/>
  <c r="F59" i="67" s="1"/>
  <c r="F68" i="67"/>
  <c r="C40" i="71"/>
  <c r="D39" i="71"/>
  <c r="C56" i="71"/>
  <c r="D55" i="71"/>
  <c r="AZ71" i="3"/>
  <c r="AZ182" i="3"/>
  <c r="AZ302" i="3"/>
  <c r="AZ459" i="3"/>
  <c r="AZ432" i="3"/>
  <c r="AZ417" i="3"/>
  <c r="AB24" i="36"/>
  <c r="U24" i="36"/>
  <c r="AC9" i="34"/>
  <c r="W9" i="34"/>
  <c r="AA44" i="39"/>
  <c r="S44" i="39"/>
  <c r="U25" i="37"/>
  <c r="AB25" i="37"/>
  <c r="G5" i="3"/>
  <c r="B3" i="3" s="1"/>
  <c r="E57" i="3" s="1"/>
  <c r="C70" i="71"/>
  <c r="D70" i="71" s="1"/>
  <c r="D71" i="71"/>
  <c r="C36" i="71"/>
  <c r="D35" i="71"/>
  <c r="D44" i="71"/>
  <c r="T44" i="71"/>
  <c r="AZ66" i="3"/>
  <c r="AZ51" i="3"/>
  <c r="AZ130" i="3"/>
  <c r="AZ244" i="3"/>
  <c r="AZ239" i="3"/>
  <c r="AZ332" i="3"/>
  <c r="AC9" i="36"/>
  <c r="W9" i="36"/>
  <c r="W12" i="36"/>
  <c r="AC12" i="36"/>
  <c r="G16" i="1"/>
  <c r="F10" i="39" s="1"/>
  <c r="S10" i="39" s="1"/>
  <c r="T28" i="71"/>
  <c r="D28" i="71"/>
  <c r="U28" i="71" s="1"/>
  <c r="C27" i="71"/>
  <c r="D79" i="71"/>
  <c r="C78" i="71"/>
  <c r="D78" i="71" s="1"/>
  <c r="D60" i="71"/>
  <c r="T60" i="71"/>
  <c r="T52" i="71"/>
  <c r="D52" i="71"/>
  <c r="AZ63" i="3"/>
  <c r="AZ57" i="3"/>
  <c r="AZ58" i="3"/>
  <c r="AZ49" i="3"/>
  <c r="AZ454" i="3"/>
  <c r="AZ429" i="3"/>
  <c r="U23" i="35"/>
  <c r="AB23" i="35"/>
  <c r="U9" i="34"/>
  <c r="AB9" i="34"/>
  <c r="D83" i="71"/>
  <c r="C82" i="71"/>
  <c r="D82" i="71" s="1"/>
  <c r="O65" i="71"/>
  <c r="D66" i="71"/>
  <c r="O66" i="71"/>
  <c r="N65" i="71"/>
  <c r="N66" i="71"/>
  <c r="T32" i="71"/>
  <c r="D32" i="71"/>
  <c r="AZ137" i="3"/>
  <c r="AZ241" i="3"/>
  <c r="AZ297" i="3"/>
  <c r="AZ263" i="3"/>
  <c r="AZ368" i="3"/>
  <c r="AZ353" i="3"/>
  <c r="AZ401" i="3"/>
  <c r="AZ460" i="3"/>
  <c r="AZ435" i="3"/>
  <c r="AZ425" i="3"/>
  <c r="AZ428" i="3"/>
  <c r="U12" i="35"/>
  <c r="AB12" i="35"/>
  <c r="AA25" i="37"/>
  <c r="S25" i="37"/>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8" i="1"/>
  <c r="AE7" i="1"/>
  <c r="F41" i="85" s="1"/>
  <c r="AE6" i="1"/>
  <c r="F41" i="84" s="1"/>
  <c r="G1" i="73"/>
  <c r="F41" i="67"/>
  <c r="C16" i="67"/>
  <c r="F69" i="85" l="1"/>
  <c r="C53" i="85"/>
  <c r="C48" i="85" s="1"/>
  <c r="C10" i="85"/>
  <c r="C5" i="85" s="1"/>
  <c r="J26" i="85"/>
  <c r="J29" i="85" s="1"/>
  <c r="J24" i="85"/>
  <c r="F69" i="84"/>
  <c r="C53" i="84"/>
  <c r="C48" i="84" s="1"/>
  <c r="C10" i="84"/>
  <c r="C5" i="84" s="1"/>
  <c r="J26" i="84"/>
  <c r="J29" i="84" s="1"/>
  <c r="J24" i="84"/>
  <c r="C29" i="69"/>
  <c r="D27" i="69" s="1"/>
  <c r="F45" i="69"/>
  <c r="F48" i="69"/>
  <c r="C48" i="69"/>
  <c r="C30" i="69"/>
  <c r="AA10" i="39"/>
  <c r="D26" i="43"/>
  <c r="C25" i="43" s="1"/>
  <c r="D56" i="78"/>
  <c r="D58" i="78" s="1"/>
  <c r="D62" i="78" s="1"/>
  <c r="C62" i="78" s="1"/>
  <c r="J10" i="39"/>
  <c r="W10" i="39" s="1"/>
  <c r="F10" i="40"/>
  <c r="S10" i="40" s="1"/>
  <c r="H10" i="39"/>
  <c r="U10" i="39" s="1"/>
  <c r="E248" i="3"/>
  <c r="E246" i="3"/>
  <c r="E335" i="3"/>
  <c r="E217" i="3"/>
  <c r="E587" i="3"/>
  <c r="E380" i="3"/>
  <c r="E515" i="3"/>
  <c r="E336" i="3"/>
  <c r="E366" i="3"/>
  <c r="E429" i="3"/>
  <c r="E390" i="3"/>
  <c r="E167" i="3"/>
  <c r="E360" i="3"/>
  <c r="E378" i="3"/>
  <c r="E142" i="3"/>
  <c r="E385" i="3"/>
  <c r="E387" i="3"/>
  <c r="E28" i="3"/>
  <c r="E228" i="3"/>
  <c r="E337" i="3"/>
  <c r="E318" i="3"/>
  <c r="E117" i="3"/>
  <c r="E121" i="3"/>
  <c r="E177" i="3"/>
  <c r="E272" i="3"/>
  <c r="E373" i="3"/>
  <c r="E442" i="3"/>
  <c r="E131" i="3"/>
  <c r="E240" i="3"/>
  <c r="E275" i="3"/>
  <c r="E535" i="3"/>
  <c r="E247" i="3"/>
  <c r="Z6" i="3"/>
  <c r="E124" i="3"/>
  <c r="E175" i="3"/>
  <c r="E571" i="3"/>
  <c r="E294" i="3"/>
  <c r="E448" i="3"/>
  <c r="E280" i="3"/>
  <c r="E397" i="3"/>
  <c r="E212" i="3"/>
  <c r="E389" i="3"/>
  <c r="E206" i="3"/>
  <c r="E243" i="3"/>
  <c r="E490" i="3"/>
  <c r="E339" i="3"/>
  <c r="E65" i="3"/>
  <c r="E209" i="3"/>
  <c r="E297" i="3"/>
  <c r="E39" i="3"/>
  <c r="E459" i="3"/>
  <c r="E504" i="3"/>
  <c r="E352" i="3"/>
  <c r="E438" i="3"/>
  <c r="E208" i="3"/>
  <c r="E145" i="3"/>
  <c r="E403" i="3"/>
  <c r="AM6" i="3"/>
  <c r="O6" i="3"/>
  <c r="E506"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64" i="3"/>
  <c r="E287" i="3"/>
  <c r="E78" i="3"/>
  <c r="E498" i="3"/>
  <c r="E52" i="3"/>
  <c r="E51" i="3"/>
  <c r="E354" i="3"/>
  <c r="E47" i="3"/>
  <c r="E259" i="3"/>
  <c r="E488" i="3"/>
  <c r="E98" i="3"/>
  <c r="E306" i="3"/>
  <c r="E288" i="3"/>
  <c r="E257" i="3"/>
  <c r="E379" i="3"/>
  <c r="E546" i="3"/>
  <c r="E29" i="3"/>
  <c r="E574" i="3"/>
  <c r="E418"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09" i="3"/>
  <c r="E83" i="3"/>
  <c r="E218" i="3"/>
  <c r="E323" i="3"/>
  <c r="E66" i="3"/>
  <c r="E82" i="3"/>
  <c r="E471" i="3"/>
  <c r="E548" i="3"/>
  <c r="E501" i="3"/>
  <c r="E298"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487" i="3"/>
  <c r="E118" i="3"/>
  <c r="E281" i="3"/>
  <c r="E223" i="3"/>
  <c r="E101" i="3"/>
  <c r="E149" i="3"/>
  <c r="Y6" i="3"/>
  <c r="E122" i="3"/>
  <c r="E475" i="3"/>
  <c r="E432" i="3"/>
  <c r="E153" i="3"/>
  <c r="E169" i="3"/>
  <c r="E303" i="3"/>
  <c r="E434" i="3"/>
  <c r="E481" i="3"/>
  <c r="E203" i="3"/>
  <c r="E252" i="3"/>
  <c r="E581" i="3"/>
  <c r="E334" i="3"/>
  <c r="E239" i="3"/>
  <c r="E551" i="3"/>
  <c r="E415" i="3"/>
  <c r="E382" i="3"/>
  <c r="E85" i="3"/>
  <c r="E458" i="3"/>
  <c r="E111" i="3"/>
  <c r="E269" i="3"/>
  <c r="E505" i="3"/>
  <c r="E331" i="3"/>
  <c r="E508" i="3"/>
  <c r="AR6" i="3"/>
  <c r="E261" i="3"/>
  <c r="E301" i="3"/>
  <c r="E568" i="3"/>
  <c r="E560" i="3"/>
  <c r="E106" i="3"/>
  <c r="E368" i="3"/>
  <c r="E345" i="3"/>
  <c r="E273" i="3"/>
  <c r="AJ6" i="3"/>
  <c r="E570" i="3"/>
  <c r="E278" i="3"/>
  <c r="E263" i="3"/>
  <c r="E148" i="3"/>
  <c r="E219" i="3"/>
  <c r="E94" i="3"/>
  <c r="E369" i="3"/>
  <c r="E139" i="3"/>
  <c r="E536" i="3"/>
  <c r="E469" i="3"/>
  <c r="E333" i="3"/>
  <c r="E500" i="3"/>
  <c r="E341" i="3"/>
  <c r="E154" i="3"/>
  <c r="E313" i="3"/>
  <c r="E93" i="3"/>
  <c r="E126" i="3"/>
  <c r="E97"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AY6" i="3"/>
  <c r="AY176" i="3" s="1"/>
  <c r="E296" i="3"/>
  <c r="E445" i="3"/>
  <c r="E431" i="3"/>
  <c r="E315" i="3"/>
  <c r="E503" i="3"/>
  <c r="E27" i="3"/>
  <c r="E45" i="3"/>
  <c r="E229" i="3"/>
  <c r="E580" i="3"/>
  <c r="E302" i="3"/>
  <c r="E532" i="3"/>
  <c r="E43" i="3"/>
  <c r="H10" i="40"/>
  <c r="AB10" i="40" s="1"/>
  <c r="J10" i="40"/>
  <c r="AC10" i="40" s="1"/>
  <c r="E304" i="3"/>
  <c r="E321" i="3"/>
  <c r="E523" i="3"/>
  <c r="E285" i="3"/>
  <c r="E328" i="3"/>
  <c r="E319" i="3"/>
  <c r="E317" i="3"/>
  <c r="E92" i="3"/>
  <c r="E547" i="3"/>
  <c r="E411" i="3"/>
  <c r="E207" i="3"/>
  <c r="E14" i="3"/>
  <c r="E168" i="3"/>
  <c r="E537" i="3"/>
  <c r="E474" i="3"/>
  <c r="E224" i="3"/>
  <c r="E136" i="3"/>
  <c r="E127" i="3"/>
  <c r="E187" i="3"/>
  <c r="E87" i="3"/>
  <c r="AD6" i="3"/>
  <c r="E163" i="3"/>
  <c r="E374" i="3"/>
  <c r="E584" i="3"/>
  <c r="E436" i="3"/>
  <c r="E19" i="3"/>
  <c r="E446" i="3"/>
  <c r="E416" i="3"/>
  <c r="E155" i="3"/>
  <c r="E50" i="3"/>
  <c r="E137" i="3"/>
  <c r="E202" i="3"/>
  <c r="E486" i="3"/>
  <c r="E370" i="3"/>
  <c r="E104" i="3"/>
  <c r="E534" i="3"/>
  <c r="E235" i="3"/>
  <c r="E233" i="3"/>
  <c r="E95" i="3"/>
  <c r="E3" i="6"/>
  <c r="E237" i="3"/>
  <c r="E338" i="3"/>
  <c r="S6" i="3"/>
  <c r="E359" i="3"/>
  <c r="E426" i="3"/>
  <c r="E53" i="3"/>
  <c r="E291" i="3"/>
  <c r="E71" i="3"/>
  <c r="E367" i="3"/>
  <c r="U6" i="3"/>
  <c r="E196" i="3"/>
  <c r="E357" i="3"/>
  <c r="E54" i="3"/>
  <c r="W6" i="3"/>
  <c r="E529" i="3"/>
  <c r="E157" i="3"/>
  <c r="E461" i="3"/>
  <c r="E307" i="3"/>
  <c r="E413" i="3"/>
  <c r="E195" i="3"/>
  <c r="E179" i="3"/>
  <c r="E462" i="3"/>
  <c r="E542" i="3"/>
  <c r="E266" i="3"/>
  <c r="E582" i="3"/>
  <c r="E48" i="3"/>
  <c r="E110" i="3"/>
  <c r="E421" i="3"/>
  <c r="E398" i="3"/>
  <c r="E147" i="3"/>
  <c r="E455" i="3"/>
  <c r="E40" i="3"/>
  <c r="E493" i="3"/>
  <c r="E342" i="3"/>
  <c r="E452" i="3"/>
  <c r="E140" i="3"/>
  <c r="E482" i="3"/>
  <c r="E310" i="3"/>
  <c r="E554"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42" i="3"/>
  <c r="E198" i="3"/>
  <c r="E283" i="3"/>
  <c r="E184" i="3"/>
  <c r="E371" i="3"/>
  <c r="E467" i="3"/>
  <c r="E349" i="3"/>
  <c r="E37" i="3"/>
  <c r="AP6" i="3"/>
  <c r="E502" i="3"/>
  <c r="E539"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86" i="3"/>
  <c r="E96" i="3"/>
  <c r="AL6" i="3"/>
  <c r="E494" i="3"/>
  <c r="E63" i="3"/>
  <c r="E67" i="3"/>
  <c r="E267" i="3"/>
  <c r="E409" i="3"/>
  <c r="E241" i="3"/>
  <c r="E417" i="3"/>
  <c r="E449" i="3"/>
  <c r="E575"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383" i="3"/>
  <c r="E18" i="3"/>
  <c r="E391" i="3"/>
  <c r="E513" i="3"/>
  <c r="E68" i="3"/>
  <c r="E84" i="3"/>
  <c r="E160" i="3"/>
  <c r="E59" i="3"/>
  <c r="E258" i="3"/>
  <c r="E491" i="3"/>
  <c r="E430" i="3"/>
  <c r="E286" i="3"/>
  <c r="C49" i="67"/>
  <c r="E33" i="80"/>
  <c r="C34" i="80"/>
  <c r="E34" i="80" s="1"/>
  <c r="E37" i="80"/>
  <c r="G37" i="80"/>
  <c r="I37" i="80" s="1"/>
  <c r="G38" i="80"/>
  <c r="I38" i="80" s="1"/>
  <c r="E38" i="80"/>
  <c r="G39" i="80"/>
  <c r="I39" i="80" s="1"/>
  <c r="E39" i="80"/>
  <c r="E41" i="80"/>
  <c r="G41" i="80"/>
  <c r="I41" i="80" s="1"/>
  <c r="G40" i="80"/>
  <c r="I40" i="80" s="1"/>
  <c r="E40" i="80"/>
  <c r="E42" i="80"/>
  <c r="G42" i="80"/>
  <c r="I42" i="80" s="1"/>
  <c r="C26" i="71"/>
  <c r="D26" i="71" s="1"/>
  <c r="D27" i="71"/>
  <c r="D56" i="71"/>
  <c r="T56" i="71"/>
  <c r="E251" i="3"/>
  <c r="E522" i="3"/>
  <c r="E129" i="3"/>
  <c r="E75" i="3"/>
  <c r="E332" i="3"/>
  <c r="E21" i="3"/>
  <c r="E264" i="3"/>
  <c r="E381" i="3"/>
  <c r="E144" i="3"/>
  <c r="E23" i="3"/>
  <c r="E300" i="3"/>
  <c r="E103" i="3"/>
  <c r="E425" i="3"/>
  <c r="E76" i="3"/>
  <c r="E363" i="3"/>
  <c r="E192" i="3"/>
  <c r="E56" i="3"/>
  <c r="E435" i="3"/>
  <c r="I3" i="6"/>
  <c r="E541" i="3"/>
  <c r="R6" i="3"/>
  <c r="E199" i="3"/>
  <c r="E510" i="3"/>
  <c r="D36" i="71"/>
  <c r="T36" i="71"/>
  <c r="E81" i="3"/>
  <c r="E355" i="3"/>
  <c r="E33" i="3"/>
  <c r="E492" i="3"/>
  <c r="E249" i="3"/>
  <c r="E46" i="3"/>
  <c r="E484" i="3"/>
  <c r="E544" i="3"/>
  <c r="E292" i="3"/>
  <c r="E152" i="3"/>
  <c r="E479" i="3"/>
  <c r="E517" i="3"/>
  <c r="E255" i="3"/>
  <c r="E466" i="3"/>
  <c r="E499" i="3"/>
  <c r="T40" i="71"/>
  <c r="D40" i="71"/>
  <c r="B40" i="1"/>
  <c r="F24" i="85"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88" i="3"/>
  <c r="AY44" i="3"/>
  <c r="AY387" i="3"/>
  <c r="AY31" i="3"/>
  <c r="AY514" i="3"/>
  <c r="AY187" i="3"/>
  <c r="AY490" i="3"/>
  <c r="AY528" i="3"/>
  <c r="AY19"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15"/>
  <c r="M27" i="67"/>
  <c r="M27" i="15"/>
  <c r="C38" i="85" l="1"/>
  <c r="C24" i="85"/>
  <c r="C23" i="85"/>
  <c r="C66" i="85"/>
  <c r="C60" i="85"/>
  <c r="C38" i="84"/>
  <c r="C66" i="84"/>
  <c r="C60" i="84"/>
  <c r="F22" i="68"/>
  <c r="C26" i="68" s="1"/>
  <c r="D22" i="68" s="1"/>
  <c r="F24" i="84"/>
  <c r="AC10" i="39"/>
  <c r="F25" i="12"/>
  <c r="C26" i="12" s="1"/>
  <c r="D25" i="12" s="1"/>
  <c r="AY521" i="3"/>
  <c r="AY434" i="3"/>
  <c r="AY296" i="3"/>
  <c r="AY273" i="3"/>
  <c r="AY579" i="3"/>
  <c r="AY406" i="3"/>
  <c r="BN6" i="3"/>
  <c r="AY475" i="3"/>
  <c r="AY549" i="3"/>
  <c r="AB10" i="39"/>
  <c r="AY107" i="3"/>
  <c r="AY396" i="3"/>
  <c r="AY575" i="3"/>
  <c r="AY437" i="3"/>
  <c r="AY484" i="3"/>
  <c r="AY29" i="3"/>
  <c r="AY302" i="3"/>
  <c r="AY295" i="3"/>
  <c r="AY260" i="3"/>
  <c r="AY315" i="3"/>
  <c r="AY64" i="3"/>
  <c r="AY498" i="3"/>
  <c r="AY221" i="3"/>
  <c r="AY380" i="3"/>
  <c r="AY478" i="3"/>
  <c r="AY562" i="3"/>
  <c r="AY360" i="3"/>
  <c r="AY335" i="3"/>
  <c r="AY257" i="3"/>
  <c r="AY551" i="3"/>
  <c r="AY375" i="3"/>
  <c r="AY321" i="3"/>
  <c r="AY70" i="3"/>
  <c r="AY570" i="3"/>
  <c r="AY189" i="3"/>
  <c r="AY173" i="3"/>
  <c r="AY279" i="3"/>
  <c r="AY534" i="3"/>
  <c r="AY283" i="3"/>
  <c r="AY209" i="3"/>
  <c r="W10" i="40"/>
  <c r="U10" i="40"/>
  <c r="AY143" i="3"/>
  <c r="AY394" i="3"/>
  <c r="AY522" i="3"/>
  <c r="AY250" i="3"/>
  <c r="AY208" i="3"/>
  <c r="AY140" i="3"/>
  <c r="AY564" i="3"/>
  <c r="AY504" i="3"/>
  <c r="AY277" i="3"/>
  <c r="AY424" i="3"/>
  <c r="AY35" i="3"/>
  <c r="AY407" i="3"/>
  <c r="AY223" i="3"/>
  <c r="AY584" i="3"/>
  <c r="AY88" i="3"/>
  <c r="AY343" i="3"/>
  <c r="AY525" i="3"/>
  <c r="AY126" i="3"/>
  <c r="AY75" i="3"/>
  <c r="AY316" i="3"/>
  <c r="AY145" i="3"/>
  <c r="AY125" i="3"/>
  <c r="AY76" i="3"/>
  <c r="AY300" i="3"/>
  <c r="AY284" i="3"/>
  <c r="AY59" i="3"/>
  <c r="BT6" i="3"/>
  <c r="AY307" i="3"/>
  <c r="AY164" i="3"/>
  <c r="AY408" i="3"/>
  <c r="AY265" i="3"/>
  <c r="AY79" i="3"/>
  <c r="AY505" i="3"/>
  <c r="AY320" i="3"/>
  <c r="AY113" i="3"/>
  <c r="AY413" i="3"/>
  <c r="AY175" i="3"/>
  <c r="AY330" i="3"/>
  <c r="AY110" i="3"/>
  <c r="AY418" i="3"/>
  <c r="AY298" i="3"/>
  <c r="AY550" i="3"/>
  <c r="AY367" i="3"/>
  <c r="AY148" i="3"/>
  <c r="AY512" i="3"/>
  <c r="AY314" i="3"/>
  <c r="AY285" i="3"/>
  <c r="AY94" i="3"/>
  <c r="AY502" i="3"/>
  <c r="AY426" i="3"/>
  <c r="AY313" i="3"/>
  <c r="AY282" i="3"/>
  <c r="AY65" i="3"/>
  <c r="AY536" i="3"/>
  <c r="AY341"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419" i="3"/>
  <c r="AY552" i="3"/>
  <c r="AY582" i="3"/>
  <c r="AY80" i="3"/>
  <c r="AY169" i="3"/>
  <c r="AY251" i="3"/>
  <c r="AY369" i="3"/>
  <c r="AY328" i="3"/>
  <c r="AY468" i="3"/>
  <c r="AY410" i="3"/>
  <c r="AY499" i="3"/>
  <c r="AY565" i="3"/>
  <c r="AY531" i="3"/>
  <c r="AY78" i="3"/>
  <c r="AY156" i="3"/>
  <c r="AY280" i="3"/>
  <c r="AY376" i="3"/>
  <c r="AY469" i="3"/>
  <c r="AY405" i="3"/>
  <c r="AY587" i="3"/>
  <c r="AY38" i="3"/>
  <c r="AY159" i="3"/>
  <c r="AY256" i="3"/>
  <c r="AY354" i="3"/>
  <c r="AY459" i="3"/>
  <c r="BC6" i="3"/>
  <c r="AY32" i="3"/>
  <c r="AY235" i="3"/>
  <c r="AY304" i="3"/>
  <c r="AY431" i="3"/>
  <c r="AY537" i="3"/>
  <c r="AY30" i="3"/>
  <c r="AY233" i="3"/>
  <c r="AY482" i="3"/>
  <c r="AY102" i="3"/>
  <c r="AY136" i="3"/>
  <c r="AY339" i="3"/>
  <c r="AY583" i="3"/>
  <c r="AY153" i="3"/>
  <c r="AY361" i="3"/>
  <c r="AY445" i="3"/>
  <c r="AY538" i="3"/>
  <c r="BP6" i="3"/>
  <c r="AY151" i="3"/>
  <c r="AY359" i="3"/>
  <c r="AY500" i="3"/>
  <c r="AY200" i="3"/>
  <c r="AY240" i="3"/>
  <c r="AY443"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43"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205" i="3"/>
  <c r="AY385" i="3"/>
  <c r="AY492" i="3"/>
  <c r="AY399" i="3"/>
  <c r="AY548" i="3"/>
  <c r="AY203" i="3"/>
  <c r="AY216" i="3"/>
  <c r="AY421" i="3"/>
  <c r="AY39" i="3"/>
  <c r="AY288" i="3"/>
  <c r="AY474" i="3"/>
  <c r="AY477" i="3"/>
  <c r="AY568" i="3"/>
  <c r="AY62" i="3"/>
  <c r="AY479" i="3"/>
  <c r="AY567" i="3"/>
  <c r="AY13" i="3"/>
  <c r="AY352" i="3"/>
  <c r="AY306" i="3"/>
  <c r="AY86" i="3"/>
  <c r="AY232" i="3"/>
  <c r="BR6" i="3"/>
  <c r="AY487" i="3"/>
  <c r="AY194" i="3"/>
  <c r="AY438" i="3"/>
  <c r="AY193" i="3"/>
  <c r="AY191" i="3"/>
  <c r="AY150" i="3"/>
  <c r="AY404" i="3"/>
  <c r="AY585" i="3"/>
  <c r="AY374" i="3"/>
  <c r="AY401" i="3"/>
  <c r="AY371" i="3"/>
  <c r="AY566" i="3"/>
  <c r="AY386" i="3"/>
  <c r="AY71" i="3"/>
  <c r="AY451" i="3"/>
  <c r="AY301" i="3"/>
  <c r="AY545" i="3"/>
  <c r="AY402" i="3"/>
  <c r="AY305" i="3"/>
  <c r="AY174" i="3"/>
  <c r="AY432" i="3"/>
  <c r="AY22" i="3"/>
  <c r="AY347" i="3"/>
  <c r="AY563" i="3"/>
  <c r="AY461" i="3"/>
  <c r="AY122" i="3"/>
  <c r="AY429" i="3"/>
  <c r="AY213" i="3"/>
  <c r="AY179" i="3"/>
  <c r="AY560" i="3"/>
  <c r="AY331" i="3"/>
  <c r="AY127" i="3"/>
  <c r="AY99" i="3"/>
  <c r="D3" i="6"/>
  <c r="AY442" i="3"/>
  <c r="AY329" i="3"/>
  <c r="AY129" i="3"/>
  <c r="AY96" i="3"/>
  <c r="AY572" i="3"/>
  <c r="AY215" i="3"/>
  <c r="AY270" i="3"/>
  <c r="AY539" i="3"/>
  <c r="AY455" i="3"/>
  <c r="AY556" i="3"/>
  <c r="AY340" i="3"/>
  <c r="AY389" i="3"/>
  <c r="AY53" i="3"/>
  <c r="AY199" i="3"/>
  <c r="BG6" i="3"/>
  <c r="AY430" i="3"/>
  <c r="AY388" i="3"/>
  <c r="AY73" i="3"/>
  <c r="AY262" i="3"/>
  <c r="AY185" i="3"/>
  <c r="BE6" i="3"/>
  <c r="AY327" i="3"/>
  <c r="AY460" i="3"/>
  <c r="AY160" i="3"/>
  <c r="AY58" i="3"/>
  <c r="AY23" i="3"/>
  <c r="AC6" i="3"/>
  <c r="H6" i="3"/>
  <c r="C48" i="67"/>
  <c r="C60" i="67" s="1"/>
  <c r="C31" i="80"/>
  <c r="C30" i="80"/>
  <c r="L36" i="43"/>
  <c r="L37" i="43" s="1"/>
  <c r="O37" i="43" s="1"/>
  <c r="L36" i="80"/>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E7" i="76"/>
  <c r="C17" i="67"/>
  <c r="C17" i="15"/>
  <c r="C14" i="67"/>
  <c r="O36" i="43" l="1"/>
  <c r="C29" i="85"/>
  <c r="Q49" i="85" s="1"/>
  <c r="J59" i="85"/>
  <c r="J60" i="85" s="1"/>
  <c r="C44" i="68"/>
  <c r="D41" i="68" s="1"/>
  <c r="F41" i="68"/>
  <c r="C24" i="84"/>
  <c r="C23" i="84"/>
  <c r="C66" i="67"/>
  <c r="E6" i="3"/>
  <c r="C44" i="11"/>
  <c r="D41" i="11" s="1"/>
  <c r="M37" i="43"/>
  <c r="Q36" i="43"/>
  <c r="N37" i="43"/>
  <c r="Q37" i="43"/>
  <c r="P36" i="43"/>
  <c r="P37" i="43"/>
  <c r="M36" i="43"/>
  <c r="B2" i="80"/>
  <c r="N36" i="43"/>
  <c r="N36" i="80"/>
  <c r="Q36" i="80"/>
  <c r="M36" i="80"/>
  <c r="L37" i="80"/>
  <c r="P36" i="80"/>
  <c r="O36" i="80"/>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5"/>
  <c r="M21" i="85"/>
  <c r="C14" i="15"/>
  <c r="B6" i="76"/>
  <c r="E6" i="76"/>
  <c r="B7" i="76"/>
  <c r="C57" i="85" l="1"/>
  <c r="C64" i="85" s="1"/>
  <c r="C13" i="85"/>
  <c r="C56" i="85" s="1"/>
  <c r="C65" i="85" s="1"/>
  <c r="J14" i="85"/>
  <c r="J13" i="85" s="1"/>
  <c r="J23" i="85" s="1"/>
  <c r="C29" i="84"/>
  <c r="Q49" i="84" s="1"/>
  <c r="C36" i="85"/>
  <c r="J20" i="85"/>
  <c r="J17" i="85" s="1"/>
  <c r="F63" i="85"/>
  <c r="C62" i="85" s="1"/>
  <c r="C59" i="85" s="1"/>
  <c r="C34" i="85"/>
  <c r="C31" i="85" s="1"/>
  <c r="Q48" i="85"/>
  <c r="L46" i="85"/>
  <c r="C18" i="12"/>
  <c r="E2" i="70"/>
  <c r="B3" i="80"/>
  <c r="N37" i="80"/>
  <c r="Q37" i="80"/>
  <c r="M37" i="80"/>
  <c r="P37" i="80"/>
  <c r="O37" i="8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J48" i="35"/>
  <c r="C5" i="68" l="1"/>
  <c r="C23" i="68" s="1"/>
  <c r="C37" i="85"/>
  <c r="Q70" i="85"/>
  <c r="C75" i="85"/>
  <c r="C13" i="84"/>
  <c r="Q70" i="84" s="1"/>
  <c r="J22" i="85"/>
  <c r="J16" i="85" s="1"/>
  <c r="J25" i="85" s="1"/>
  <c r="J14" i="84"/>
  <c r="J13" i="84" s="1"/>
  <c r="J23" i="84" s="1"/>
  <c r="J59" i="84"/>
  <c r="J60" i="84" s="1"/>
  <c r="L46" i="84" s="1"/>
  <c r="C36" i="84"/>
  <c r="C57" i="84"/>
  <c r="C64" i="84" s="1"/>
  <c r="C30" i="85"/>
  <c r="C39" i="85" s="1"/>
  <c r="C58" i="85"/>
  <c r="C67" i="85" s="1"/>
  <c r="C68" i="85"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56" i="84" l="1"/>
  <c r="C65" i="84" s="1"/>
  <c r="C80" i="85"/>
  <c r="C79" i="85" s="1"/>
  <c r="C37" i="84"/>
  <c r="C75" i="84"/>
  <c r="Q48" i="84"/>
  <c r="J22" i="84"/>
  <c r="C27" i="12"/>
  <c r="C25" i="12" s="1"/>
  <c r="C32" i="12" s="1"/>
  <c r="B2" i="12" s="1"/>
  <c r="B3" i="12" s="1"/>
  <c r="C71" i="85"/>
  <c r="C40" i="85"/>
  <c r="Q69" i="85"/>
  <c r="Q68" i="85"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L51" i="85"/>
  <c r="F35" i="84"/>
  <c r="M21" i="84"/>
  <c r="F35" i="67"/>
  <c r="M21" i="67"/>
  <c r="F35" i="15"/>
  <c r="M21" i="15"/>
  <c r="Q67" i="85" l="1"/>
  <c r="Q65" i="85"/>
  <c r="Q75" i="85" s="1"/>
  <c r="C43" i="85"/>
  <c r="Q47" i="85"/>
  <c r="Q53" i="85" s="1"/>
  <c r="B2" i="85"/>
  <c r="B3" i="85" s="1"/>
  <c r="Q56" i="85"/>
  <c r="Q62" i="85" s="1"/>
  <c r="C83" i="85"/>
  <c r="C82" i="85" s="1"/>
  <c r="C46" i="85"/>
  <c r="J20" i="84"/>
  <c r="J17" i="84" s="1"/>
  <c r="J16" i="84" s="1"/>
  <c r="J25" i="84" s="1"/>
  <c r="F63" i="84"/>
  <c r="C62" i="84" s="1"/>
  <c r="C59" i="84" s="1"/>
  <c r="C58" i="84" s="1"/>
  <c r="C67" i="84" s="1"/>
  <c r="C68" i="84" s="1"/>
  <c r="C34" i="84"/>
  <c r="C31" i="84" s="1"/>
  <c r="C30" i="84" s="1"/>
  <c r="C39" i="84"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40" i="84"/>
  <c r="C46" i="84" s="1"/>
  <c r="Q69" i="84"/>
  <c r="Q68" i="84" s="1"/>
  <c r="C80" i="84"/>
  <c r="C79" i="84" s="1"/>
  <c r="C71" i="84"/>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L51" i="84"/>
  <c r="D2" i="21"/>
  <c r="C103" i="9" l="1"/>
  <c r="Q67" i="84"/>
  <c r="Q65" i="84"/>
  <c r="Q75" i="84" s="1"/>
  <c r="C43" i="84"/>
  <c r="Q47" i="84"/>
  <c r="Q53" i="84" s="1"/>
  <c r="B2" i="84"/>
  <c r="B3" i="84" s="1"/>
  <c r="Q56" i="84"/>
  <c r="Q62" i="84" s="1"/>
  <c r="C83" i="84"/>
  <c r="C82" i="84"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8" i="1"/>
  <c r="AO7"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G21" i="9" l="1"/>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H4" i="52" s="1"/>
  <c r="I118" i="9" l="1"/>
  <c r="G118" i="9"/>
  <c r="G4" i="52" s="1"/>
  <c r="B52" i="72" s="1"/>
  <c r="H119" i="9"/>
  <c r="H5" i="52" s="1"/>
  <c r="I4" i="52"/>
  <c r="D4" i="52"/>
  <c r="B47" i="72" s="1"/>
  <c r="H101" i="9"/>
  <c r="C105" i="9"/>
  <c r="C104" i="9"/>
  <c r="H102" i="9"/>
  <c r="F4" i="52"/>
  <c r="B51" i="72" s="1"/>
  <c r="E118" i="9" l="1"/>
  <c r="E4" i="52" s="1"/>
  <c r="B48" i="72" s="1"/>
  <c r="C5" i="74"/>
  <c r="D7" i="53"/>
  <c r="B21" i="72" s="1"/>
  <c r="D5" i="53"/>
  <c r="M48" i="9"/>
  <c r="H107" i="9"/>
  <c r="D45" i="9"/>
  <c r="B20" i="72" l="1"/>
  <c r="D6" i="53"/>
  <c r="B22" i="72" s="1"/>
  <c r="D53" i="9"/>
  <c r="C93" i="9"/>
  <c r="C86" i="9" s="1"/>
  <c r="C78" i="9"/>
  <c r="C73" i="9" s="1"/>
  <c r="D55" i="9"/>
  <c r="M53" i="9" s="1"/>
  <c r="C64" i="9"/>
  <c r="C63" i="9" s="1"/>
  <c r="C67" i="9" s="1"/>
  <c r="C85" i="9"/>
  <c r="C72" i="9"/>
  <c r="C79" i="9" s="1"/>
  <c r="D52" i="9"/>
  <c r="D13" i="53"/>
  <c r="D122" i="9"/>
  <c r="M49" i="9"/>
  <c r="H108" i="9"/>
  <c r="C95" i="9" l="1"/>
  <c r="D123" i="9"/>
  <c r="D9" i="52" s="1"/>
  <c r="D8" i="52"/>
  <c r="D15" i="53"/>
  <c r="B31" i="72" s="1"/>
  <c r="C6" i="74"/>
  <c r="C96" i="9"/>
  <c r="E96" i="9" s="1"/>
  <c r="E97" i="9" s="1"/>
  <c r="D14" i="53"/>
  <c r="B32" i="72" s="1"/>
  <c r="B30" i="72"/>
  <c r="C68" i="9"/>
  <c r="D54" i="9" s="1"/>
  <c r="D59" i="9"/>
  <c r="M55" i="9" s="1"/>
  <c r="L64" i="9"/>
  <c r="M64" i="9" s="1"/>
  <c r="L67" i="9"/>
  <c r="M67" i="9" s="1"/>
  <c r="L65" i="9"/>
  <c r="M65" i="9" s="1"/>
  <c r="L63" i="9"/>
  <c r="M63" i="9" s="1"/>
  <c r="L66" i="9"/>
  <c r="M66" i="9" s="1"/>
  <c r="L68" i="9"/>
  <c r="M68" i="9" s="1"/>
  <c r="C80" i="9"/>
  <c r="E80" i="9" s="1"/>
  <c r="E81" i="9" s="1"/>
  <c r="C97" i="9" l="1"/>
  <c r="D58" i="9" s="1"/>
  <c r="D56" i="9" s="1"/>
  <c r="M54" i="9" s="1"/>
  <c r="N57" i="9" s="1"/>
  <c r="N58" i="9" s="1"/>
  <c r="M69" i="9"/>
  <c r="N69" i="9" s="1"/>
  <c r="C81" i="9"/>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6A0CC20F-9567-4C07-BCD4-79AE2326216E}">
      <text>
        <r>
          <rPr>
            <b/>
            <sz val="9"/>
            <color indexed="81"/>
            <rFont val="宋体"/>
            <family val="3"/>
            <charset val="134"/>
          </rPr>
          <t>对应区片地价表</t>
        </r>
        <r>
          <rPr>
            <sz val="9"/>
            <color indexed="81"/>
            <rFont val="宋体"/>
            <family val="3"/>
            <charset val="134"/>
          </rPr>
          <t xml:space="preserve">
</t>
        </r>
      </text>
    </comment>
    <comment ref="Y9" authorId="1" shapeId="0" xr:uid="{45D4CAF0-7499-42F0-8EE6-F235EEC8C8B1}">
      <text>
        <r>
          <rPr>
            <sz val="11"/>
            <color indexed="81"/>
            <rFont val="宋体"/>
            <family val="3"/>
            <charset val="134"/>
          </rPr>
          <t xml:space="preserve">录入层数，将对应的结果录入至左侧相应层的楼层修正系数单元格中
</t>
        </r>
      </text>
    </comment>
    <comment ref="C16" authorId="1" shapeId="0" xr:uid="{60097A17-7459-451D-973C-CF94FFD2368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1D88DC79-ACFB-42B9-BAC8-7F68AC855FBB}">
      <text>
        <r>
          <rPr>
            <sz val="12"/>
            <color indexed="81"/>
            <rFont val="宋体"/>
            <family val="3"/>
            <charset val="134"/>
          </rPr>
          <t>1.05~1.1</t>
        </r>
        <r>
          <rPr>
            <sz val="9"/>
            <color indexed="81"/>
            <rFont val="宋体"/>
            <family val="3"/>
            <charset val="134"/>
          </rPr>
          <t xml:space="preserve">
</t>
        </r>
      </text>
    </comment>
    <comment ref="E16" authorId="1" shapeId="0" xr:uid="{78F28248-78B5-4F32-8481-4A1489C62BD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838C50EE-8130-4EDA-A21D-36A417E27E0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4EDB8E4C-5C4C-4C4F-A60D-A14BFCB0E6F5}">
      <text>
        <r>
          <rPr>
            <b/>
            <sz val="14"/>
            <color indexed="81"/>
            <rFont val="宋体"/>
            <family val="3"/>
            <charset val="134"/>
          </rPr>
          <t>工业选“中心城区”</t>
        </r>
        <r>
          <rPr>
            <sz val="9"/>
            <color indexed="81"/>
            <rFont val="宋体"/>
            <family val="3"/>
            <charset val="134"/>
          </rPr>
          <t xml:space="preserve">
</t>
        </r>
      </text>
    </comment>
    <comment ref="B35" authorId="4" shapeId="0" xr:uid="{0DDC8EAB-C7F5-4303-BB41-0AB6B0933104}">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1C2353B1-8813-4421-A2A5-339EF031C860}">
      <text>
        <r>
          <rPr>
            <sz val="9"/>
            <color indexed="81"/>
            <rFont val="宋体"/>
            <family val="3"/>
            <charset val="134"/>
          </rPr>
          <t xml:space="preserve">需在此处填写剩余土地年限
</t>
        </r>
      </text>
    </comment>
    <comment ref="C111" authorId="0" shapeId="0" xr:uid="{677F2C10-8A55-4F93-93E7-035F00A6C45C}">
      <text>
        <r>
          <rPr>
            <b/>
            <sz val="9"/>
            <color indexed="81"/>
            <rFont val="宋体"/>
            <family val="3"/>
            <charset val="134"/>
          </rPr>
          <t xml:space="preserve">所在楼层
</t>
        </r>
        <r>
          <rPr>
            <sz val="9"/>
            <color indexed="81"/>
            <rFont val="宋体"/>
            <family val="3"/>
            <charset val="134"/>
          </rPr>
          <t xml:space="preserve">
</t>
        </r>
      </text>
    </comment>
    <comment ref="D111" authorId="0" shapeId="0" xr:uid="{333BA9DA-FF35-48AE-A7FB-FC0CDCD7D26D}">
      <text>
        <r>
          <rPr>
            <b/>
            <sz val="9"/>
            <color indexed="81"/>
            <rFont val="宋体"/>
            <family val="3"/>
            <charset val="134"/>
          </rPr>
          <t xml:space="preserve">所在楼层
</t>
        </r>
        <r>
          <rPr>
            <sz val="9"/>
            <color indexed="81"/>
            <rFont val="宋体"/>
            <family val="3"/>
            <charset val="134"/>
          </rPr>
          <t xml:space="preserve">
</t>
        </r>
      </text>
    </comment>
    <comment ref="E111" authorId="0" shapeId="0" xr:uid="{A239BFFB-8255-4C6D-8162-1CA98F314152}">
      <text>
        <r>
          <rPr>
            <b/>
            <sz val="9"/>
            <color indexed="81"/>
            <rFont val="宋体"/>
            <family val="3"/>
            <charset val="134"/>
          </rPr>
          <t xml:space="preserve">所在楼层
</t>
        </r>
        <r>
          <rPr>
            <sz val="9"/>
            <color indexed="81"/>
            <rFont val="宋体"/>
            <family val="3"/>
            <charset val="134"/>
          </rPr>
          <t xml:space="preserve">
</t>
        </r>
      </text>
    </comment>
    <comment ref="F111" authorId="0" shapeId="0" xr:uid="{133FF032-69CC-426C-9F1B-C87EE9A459C2}">
      <text>
        <r>
          <rPr>
            <b/>
            <sz val="9"/>
            <color indexed="81"/>
            <rFont val="宋体"/>
            <family val="3"/>
            <charset val="134"/>
          </rPr>
          <t xml:space="preserve">所在楼层
</t>
        </r>
        <r>
          <rPr>
            <sz val="9"/>
            <color indexed="81"/>
            <rFont val="宋体"/>
            <family val="3"/>
            <charset val="134"/>
          </rPr>
          <t xml:space="preserve">
</t>
        </r>
      </text>
    </comment>
    <comment ref="G111" authorId="0" shapeId="0" xr:uid="{9FE79793-33E5-460C-A524-DEBC9F97DBF1}">
      <text>
        <r>
          <rPr>
            <b/>
            <sz val="9"/>
            <color indexed="81"/>
            <rFont val="宋体"/>
            <family val="3"/>
            <charset val="134"/>
          </rPr>
          <t xml:space="preserve">所在楼层
</t>
        </r>
        <r>
          <rPr>
            <sz val="9"/>
            <color indexed="81"/>
            <rFont val="宋体"/>
            <family val="3"/>
            <charset val="134"/>
          </rPr>
          <t xml:space="preserve">
</t>
        </r>
      </text>
    </comment>
    <comment ref="H111" authorId="0" shapeId="0" xr:uid="{DDE3615C-04BD-4B4C-B8C5-F6F2644445C1}">
      <text>
        <r>
          <rPr>
            <b/>
            <sz val="9"/>
            <color indexed="81"/>
            <rFont val="宋体"/>
            <family val="3"/>
            <charset val="134"/>
          </rPr>
          <t xml:space="preserve">所在楼层
</t>
        </r>
        <r>
          <rPr>
            <sz val="9"/>
            <color indexed="81"/>
            <rFont val="宋体"/>
            <family val="3"/>
            <charset val="134"/>
          </rPr>
          <t xml:space="preserve">
</t>
        </r>
      </text>
    </comment>
    <comment ref="I111" authorId="0" shapeId="0" xr:uid="{B8D9EA5E-9624-4DE6-A90F-09FCE6CDB2B0}">
      <text>
        <r>
          <rPr>
            <b/>
            <sz val="9"/>
            <color indexed="81"/>
            <rFont val="宋体"/>
            <family val="3"/>
            <charset val="134"/>
          </rPr>
          <t xml:space="preserve">所在楼层
</t>
        </r>
        <r>
          <rPr>
            <sz val="9"/>
            <color indexed="81"/>
            <rFont val="宋体"/>
            <family val="3"/>
            <charset val="134"/>
          </rPr>
          <t xml:space="preserve">
</t>
        </r>
      </text>
    </comment>
    <comment ref="J111" authorId="0" shapeId="0" xr:uid="{1050D192-9FCC-40CF-B8AC-854E272CA125}">
      <text>
        <r>
          <rPr>
            <b/>
            <sz val="9"/>
            <color indexed="81"/>
            <rFont val="宋体"/>
            <family val="3"/>
            <charset val="134"/>
          </rPr>
          <t xml:space="preserve">所在楼层
</t>
        </r>
        <r>
          <rPr>
            <sz val="9"/>
            <color indexed="81"/>
            <rFont val="宋体"/>
            <family val="3"/>
            <charset val="134"/>
          </rPr>
          <t xml:space="preserve">
</t>
        </r>
      </text>
    </comment>
    <comment ref="K111" authorId="0" shapeId="0" xr:uid="{CFF16C04-8D8B-4989-A16F-F5989122E706}">
      <text>
        <r>
          <rPr>
            <b/>
            <sz val="9"/>
            <color indexed="81"/>
            <rFont val="宋体"/>
            <family val="3"/>
            <charset val="134"/>
          </rPr>
          <t xml:space="preserve">所在楼层
</t>
        </r>
        <r>
          <rPr>
            <sz val="9"/>
            <color indexed="81"/>
            <rFont val="宋体"/>
            <family val="3"/>
            <charset val="134"/>
          </rPr>
          <t xml:space="preserve">
</t>
        </r>
      </text>
    </comment>
    <comment ref="L111" authorId="0" shapeId="0" xr:uid="{FD92C0C8-2830-44AA-BA67-DD376EEE74E1}">
      <text>
        <r>
          <rPr>
            <b/>
            <sz val="9"/>
            <color indexed="81"/>
            <rFont val="宋体"/>
            <family val="3"/>
            <charset val="134"/>
          </rPr>
          <t xml:space="preserve">所在楼层
</t>
        </r>
        <r>
          <rPr>
            <sz val="9"/>
            <color indexed="81"/>
            <rFont val="宋体"/>
            <family val="3"/>
            <charset val="134"/>
          </rPr>
          <t xml:space="preserve">
</t>
        </r>
      </text>
    </comment>
    <comment ref="M111" authorId="0" shapeId="0" xr:uid="{829A8D5D-056A-4465-B64E-A62C4D79A23C}">
      <text>
        <r>
          <rPr>
            <b/>
            <sz val="9"/>
            <color indexed="81"/>
            <rFont val="宋体"/>
            <family val="3"/>
            <charset val="134"/>
          </rPr>
          <t xml:space="preserve">所在楼层
</t>
        </r>
        <r>
          <rPr>
            <sz val="9"/>
            <color indexed="81"/>
            <rFont val="宋体"/>
            <family val="3"/>
            <charset val="134"/>
          </rPr>
          <t xml:space="preserve">
</t>
        </r>
      </text>
    </comment>
    <comment ref="N111" authorId="0" shapeId="0" xr:uid="{56167793-9CBD-465D-BBF2-033A0A547FF8}">
      <text>
        <r>
          <rPr>
            <b/>
            <sz val="9"/>
            <color indexed="81"/>
            <rFont val="宋体"/>
            <family val="3"/>
            <charset val="134"/>
          </rPr>
          <t xml:space="preserve">所在楼层
</t>
        </r>
        <r>
          <rPr>
            <sz val="9"/>
            <color indexed="81"/>
            <rFont val="宋体"/>
            <family val="3"/>
            <charset val="134"/>
          </rPr>
          <t xml:space="preserve">
</t>
        </r>
      </text>
    </comment>
    <comment ref="D116" authorId="0" shapeId="0" xr:uid="{EDC4E588-CA03-45E7-ABFC-DC2BD957DD2A}">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686F5E0-00B6-4004-9762-6F7E5414182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C51C7DA-15ED-4D0F-AE37-D69436B656A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E2F0369-F019-476A-9CDE-23865DF733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D470677-9BA3-4DFD-BBE1-6438E78D47D6}">
      <text>
        <r>
          <rPr>
            <sz val="11"/>
            <color indexed="81"/>
            <rFont val="宋体"/>
            <family val="3"/>
            <charset val="134"/>
          </rPr>
          <t>在建项目均选择“是”</t>
        </r>
      </text>
    </comment>
    <comment ref="F59" authorId="1" shapeId="0" xr:uid="{6C023083-9A73-4C6D-84B9-6C5001ABFA2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57E2B98-565A-4A51-BF3E-9B3DFF31CB15}">
      <text>
        <r>
          <rPr>
            <sz val="10"/>
            <color indexed="81"/>
            <rFont val="宋体"/>
            <family val="3"/>
            <charset val="134"/>
          </rPr>
          <t xml:space="preserve">在建
</t>
        </r>
      </text>
    </comment>
    <comment ref="N59" authorId="0" shapeId="0" xr:uid="{4330A42B-3D3B-4199-9824-10878F8ED196}">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040A81-49D5-48F8-B1D2-B5EEAD089C8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81125C7-26FB-4C0D-9D39-6ABD9A7122A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96B2439-2566-4507-87DD-B2EE038A36E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7F25F96-AA01-4297-948D-D30931DD67DD}">
      <text>
        <r>
          <rPr>
            <sz val="11"/>
            <color indexed="81"/>
            <rFont val="宋体"/>
            <family val="3"/>
            <charset val="134"/>
          </rPr>
          <t>在建项目均选择“是”</t>
        </r>
      </text>
    </comment>
    <comment ref="F59" authorId="1" shapeId="0" xr:uid="{21A44B01-B0A3-408A-BDB2-7F88126D4AB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62BBAAE-CA13-4633-A768-261C7E9C3F4F}">
      <text>
        <r>
          <rPr>
            <sz val="10"/>
            <color indexed="81"/>
            <rFont val="宋体"/>
            <family val="3"/>
            <charset val="134"/>
          </rPr>
          <t xml:space="preserve">在建
</t>
        </r>
      </text>
    </comment>
    <comment ref="N59" authorId="0" shapeId="0" xr:uid="{57D86969-01FD-48F4-A19C-EF63B4AC1214}">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<sst xmlns="http://schemas.openxmlformats.org/spreadsheetml/2006/main" count="9112" uniqueCount="3488">
  <si>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</si>
  <si>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</si>
  <si>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</si>
  <si>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</si>
  <si>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</si>
  <si>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</si>
  <si>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</si>
  <si>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</si>
  <si>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</si>
  <si>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</si>
  <si>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</si>
  <si>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</si>
  <si>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</si>
  <si>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</si>
  <si>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</si>
  <si>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</si>
  <si>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</si>
  <si>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</si>
  <si>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</si>
  <si>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</si>
  <si>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</si>
  <si>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</si>
  <si>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</si>
  <si>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</si>
  <si>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</si>
  <si>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</si>
  <si>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</si>
  <si>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</si>
  <si>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</si>
  <si>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</si>
  <si>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</si>
  <si>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</si>
  <si>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</si>
  <si>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</si>
  <si>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</si>
  <si>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</si>
  <si>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</si>
  <si>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</si>
  <si>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</si>
  <si>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</si>
  <si>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</si>
  <si>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</si>
  <si>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</si>
  <si>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</si>
  <si>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</si>
  <si>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</si>
  <si>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</si>
  <si>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</si>
  <si>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</si>
  <si>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</si>
  <si>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</si>
  <si>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</si>
  <si>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</si>
  <si>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</si>
  <si>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</si>
  <si>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</si>
  <si>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</si>
  <si>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</si>
  <si>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</si>
  <si>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</si>
  <si>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</si>
  <si>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</si>
  <si>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</si>
  <si>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</si>
  <si>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</si>
  <si>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</si>
  <si>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</si>
  <si>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</si>
  <si>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</si>
  <si>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</si>
  <si>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</si>
  <si>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</si>
  <si>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</si>
  <si>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</si>
  <si>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</si>
  <si>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</si>
  <si>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</si>
  <si>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</si>
  <si>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</si>
  <si>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</si>
  <si>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</si>
  <si>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</si>
  <si>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</si>
  <si>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</si>
  <si>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</si>
  <si>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</si>
  <si>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</si>
  <si>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</si>
  <si>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</si>
  <si>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</si>
  <si>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</si>
  <si>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</si>
  <si>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</si>
  <si>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</si>
  <si>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</si>
  <si>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</si>
  <si>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</si>
  <si>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</si>
  <si>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</si>
  <si>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</si>
  <si>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</si>
  <si>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</si>
  <si>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</si>
  <si>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</si>
  <si>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</si>
  <si>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</si>
  <si>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</si>
  <si>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</si>
  <si>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</si>
  <si>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</si>
  <si>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</si>
  <si>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</si>
  <si>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</si>
  <si>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</si>
  <si>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</si>
  <si>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</si>
  <si>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</si>
  <si>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</si>
  <si>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</si>
  <si>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</si>
  <si>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</si>
  <si>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</si>
  <si>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</si>
  <si>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</si>
  <si>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</si>
  <si>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</si>
  <si>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</si>
  <si>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</si>
  <si>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</si>
  <si>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</si>
  <si>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</si>
  <si>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</si>
  <si>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</si>
  <si>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</si>
  <si>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</si>
  <si>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</si>
  <si>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</si>
  <si>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</si>
  <si>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</si>
  <si>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</si>
  <si>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</si>
  <si>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</si>
  <si>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</si>
  <si>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</si>
  <si>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</si>
  <si>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</si>
  <si>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</si>
  <si>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</si>
  <si>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</si>
  <si>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</si>
  <si>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</si>
  <si>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</si>
  <si>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</si>
  <si>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</si>
  <si>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</si>
  <si>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</si>
  <si>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</si>
  <si>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</si>
  <si>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</si>
  <si>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</si>
  <si>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</si>
  <si>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</si>
  <si>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</si>
  <si>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</si>
  <si>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</si>
  <si>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</si>
  <si>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</si>
  <si>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</si>
  <si>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</si>
  <si>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</si>
  <si>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</si>
  <si>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</si>
  <si>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</si>
  <si>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</si>
  <si>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</si>
  <si>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</si>
  <si>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</si>
  <si>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</si>
  <si>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</si>
  <si>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</si>
  <si>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</si>
  <si>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</si>
  <si>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</si>
  <si>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</si>
  <si>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</si>
  <si>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</si>
  <si>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</si>
  <si>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</si>
  <si>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</si>
  <si>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</si>
  <si>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</si>
  <si>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</si>
  <si>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</si>
  <si>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</si>
  <si>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</si>
  <si>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</si>
  <si>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</si>
  <si>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</si>
  <si>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</si>
  <si>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</si>
  <si>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</si>
  <si>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</si>
  <si>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</si>
  <si>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</si>
  <si>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</si>
  <si>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</si>
  <si>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</si>
  <si>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</si>
  <si>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</si>
  <si>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</si>
  <si>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</si>
  <si>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</si>
  <si>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</si>
  <si>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</si>
  <si>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</si>
  <si>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</si>
  <si>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</si>
  <si>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</si>
  <si>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</si>
  <si>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</si>
  <si>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</si>
  <si>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</si>
  <si>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</si>
  <si>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</si>
  <si>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</si>
  <si>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</si>
  <si>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</si>
  <si>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</si>
  <si>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</si>
  <si>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</si>
  <si>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</si>
  <si>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</si>
  <si>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</si>
  <si>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</si>
  <si>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</si>
  <si>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</si>
  <si>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</si>
  <si>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</si>
  <si>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</si>
  <si>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</si>
  <si>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</si>
  <si>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</si>
  <si>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</si>
  <si>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</si>
  <si>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</si>
  <si>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</si>
  <si>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</si>
  <si>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</si>
  <si>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</si>
  <si>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</si>
  <si>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</si>
  <si>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</si>
  <si>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</si>
  <si>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</si>
  <si>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</si>
  <si>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</si>
  <si>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</si>
  <si>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</si>
  <si>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</si>
  <si>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</si>
  <si>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</si>
  <si>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</si>
  <si>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</si>
  <si>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</si>
  <si>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</si>
  <si>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</si>
  <si>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</si>
  <si>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</si>
  <si>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</si>
  <si>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</si>
  <si>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</si>
  <si>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</si>
  <si>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</si>
  <si>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</si>
  <si>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</si>
  <si>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</si>
  <si>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</si>
  <si>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</si>
  <si>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</si>
  <si>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</si>
  <si>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</si>
  <si>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</si>
  <si>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</si>
  <si>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</si>
  <si>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</si>
  <si>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</si>
  <si>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</si>
  <si>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</si>
  <si>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</si>
  <si>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</si>
  <si>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</si>
  <si>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</si>
  <si>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</si>
  <si>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</si>
  <si>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</si>
  <si>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</si>
  <si>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</si>
  <si>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</si>
  <si>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</si>
  <si>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</si>
  <si>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</si>
  <si>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</si>
  <si>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</si>
  <si>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</si>
  <si>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</si>
  <si>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</si>
  <si>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</si>
  <si>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</si>
  <si>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</si>
  <si>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</si>
  <si>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</si>
  <si>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</si>
  <si>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</si>
  <si>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</si>
  <si>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</si>
  <si>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</si>
  <si>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</si>
  <si>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</si>
  <si>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</si>
  <si>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</si>
  <si>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</si>
  <si>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</si>
  <si>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</si>
  <si>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</si>
  <si>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</si>
  <si>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</si>
  <si>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</si>
  <si>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</si>
  <si>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</si>
  <si>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</si>
  <si>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</si>
  <si>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</si>
  <si>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</si>
  <si>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</si>
  <si>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</si>
  <si>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</si>
  <si>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</si>
  <si>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</si>
  <si>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</si>
  <si>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</si>
  <si>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</si>
  <si>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</si>
  <si>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</si>
  <si>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</si>
  <si>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</si>
  <si>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</si>
  <si>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</si>
  <si>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</si>
  <si>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</si>
  <si>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</si>
  <si>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</si>
  <si>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</si>
  <si>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</si>
  <si>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</si>
  <si>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</si>
  <si>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</si>
  <si>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</si>
  <si>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</si>
  <si>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</si>
  <si>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</si>
  <si>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</si>
  <si>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</si>
  <si>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</si>
  <si>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</si>
  <si>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</si>
  <si>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</si>
  <si>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</si>
  <si>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</si>
  <si>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</si>
  <si>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</si>
  <si>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</si>
  <si>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</si>
  <si>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</si>
  <si>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</si>
  <si>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</si>
  <si>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</si>
  <si>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</si>
  <si>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</si>
  <si>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</si>
  <si>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</si>
  <si>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</si>
  <si>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</si>
  <si>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</si>
  <si>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</si>
  <si>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</si>
  <si>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</si>
  <si>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</si>
  <si>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</si>
  <si>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</si>
  <si>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</si>
  <si>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</si>
  <si>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</si>
  <si>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</si>
  <si>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</si>
  <si>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</si>
  <si>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</si>
  <si>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</si>
  <si>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</si>
  <si>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</si>
  <si>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</si>
  <si>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</si>
  <si>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</si>
  <si>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</si>
  <si>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</si>
  <si>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</si>
  <si>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</si>
  <si>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</si>
  <si>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</si>
  <si>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</si>
  <si>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</si>
  <si>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</si>
  <si>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</si>
  <si>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</si>
  <si>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</si>
  <si>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</si>
  <si>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</si>
  <si>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</si>
  <si>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</si>
  <si>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</si>
  <si>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</si>
  <si>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</si>
  <si>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</si>
  <si>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</si>
  <si>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</si>
  <si>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</si>
  <si>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</si>
  <si>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</si>
  <si>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</si>
  <si>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</si>
  <si>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</si>
  <si>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</si>
  <si>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</si>
  <si>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</si>
  <si>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</si>
  <si>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</si>
  <si>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</si>
  <si>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</si>
  <si>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</si>
  <si>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</si>
  <si>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</si>
  <si>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</si>
  <si>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</si>
  <si>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</si>
  <si>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</si>
  <si>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</si>
  <si>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</si>
  <si>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</si>
  <si>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</si>
  <si>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</si>
  <si>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</si>
  <si>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</si>
  <si>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</si>
  <si>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</si>
  <si>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</si>
  <si>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</si>
  <si>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</si>
  <si>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</si>
  <si>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</si>
  <si>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</si>
  <si>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</si>
  <si>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</si>
  <si>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</si>
  <si>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</si>
  <si>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</si>
  <si>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</si>
  <si>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</si>
  <si>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</si>
  <si>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</si>
  <si>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</si>
  <si>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</si>
  <si>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</si>
  <si>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</si>
  <si>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</si>
  <si>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</si>
  <si>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</si>
  <si>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</si>
  <si>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</si>
  <si>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</si>
  <si>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</si>
  <si>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</si>
  <si>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</si>
  <si>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</si>
  <si>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</si>
  <si>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</si>
  <si>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</si>
  <si>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</si>
  <si>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</si>
  <si>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</si>
  <si>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</si>
  <si>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</si>
  <si>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</si>
  <si>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</si>
  <si>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</si>
  <si>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</si>
  <si>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</si>
  <si>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</si>
  <si>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</si>
  <si>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</si>
  <si>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</si>
  <si>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</si>
  <si>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</si>
  <si>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</si>
  <si>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</si>
  <si>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</si>
  <si>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</si>
  <si>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</si>
  <si>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</si>
  <si>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</si>
  <si>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</si>
  <si>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</si>
  <si>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</si>
  <si>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</si>
  <si>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</si>
  <si>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</si>
  <si>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</si>
  <si>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</si>
  <si>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</si>
  <si>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</si>
  <si>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</si>
  <si>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</si>
  <si>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</si>
  <si>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</si>
  <si>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</si>
  <si>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</si>
  <si>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</si>
  <si>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</si>
  <si>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</si>
  <si>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</si>
  <si>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</si>
  <si>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</si>
  <si>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</si>
  <si>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</si>
  <si>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</si>
  <si>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</si>
  <si>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</si>
  <si>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</si>
  <si>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</si>
  <si>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</si>
  <si>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</si>
  <si>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</si>
  <si>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</si>
  <si>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</si>
  <si>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</si>
  <si>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</si>
  <si>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</si>
  <si>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</si>
  <si>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</si>
  <si>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</si>
  <si>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</si>
  <si>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</si>
  <si>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</si>
  <si>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</si>
  <si>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</si>
  <si>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</si>
  <si>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</si>
  <si>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</si>
  <si>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</si>
  <si>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</si>
  <si>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</si>
  <si>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</si>
  <si>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</si>
  <si>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</si>
  <si>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</si>
  <si>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</si>
  <si>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</si>
  <si>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</si>
  <si>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</si>
  <si>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</si>
  <si>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</si>
  <si>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</si>
  <si>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</si>
  <si>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</si>
  <si>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</si>
  <si>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</si>
  <si>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</si>
  <si>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</si>
  <si>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</si>
  <si>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</si>
  <si>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</si>
  <si>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</si>
  <si>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</si>
  <si>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</si>
  <si>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</si>
  <si>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</si>
  <si>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</si>
  <si>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</si>
  <si>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</si>
  <si>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</si>
  <si>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</si>
  <si>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</si>
  <si>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</si>
  <si>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</si>
  <si>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</si>
  <si>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</si>
  <si>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</si>
  <si>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</si>
  <si>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</si>
  <si>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</si>
  <si>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</si>
  <si>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</si>
  <si>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</si>
  <si>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</si>
  <si>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</si>
  <si>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</si>
  <si>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</si>
  <si>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</si>
  <si>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</si>
  <si>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</si>
  <si>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</si>
  <si>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</si>
  <si>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</si>
  <si>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</si>
  <si>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</si>
  <si>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</si>
  <si>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</si>
  <si>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</si>
  <si>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</si>
  <si>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</si>
  <si>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</si>
  <si>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</si>
  <si>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</si>
  <si>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</si>
  <si>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</si>
  <si>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</si>
  <si>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</si>
  <si>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</si>
  <si>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</si>
  <si>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</si>
  <si>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</si>
  <si>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</si>
  <si>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</si>
  <si>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</si>
  <si>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</si>
  <si>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</si>
  <si>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</si>
  <si>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</si>
  <si>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</si>
  <si>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</si>
  <si>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</si>
  <si>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</si>
  <si>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</si>
  <si>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</si>
  <si>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</si>
  <si>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</si>
  <si>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</si>
  <si>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</si>
  <si>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</si>
  <si>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</si>
  <si>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</si>
  <si>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</si>
  <si>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</si>
  <si>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</si>
  <si>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</si>
  <si>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</si>
  <si>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</si>
  <si>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</si>
  <si>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</si>
  <si>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</si>
  <si>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</si>
  <si>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</si>
  <si>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</si>
  <si>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</si>
  <si>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</si>
  <si>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</si>
  <si>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</si>
  <si>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</si>
  <si>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</si>
  <si>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</si>
  <si>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</si>
  <si>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</si>
  <si>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</si>
  <si>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</si>
  <si>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</si>
  <si>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</si>
  <si>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</si>
  <si>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</si>
  <si>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</si>
  <si>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</si>
  <si>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</si>
  <si>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</si>
  <si>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</si>
  <si>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</si>
  <si>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</si>
  <si>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</si>
  <si>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</si>
  <si>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</si>
  <si>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</si>
  <si>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</si>
  <si>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</si>
  <si>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</si>
  <si>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</si>
  <si>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</si>
  <si>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</si>
  <si>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</si>
  <si>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</si>
  <si>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</si>
  <si>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</si>
  <si>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</si>
  <si>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</si>
  <si>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</si>
  <si>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</si>
  <si>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</si>
  <si>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</si>
  <si>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</si>
  <si>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</si>
  <si>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</si>
  <si>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</si>
  <si>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</si>
  <si>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</si>
  <si>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</si>
  <si>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</si>
  <si>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</si>
  <si>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</si>
  <si>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</si>
  <si>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</si>
  <si>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</si>
  <si>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</si>
  <si>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</si>
  <si>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</si>
  <si>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</si>
  <si>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</si>
  <si>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</si>
  <si>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</si>
  <si>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</si>
  <si>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</si>
  <si>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</si>
  <si>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</si>
  <si>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</si>
  <si>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</si>
  <si>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</si>
  <si>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</si>
  <si>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</si>
  <si>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</si>
  <si>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</si>
  <si>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</si>
  <si>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</si>
  <si>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</si>
  <si>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</si>
  <si>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</si>
  <si>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</si>
  <si>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</si>
  <si>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</si>
  <si>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</si>
  <si>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</si>
  <si>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</si>
  <si>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</si>
  <si>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</si>
  <si>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</si>
  <si>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</si>
  <si>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</si>
  <si>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</si>
  <si>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</si>
  <si>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</si>
  <si>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</si>
  <si>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</si>
  <si>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</si>
  <si>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</si>
  <si>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</si>
  <si>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</si>
  <si>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</si>
  <si>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</si>
  <si>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</si>
  <si>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</si>
  <si>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</si>
  <si>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</si>
  <si>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</si>
  <si>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</si>
  <si>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</si>
  <si>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</si>
  <si>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</si>
  <si>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</si>
  <si>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</si>
  <si>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</si>
  <si>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</si>
  <si>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</si>
  <si>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</si>
  <si>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</si>
  <si>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</si>
  <si>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</si>
  <si>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</si>
  <si>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</si>
  <si>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</si>
  <si>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</si>
  <si>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</si>
  <si>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</si>
  <si>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</si>
  <si>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</si>
  <si>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</si>
  <si>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</si>
  <si>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</si>
  <si>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</si>
  <si>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</si>
  <si>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</si>
  <si>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</si>
  <si>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</si>
  <si>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</si>
  <si>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</si>
  <si>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</si>
  <si>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</si>
  <si>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</si>
  <si>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</si>
  <si>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</si>
  <si>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</si>
  <si>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</si>
  <si>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</si>
  <si>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</si>
  <si>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</si>
  <si>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</si>
  <si>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</si>
  <si>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</si>
  <si>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</si>
  <si>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</si>
  <si>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</si>
  <si>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</si>
  <si>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</si>
  <si>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</si>
  <si>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</si>
  <si>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</si>
  <si>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</si>
  <si>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</si>
  <si>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</si>
  <si>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</si>
  <si>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</si>
  <si>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</si>
  <si>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</si>
  <si>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</si>
  <si>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</si>
  <si>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</si>
  <si>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</si>
  <si>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</si>
  <si>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</si>
  <si>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</si>
  <si>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</si>
  <si>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</si>
  <si>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</si>
  <si>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</si>
  <si>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</si>
  <si>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</si>
  <si>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</si>
  <si>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</si>
  <si>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</si>
  <si>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</si>
  <si>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</si>
  <si>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</si>
  <si>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</si>
  <si>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</si>
  <si>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</si>
  <si>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</si>
  <si>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</si>
  <si>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</si>
  <si>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</si>
  <si>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</si>
  <si>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</si>
  <si>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</si>
  <si>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</si>
  <si>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</si>
  <si>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</si>
  <si>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</si>
  <si>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</si>
  <si>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</si>
  <si>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</si>
  <si>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</si>
  <si>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</si>
  <si>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</si>
  <si>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</si>
  <si>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</si>
  <si>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</si>
  <si>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</si>
  <si>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</si>
  <si>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</si>
  <si>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</si>
  <si>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</si>
  <si>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</si>
  <si>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</si>
  <si>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</si>
  <si>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</si>
  <si>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</si>
  <si>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</si>
  <si>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</si>
  <si>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</si>
  <si>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</si>
  <si>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</si>
  <si>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</si>
  <si>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</si>
  <si>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</si>
  <si>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</si>
  <si>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</si>
  <si>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</si>
  <si>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</si>
  <si>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</si>
  <si>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</si>
  <si>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</si>
  <si>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</si>
  <si>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</si>
  <si>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</si>
  <si>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</si>
  <si>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</si>
  <si>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</si>
  <si>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</si>
  <si>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</si>
  <si>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</si>
  <si>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</si>
  <si>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</si>
  <si>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</si>
  <si>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</si>
  <si>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</si>
  <si>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</si>
  <si>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</si>
  <si>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</si>
  <si>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</si>
  <si>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</si>
  <si>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</si>
  <si>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</si>
  <si>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</si>
  <si>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</si>
  <si>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</si>
  <si>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</si>
  <si>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</si>
  <si>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</si>
  <si>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</si>
  <si>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</si>
  <si>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</si>
  <si>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</si>
  <si>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</si>
  <si>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</si>
  <si>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</si>
  <si>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</si>
  <si>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</si>
  <si>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</si>
  <si>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</si>
  <si>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</si>
  <si>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</si>
  <si>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</si>
  <si>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</si>
  <si>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</si>
  <si>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</si>
  <si>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</si>
  <si>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</si>
  <si>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</si>
  <si>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</si>
  <si>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</si>
  <si>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</si>
  <si>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</si>
  <si>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</si>
  <si>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</si>
  <si>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</si>
  <si>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</si>
  <si>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</si>
  <si>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</si>
  <si>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</si>
  <si>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</si>
  <si>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</si>
  <si>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</si>
  <si>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</si>
  <si>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</si>
  <si>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</si>
  <si>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</si>
  <si>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</si>
  <si>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</si>
  <si>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</si>
  <si>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</si>
  <si>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</si>
  <si>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</si>
  <si>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</si>
  <si>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</si>
  <si>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</si>
  <si>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</si>
  <si>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</si>
  <si>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</si>
  <si>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</si>
  <si>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</si>
  <si>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</si>
  <si>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</si>
  <si>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</si>
  <si>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</si>
  <si>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</si>
  <si>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</si>
  <si>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</si>
  <si>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</si>
  <si>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</si>
  <si>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</si>
  <si>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</si>
  <si>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</si>
  <si>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</si>
  <si>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</si>
  <si>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</si>
  <si>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</si>
  <si>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</si>
  <si>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</si>
  <si>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</si>
  <si>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</si>
  <si>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</si>
  <si>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</si>
  <si>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</si>
  <si>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</si>
  <si>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</si>
  <si>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</si>
  <si>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</si>
  <si>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</si>
  <si>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</si>
  <si>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</si>
  <si>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</si>
  <si>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</si>
  <si>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</si>
  <si>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</si>
  <si>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</si>
  <si>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</si>
  <si>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</si>
  <si>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</si>
  <si>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</si>
  <si>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</si>
  <si>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</si>
  <si>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</si>
  <si>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</si>
  <si>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</si>
  <si>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</si>
  <si>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</si>
  <si>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</si>
  <si>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</si>
  <si>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</si>
  <si>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</si>
  <si>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</si>
  <si>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</si>
  <si>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</si>
  <si>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</si>
  <si>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</si>
  <si>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</si>
  <si>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</si>
  <si>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</si>
  <si>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</si>
  <si>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</si>
  <si>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</si>
  <si>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</si>
  <si>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</si>
  <si>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</si>
  <si>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</si>
  <si>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</si>
  <si>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</si>
  <si>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</si>
  <si>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</si>
  <si>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</si>
  <si>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</si>
  <si>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</si>
  <si>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</si>
  <si>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</si>
  <si>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</si>
  <si>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</si>
  <si>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</si>
  <si>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</si>
  <si>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</si>
  <si>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</si>
  <si>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</si>
  <si>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</si>
  <si>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</si>
  <si>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</si>
  <si>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</si>
  <si>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</si>
  <si>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</si>
  <si>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</si>
  <si>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</si>
  <si>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</si>
  <si>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</si>
  <si>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</si>
  <si>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</si>
  <si>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</si>
  <si>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</si>
  <si>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</si>
  <si>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</si>
  <si>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</si>
  <si>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</si>
  <si>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</si>
  <si>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</si>
  <si>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</si>
  <si>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</si>
  <si>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</si>
  <si>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</si>
  <si>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</si>
  <si>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</si>
  <si>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</si>
  <si>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</si>
  <si>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</si>
  <si>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</si>
  <si>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</si>
  <si>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</si>
  <si>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</si>
  <si>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</si>
  <si>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</si>
  <si>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</si>
  <si>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</si>
  <si>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</si>
  <si>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</si>
  <si>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</si>
  <si>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</si>
  <si>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</si>
  <si>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</si>
  <si>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</si>
  <si>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</si>
  <si>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</si>
  <si>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</si>
  <si>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</si>
  <si>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</si>
  <si>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</si>
  <si>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</si>
  <si>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</si>
  <si>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</si>
  <si>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</si>
  <si>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</si>
  <si>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</si>
  <si>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</si>
  <si>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</si>
  <si>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</si>
  <si>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</si>
  <si>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</si>
  <si>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</si>
  <si>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</si>
  <si>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</si>
  <si>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</si>
  <si>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</si>
  <si>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</si>
  <si>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</si>
  <si>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</si>
  <si>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</si>
  <si>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</si>
  <si>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</si>
  <si>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</si>
  <si>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</si>
  <si>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</si>
  <si>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</si>
  <si>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</si>
  <si>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</si>
  <si>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</si>
  <si>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</si>
  <si>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</si>
  <si>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</si>
  <si>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</si>
  <si>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</si>
  <si>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</si>
  <si>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</si>
  <si>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</si>
  <si>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</si>
  <si>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</si>
  <si>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</si>
  <si>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</si>
  <si>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</si>
  <si>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</si>
  <si>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</si>
  <si>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</si>
  <si>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</si>
  <si>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</si>
  <si>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</si>
  <si>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</si>
  <si>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</si>
  <si>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</si>
  <si>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</si>
  <si>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</si>
  <si>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</si>
  <si>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</si>
  <si>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</si>
  <si>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</si>
  <si>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</si>
  <si>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</si>
  <si>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</si>
  <si>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</si>
  <si>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</si>
  <si>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</si>
  <si>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</si>
  <si>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</si>
  <si>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</si>
  <si>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</si>
  <si>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</si>
  <si>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</si>
  <si>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</si>
  <si>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</si>
  <si>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</si>
  <si>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</si>
  <si>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</si>
  <si>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</si>
  <si>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</si>
  <si>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</si>
  <si>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</si>
  <si>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</si>
  <si>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</si>
  <si>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</si>
  <si>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</si>
  <si>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</si>
  <si>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</si>
  <si>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</si>
  <si>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</si>
  <si>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</si>
  <si>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</si>
  <si>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</si>
  <si>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</si>
  <si>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</si>
  <si>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</si>
  <si>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</si>
  <si>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</si>
  <si>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</si>
  <si>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</si>
  <si>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</si>
  <si>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</si>
  <si>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</si>
  <si>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</si>
  <si>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</si>
  <si>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</si>
  <si>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</si>
  <si>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</si>
  <si>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</si>
  <si>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</si>
  <si>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</si>
  <si>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</si>
  <si>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</si>
  <si>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</si>
  <si>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</si>
  <si>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</si>
  <si>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</si>
  <si>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</si>
  <si>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</si>
  <si>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</si>
  <si>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</si>
  <si>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</si>
  <si>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</si>
  <si>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</si>
  <si>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</si>
  <si>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</si>
  <si>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</si>
  <si>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</si>
  <si>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</si>
  <si>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</si>
  <si>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</si>
  <si>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</si>
  <si>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</si>
  <si>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</si>
  <si>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</si>
  <si>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</si>
  <si>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</si>
  <si>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</si>
  <si>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</si>
  <si>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</si>
  <si>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</si>
  <si>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</si>
  <si>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</si>
  <si>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</si>
  <si>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</si>
  <si>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</si>
  <si>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</si>
  <si>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</si>
  <si>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</si>
  <si>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</si>
  <si>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</si>
  <si>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</si>
  <si>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</si>
  <si>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</si>
  <si>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</si>
  <si>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</si>
  <si>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</si>
  <si>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</si>
  <si>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</si>
  <si>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</si>
  <si>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</si>
  <si>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</si>
  <si>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</si>
  <si>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</si>
  <si>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</si>
  <si>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</si>
  <si>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</si>
  <si>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</si>
  <si>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</si>
  <si>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</si>
  <si>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</si>
  <si>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</si>
  <si>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</si>
  <si>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</si>
  <si>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</si>
  <si>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</si>
  <si>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</si>
  <si>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</si>
  <si>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</si>
  <si>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</si>
  <si>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</si>
  <si>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</si>
  <si>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</si>
  <si>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</si>
  <si>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</si>
  <si>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</si>
  <si>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</si>
  <si>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</si>
  <si>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</si>
  <si>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</si>
  <si>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</si>
  <si>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</si>
  <si>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</si>
  <si>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</si>
  <si>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</si>
  <si>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</si>
  <si>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</si>
  <si>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</si>
  <si>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</si>
  <si>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</si>
  <si>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</si>
  <si>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</si>
  <si>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</si>
  <si>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</si>
  <si>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</si>
  <si>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</si>
  <si>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</si>
  <si>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</si>
  <si>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</si>
  <si>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</si>
  <si>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</si>
  <si>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</si>
  <si>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</si>
  <si>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</si>
  <si>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</si>
  <si>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</si>
  <si>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</si>
  <si>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</si>
  <si>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</si>
  <si>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</si>
  <si>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</si>
  <si>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</si>
  <si>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</si>
  <si>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</si>
  <si>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</si>
  <si>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</si>
  <si>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</si>
  <si>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</si>
  <si>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</si>
  <si>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</si>
  <si>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</si>
  <si>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</si>
  <si>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</si>
  <si>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</si>
  <si>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</si>
  <si>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</si>
  <si>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</si>
  <si>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</si>
  <si>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</si>
  <si>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</si>
  <si>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</si>
  <si>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</si>
  <si>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</si>
  <si>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</si>
  <si>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</si>
  <si>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</si>
  <si>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</si>
  <si>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</si>
  <si>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</si>
  <si>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</si>
  <si>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</si>
  <si>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</si>
  <si>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</si>
  <si>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</si>
  <si>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</si>
  <si>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</si>
  <si>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</si>
  <si>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</si>
  <si>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</si>
  <si>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</si>
  <si>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</si>
  <si>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</si>
  <si>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</si>
  <si>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</si>
  <si>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</si>
  <si>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</si>
  <si>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</si>
  <si>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</si>
  <si>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</si>
  <si>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</si>
  <si>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</si>
  <si>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</si>
  <si>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</si>
  <si>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</si>
  <si>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</si>
  <si>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</si>
  <si>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</si>
  <si>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</si>
  <si>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</si>
  <si>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</si>
  <si>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</si>
  <si>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</si>
  <si>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</si>
  <si>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</si>
  <si>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</si>
  <si>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</si>
  <si>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</si>
  <si>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</si>
  <si>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</si>
  <si>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</si>
  <si>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</si>
  <si>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</si>
  <si>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</si>
  <si>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</si>
  <si>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</si>
  <si>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</si>
  <si>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</si>
  <si>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</si>
  <si>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</si>
  <si>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</si>
  <si>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</si>
  <si>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</si>
  <si>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</si>
  <si>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</si>
  <si>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</si>
  <si>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</si>
  <si>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</si>
  <si>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</si>
  <si>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</si>
  <si>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</si>
  <si>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</si>
  <si>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</si>
  <si>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</si>
  <si>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</si>
  <si>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</si>
  <si>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</si>
  <si>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</si>
  <si>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</si>
  <si>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</si>
  <si>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</si>
  <si>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</si>
  <si>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</si>
  <si>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</si>
  <si>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</si>
  <si>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</si>
  <si>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</si>
  <si>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</si>
  <si>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</si>
  <si>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</si>
  <si>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</si>
  <si>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</si>
  <si>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</si>
  <si>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</si>
  <si>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</si>
  <si>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</si>
  <si>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</si>
  <si>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</si>
  <si>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</si>
  <si>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</si>
  <si>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</si>
  <si>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</si>
  <si>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</si>
  <si>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</si>
  <si>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</si>
  <si>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</si>
  <si>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</si>
  <si>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</si>
  <si>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</si>
  <si>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</si>
  <si>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</si>
  <si>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</si>
  <si>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</si>
  <si>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</si>
  <si>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</si>
  <si>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</si>
  <si>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</si>
  <si>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</si>
  <si>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</si>
  <si>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</si>
  <si>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</si>
  <si>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</si>
  <si>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</si>
  <si>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</si>
  <si>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</si>
  <si>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</si>
  <si>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</si>
  <si>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</si>
  <si>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</si>
  <si>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</si>
  <si>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</si>
  <si>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</si>
  <si>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</si>
  <si>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</si>
  <si>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</si>
  <si>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</si>
  <si>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</si>
  <si>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</si>
  <si>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</si>
  <si>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</si>
  <si>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</si>
  <si>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</si>
  <si>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</si>
  <si>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</si>
  <si>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</si>
  <si>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</si>
  <si>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</si>
  <si>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</si>
  <si>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</si>
  <si>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</si>
  <si>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</si>
  <si>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</si>
  <si>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</si>
  <si>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</si>
  <si>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</si>
  <si>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</si>
  <si>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</si>
  <si>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</si>
  <si>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</si>
  <si>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</si>
  <si>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</si>
  <si>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</si>
  <si>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</si>
  <si>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</si>
  <si>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</si>
  <si>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</si>
  <si>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</si>
  <si>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</si>
  <si>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</si>
  <si>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</si>
  <si>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</si>
  <si>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</si>
  <si>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</si>
  <si>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</si>
  <si>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</si>
  <si>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</si>
  <si>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</si>
  <si>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</si>
  <si>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</si>
  <si>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</si>
  <si>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</si>
  <si>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</si>
  <si>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</si>
  <si>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</si>
  <si>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</si>
  <si>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</si>
  <si>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</si>
  <si>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</si>
  <si>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</si>
  <si>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</si>
  <si>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</si>
  <si>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</si>
  <si>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</si>
  <si>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</si>
  <si>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</si>
  <si>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</si>
  <si>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</si>
  <si>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</si>
  <si>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</si>
  <si>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</si>
  <si>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</si>
  <si>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</si>
  <si>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</si>
  <si>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</si>
  <si>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</si>
  <si>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</si>
  <si>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</si>
  <si>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</si>
  <si>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</si>
  <si>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</si>
  <si>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</si>
  <si>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</si>
  <si>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</si>
  <si>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</si>
  <si>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</si>
  <si>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</si>
  <si>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</si>
  <si>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</si>
  <si>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</si>
  <si>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</si>
  <si>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</si>
  <si>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</si>
  <si>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</si>
  <si>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</si>
  <si>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</si>
  <si>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</si>
  <si>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</si>
  <si>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</si>
  <si>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</si>
  <si>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</si>
  <si>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</si>
  <si>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</si>
  <si>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</si>
  <si>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</si>
  <si>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</si>
  <si>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</si>
  <si>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</si>
  <si>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</si>
  <si>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</si>
  <si>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</si>
  <si>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</si>
  <si>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</si>
  <si>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</si>
  <si>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</si>
  <si>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</si>
  <si>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</si>
  <si>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</si>
  <si>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</si>
  <si>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</si>
  <si>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</si>
  <si>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</si>
  <si>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</si>
  <si>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</si>
  <si>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</si>
  <si>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</si>
  <si>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</si>
  <si>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</si>
  <si>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</si>
  <si>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</si>
  <si>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</si>
  <si>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</si>
  <si>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</si>
  <si>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</si>
  <si>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</si>
  <si>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</si>
  <si>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</si>
  <si>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</si>
  <si>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</si>
  <si>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</si>
  <si>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</si>
  <si>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</si>
  <si>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</si>
  <si>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</si>
  <si>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</si>
  <si>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</si>
  <si>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</si>
  <si>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</si>
  <si>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</si>
  <si>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</si>
  <si>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</si>
  <si>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</si>
  <si>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</si>
  <si>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</si>
  <si>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</si>
  <si>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</si>
  <si>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</si>
  <si>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</si>
  <si>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</si>
  <si>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</si>
  <si>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</si>
  <si>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</si>
  <si>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</si>
  <si>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</si>
  <si>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</si>
  <si>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</si>
  <si>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</si>
  <si>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</si>
  <si>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</si>
  <si>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</si>
  <si>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</si>
  <si>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</si>
  <si>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</si>
  <si>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</si>
  <si>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</si>
  <si>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</si>
  <si>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</si>
  <si>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</si>
  <si>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</si>
  <si>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</si>
  <si>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</si>
  <si>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</si>
  <si>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</si>
  <si>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</si>
  <si>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</si>
  <si>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</si>
  <si>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</si>
  <si>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</si>
  <si>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</si>
  <si>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</si>
  <si>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</si>
  <si>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</si>
  <si>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</si>
  <si>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</si>
  <si>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</si>
  <si>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</si>
  <si>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</si>
  <si>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</si>
  <si>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</si>
  <si>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</si>
  <si>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</si>
  <si>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</si>
  <si>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</si>
  <si>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</si>
  <si>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</si>
  <si>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</si>
  <si>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</si>
  <si>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</si>
  <si>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</si>
  <si>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</si>
  <si>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</si>
  <si>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</si>
  <si>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</si>
  <si>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</si>
  <si>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</si>
  <si>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</si>
  <si>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</si>
  <si>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</si>
  <si>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</si>
  <si>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</si>
  <si>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</si>
  <si>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</si>
  <si>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</si>
  <si>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</si>
  <si>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</si>
  <si>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</si>
  <si>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</si>
  <si>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</si>
  <si>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</si>
  <si>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</si>
  <si>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</si>
  <si>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</si>
  <si>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</si>
  <si>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</si>
  <si>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</si>
  <si>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</si>
  <si>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</si>
  <si>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</si>
  <si>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</si>
  <si>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</si>
  <si>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</si>
  <si>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</si>
  <si>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</si>
  <si>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</si>
  <si>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</si>
  <si>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</si>
  <si>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</si>
  <si>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</si>
  <si>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</si>
  <si>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</si>
  <si>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</si>
  <si>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</si>
  <si>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</si>
  <si>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</si>
  <si>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</si>
  <si>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</si>
  <si>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</si>
  <si>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</si>
  <si>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</si>
  <si>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</si>
  <si>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</si>
  <si>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</si>
  <si>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</si>
  <si>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</si>
  <si>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</si>
  <si>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</si>
  <si>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</si>
  <si>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</si>
  <si>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</si>
  <si>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</si>
  <si>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</si>
  <si>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</si>
  <si>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</si>
  <si>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</si>
  <si>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</si>
  <si>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</si>
  <si>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</si>
  <si>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</si>
  <si>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</si>
  <si>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</si>
  <si>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</si>
  <si>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</si>
  <si>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</si>
  <si>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</si>
  <si>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</si>
  <si>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</si>
  <si>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</si>
  <si>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</si>
  <si>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</si>
  <si>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</si>
  <si>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</si>
  <si>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</si>
  <si>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</si>
  <si>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</si>
  <si>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</si>
  <si>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</si>
  <si>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</si>
  <si>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</si>
  <si>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</si>
  <si>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</si>
  <si>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</si>
  <si>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</si>
  <si>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</si>
  <si>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</si>
  <si>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</si>
  <si>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</si>
  <si>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</si>
  <si>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</si>
  <si>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</si>
  <si>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</si>
  <si>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</si>
  <si>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</si>
  <si>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</si>
  <si>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</si>
  <si>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</si>
  <si>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</si>
  <si>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</si>
  <si>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</si>
  <si>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</si>
  <si>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</si>
  <si>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</si>
  <si>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</si>
  <si>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</si>
  <si>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</si>
  <si>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</si>
  <si>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</si>
  <si>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</si>
  <si>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</si>
  <si>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</si>
  <si>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</si>
  <si>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</si>
  <si>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</si>
  <si>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</si>
  <si>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</si>
  <si>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</si>
  <si>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</si>
  <si>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</si>
  <si>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</si>
  <si>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</si>
  <si>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</si>
  <si>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</si>
  <si>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</si>
  <si>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</si>
  <si>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</si>
  <si>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</si>
  <si>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</si>
  <si>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</si>
  <si>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</si>
  <si>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</si>
  <si>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</si>
  <si>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</si>
  <si>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</si>
  <si>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</si>
  <si>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</si>
  <si>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</si>
  <si>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</si>
  <si>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</si>
  <si>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</si>
  <si>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</si>
  <si>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</si>
  <si>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</si>
  <si>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</si>
  <si>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</si>
  <si>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</si>
  <si>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</si>
  <si>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</si>
  <si>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</si>
  <si>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</si>
  <si>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</si>
  <si>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</si>
  <si>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</si>
  <si>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</si>
  <si>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</si>
  <si>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</si>
  <si>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</si>
  <si>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</si>
  <si>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</si>
  <si>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</si>
  <si>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</si>
  <si>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</si>
  <si>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</si>
  <si>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</si>
  <si>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</si>
  <si>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</si>
  <si>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</si>
  <si>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</si>
  <si>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</si>
  <si>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</si>
  <si>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</si>
  <si>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</si>
  <si>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</si>
  <si>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</si>
  <si>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</si>
  <si>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</si>
  <si>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</si>
  <si>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</si>
  <si>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</si>
  <si>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</si>
  <si>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</si>
  <si>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</si>
  <si>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</si>
  <si>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</si>
  <si>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</si>
  <si>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</si>
  <si>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</si>
  <si>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</si>
  <si>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</si>
  <si>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</si>
  <si>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</si>
  <si>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</si>
  <si>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</si>
  <si>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</si>
  <si>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</si>
  <si>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</si>
  <si>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</si>
  <si>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</si>
  <si>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</si>
  <si>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</si>
  <si>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</si>
  <si>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</si>
  <si>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</si>
  <si>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</si>
  <si>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</si>
  <si>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</si>
  <si>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</si>
  <si>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</si>
  <si>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</si>
  <si>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</si>
  <si>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</si>
  <si>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</si>
  <si>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</si>
  <si>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</si>
  <si>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</si>
  <si>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</si>
  <si>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</si>
  <si>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</si>
  <si>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</si>
  <si>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</si>
  <si>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</si>
  <si>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</si>
  <si>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</si>
  <si>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</si>
  <si>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</si>
  <si>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</si>
  <si>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</si>
  <si>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</si>
  <si>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</si>
  <si>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</si>
  <si>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</si>
  <si>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</si>
  <si>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</si>
  <si>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</si>
  <si>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</si>
  <si>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</si>
  <si>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</si>
  <si>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</si>
  <si>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</si>
  <si>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</si>
  <si>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</si>
  <si>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</si>
  <si>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</si>
  <si>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</si>
  <si>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</si>
  <si>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</si>
  <si>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</si>
  <si>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</si>
  <si>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</si>
  <si>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</si>
  <si>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</si>
  <si>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</si>
  <si>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</si>
  <si>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</si>
  <si>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</si>
  <si>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</si>
  <si>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</si>
  <si>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</si>
  <si>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</si>
  <si>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</si>
  <si>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</si>
  <si>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</si>
  <si>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</si>
  <si>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</si>
  <si>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</si>
  <si>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</si>
  <si>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</si>
  <si>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</si>
  <si>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</si>
  <si>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</si>
  <si>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</si>
  <si>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</si>
  <si>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</si>
  <si>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</si>
  <si>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</si>
  <si>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</si>
  <si>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</si>
  <si>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</si>
  <si>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</si>
  <si>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</si>
  <si>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</si>
  <si>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</si>
  <si>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</si>
  <si>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</si>
  <si>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</si>
  <si>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</si>
  <si>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</si>
  <si>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</si>
  <si>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</si>
  <si>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</si>
  <si>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</si>
  <si>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</si>
  <si>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</si>
  <si>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</si>
  <si>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</si>
  <si>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</si>
  <si>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</si>
  <si>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</si>
  <si>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</si>
  <si>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</si>
  <si>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</si>
  <si>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</si>
  <si>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</si>
  <si>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</si>
  <si>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</si>
  <si>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</si>
  <si>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</si>
  <si>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</si>
  <si>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</si>
  <si>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</si>
  <si>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</si>
  <si>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</si>
  <si>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</si>
  <si>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</si>
  <si>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</si>
  <si>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</si>
  <si>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</si>
  <si>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</si>
  <si>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</si>
  <si>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</si>
  <si>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</si>
  <si>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</si>
  <si>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</si>
  <si>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</si>
  <si>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</si>
  <si>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</si>
  <si>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</si>
  <si>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</si>
  <si>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</si>
  <si>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</si>
  <si>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</si>
  <si>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</si>
  <si>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</si>
  <si>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</si>
  <si>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</si>
  <si>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</si>
  <si>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</si>
  <si>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</si>
  <si>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</si>
  <si>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</si>
  <si>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</si>
  <si>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</si>
  <si>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</si>
  <si>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</si>
  <si>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</si>
  <si>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</si>
  <si>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</si>
  <si>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</si>
  <si>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</si>
  <si>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</si>
  <si>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</si>
  <si>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</si>
  <si>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</si>
  <si>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</si>
  <si>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</si>
  <si>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</si>
  <si>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</si>
  <si>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</si>
  <si>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</si>
  <si>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</si>
  <si>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</si>
  <si>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</si>
  <si>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</si>
  <si>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</si>
  <si>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</si>
  <si>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</si>
  <si>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</si>
  <si>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</si>
  <si>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</si>
  <si>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</si>
  <si>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</si>
  <si>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</si>
  <si>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</si>
  <si>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</si>
  <si>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</si>
  <si>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</si>
  <si>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</si>
  <si>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</si>
  <si>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</si>
  <si>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</si>
  <si>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</si>
  <si>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</si>
  <si>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</si>
  <si>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</si>
  <si>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</si>
  <si>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</si>
  <si>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</si>
  <si>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</si>
  <si>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</si>
  <si>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</si>
  <si>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</si>
  <si>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</si>
  <si>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</si>
  <si>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</si>
  <si>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</si>
  <si>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</si>
  <si>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</si>
  <si>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</si>
  <si>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</si>
  <si>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</si>
  <si>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</si>
  <si>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</si>
  <si>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</si>
  <si>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</si>
  <si>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</si>
  <si>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</si>
  <si>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</si>
  <si>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</si>
  <si>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</si>
  <si>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</si>
  <si>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</si>
  <si>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</si>
  <si>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</si>
  <si>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</si>
  <si>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</si>
  <si>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</si>
  <si>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</si>
  <si>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</si>
  <si>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</si>
  <si>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</si>
  <si>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</si>
  <si>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</si>
  <si>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</si>
  <si>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</si>
  <si>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</si>
  <si>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</si>
  <si>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</si>
  <si>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</si>
  <si>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</si>
  <si>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</si>
  <si>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</si>
  <si>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</si>
  <si>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</si>
  <si>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</si>
  <si>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</si>
  <si>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</si>
  <si>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</si>
  <si>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</si>
  <si>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</si>
  <si>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</si>
  <si>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</si>
  <si>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</si>
  <si>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</si>
  <si>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</si>
  <si>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</si>
  <si>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</si>
  <si>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</si>
  <si>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</si>
  <si>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</si>
  <si>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</si>
  <si>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</si>
  <si>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</si>
  <si>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</si>
  <si>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</si>
  <si>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</si>
  <si>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</si>
  <si>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</si>
  <si>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</si>
  <si>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</si>
  <si>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</si>
  <si>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</si>
  <si>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</si>
  <si>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</si>
  <si>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</si>
  <si>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</si>
  <si>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</si>
  <si>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</si>
  <si>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</si>
  <si>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</si>
  <si>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</si>
  <si>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</si>
  <si>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</si>
  <si>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</si>
  <si>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</si>
  <si>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</si>
  <si>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</si>
  <si>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</si>
  <si>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</si>
  <si>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</si>
  <si>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</si>
  <si>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</si>
  <si>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</si>
  <si>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</si>
  <si>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</si>
  <si>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</si>
  <si>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</si>
  <si>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</si>
  <si>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</si>
  <si>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</si>
  <si>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</si>
  <si>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</si>
  <si>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</si>
  <si>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</si>
  <si>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</si>
  <si>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</si>
  <si>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</si>
  <si>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</si>
  <si>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</si>
  <si>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</si>
  <si>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</si>
  <si>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</si>
  <si>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</si>
  <si>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</si>
  <si>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</si>
  <si>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</si>
  <si>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</si>
  <si>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</si>
  <si>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</si>
  <si>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</si>
  <si>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</si>
  <si>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</si>
  <si>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</si>
  <si>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</si>
  <si>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</si>
  <si>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</si>
  <si>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</si>
  <si>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</si>
  <si>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</si>
  <si>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</si>
  <si>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</si>
  <si>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</si>
  <si>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</si>
  <si>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</si>
  <si>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</si>
  <si>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</si>
  <si>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</si>
  <si>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</si>
  <si>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</si>
  <si>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</si>
  <si>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</si>
  <si>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</si>
  <si>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</si>
  <si>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</si>
  <si>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</si>
  <si>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</si>
  <si>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</si>
  <si>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</si>
  <si>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</si>
  <si>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</si>
  <si>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</si>
  <si>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</si>
  <si>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</si>
  <si>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</si>
  <si>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</si>
  <si>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</si>
  <si>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</si>
  <si>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</si>
  <si>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</si>
  <si>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</si>
  <si>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</si>
  <si>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</si>
  <si>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</si>
  <si>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</si>
  <si>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</si>
  <si>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</si>
  <si>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</si>
  <si>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</si>
  <si>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</si>
  <si>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</si>
  <si>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</si>
  <si>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</si>
  <si>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</si>
  <si>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</si>
  <si>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</si>
  <si>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</si>
  <si>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</si>
  <si>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</si>
  <si>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</si>
  <si>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</si>
  <si>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</si>
  <si>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</si>
  <si>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</si>
  <si>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</si>
  <si>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</si>
  <si>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</si>
  <si>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</si>
  <si>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</si>
  <si>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</si>
  <si>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</si>
  <si>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</si>
  <si>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</si>
  <si>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</si>
  <si>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</si>
  <si>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</si>
  <si>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</si>
  <si>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</si>
  <si>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</si>
  <si>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</si>
  <si>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</si>
  <si>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</si>
  <si>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</si>
  <si>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</si>
  <si>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</si>
  <si>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</si>
  <si>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</si>
  <si>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</si>
  <si>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</si>
  <si>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</si>
  <si>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</si>
  <si>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</si>
  <si>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</si>
  <si>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</si>
  <si>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</si>
  <si>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</si>
  <si>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</si>
  <si>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</si>
  <si>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</si>
  <si>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</si>
  <si>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</si>
  <si>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</si>
  <si>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</si>
  <si>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</si>
  <si>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</si>
  <si>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</si>
  <si>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</si>
  <si>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</si>
  <si>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</si>
  <si>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</si>
  <si>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</si>
  <si>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</si>
  <si>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</si>
  <si>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</si>
  <si>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</si>
  <si>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</si>
  <si>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</si>
  <si>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</si>
  <si>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</si>
  <si>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</si>
  <si>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</si>
  <si>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</si>
  <si>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</si>
  <si>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</si>
  <si>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</si>
  <si>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</si>
  <si>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</si>
  <si>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</si>
  <si>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</si>
  <si>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</si>
  <si>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</si>
  <si>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</si>
  <si>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</si>
  <si>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</si>
  <si>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</si>
  <si>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</si>
  <si>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</si>
  <si>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</si>
  <si>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</si>
  <si>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</si>
  <si>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</si>
  <si>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</si>
  <si>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</si>
  <si>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</si>
  <si>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</si>
  <si>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</si>
  <si>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</si>
  <si>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</si>
  <si>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</si>
  <si>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</si>
  <si>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</si>
  <si>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</si>
  <si>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</si>
  <si>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</si>
  <si>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</si>
  <si>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</si>
  <si>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</si>
  <si>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</si>
  <si>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</si>
  <si>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</si>
  <si>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</si>
  <si>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</si>
  <si>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</si>
  <si>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</si>
  <si>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</si>
  <si>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</si>
  <si>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</si>
  <si>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</si>
  <si>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</si>
  <si>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</si>
  <si>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</si>
  <si>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</si>
  <si>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</si>
  <si>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</si>
  <si>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</si>
  <si>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</si>
  <si>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</si>
  <si>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</si>
  <si>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</si>
  <si>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</si>
  <si>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</si>
  <si>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</si>
  <si>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</si>
  <si>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</si>
  <si>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</si>
  <si>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</si>
  <si>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</si>
  <si>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</si>
  <si>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</si>
  <si>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</si>
  <si>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</si>
  <si>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</si>
  <si>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</si>
  <si>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</si>
  <si>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</si>
  <si>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</si>
  <si>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</si>
  <si>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</si>
  <si>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</si>
  <si>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</si>
  <si>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</si>
  <si>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</si>
  <si>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</si>
  <si>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</si>
  <si>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</si>
  <si>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</si>
  <si>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</si>
  <si>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</si>
  <si>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</si>
  <si>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</si>
  <si>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</si>
  <si>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</si>
  <si>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</si>
  <si>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</si>
  <si>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</si>
  <si>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</si>
  <si>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</si>
  <si>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</si>
  <si>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</si>
  <si>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</si>
  <si>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</si>
  <si>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</si>
  <si>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</si>
  <si>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</si>
  <si>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</si>
  <si>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</si>
  <si>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</si>
  <si>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</si>
  <si>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</si>
  <si>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</si>
  <si>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</si>
  <si>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</si>
  <si>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</si>
  <si>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</si>
  <si>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</si>
  <si>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</si>
  <si>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</si>
  <si>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</si>
  <si>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</si>
  <si>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</si>
  <si>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</si>
  <si>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</si>
  <si>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</si>
  <si>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</si>
  <si>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</si>
  <si>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</si>
  <si>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</si>
  <si>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</si>
  <si>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</si>
  <si>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</si>
  <si>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</si>
  <si>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</si>
  <si>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</si>
  <si>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</si>
  <si>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</si>
  <si>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</si>
  <si>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</si>
  <si>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</si>
  <si>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</si>
  <si>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</si>
  <si>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</si>
  <si>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</si>
  <si>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</si>
  <si>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</si>
  <si>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</si>
  <si>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</si>
  <si>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</si>
  <si>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</si>
  <si>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</si>
  <si>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</si>
  <si>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</si>
  <si>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</si>
  <si>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</si>
  <si>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</si>
  <si>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</si>
  <si>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</si>
  <si>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</si>
  <si>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</si>
  <si>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</si>
  <si>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</si>
  <si>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</si>
  <si>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</si>
  <si>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</si>
  <si>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</si>
  <si>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</si>
  <si>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</si>
  <si>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</si>
  <si>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</si>
  <si>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</si>
  <si>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</si>
  <si>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</si>
  <si>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</si>
  <si>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</si>
  <si>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</si>
  <si>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</si>
  <si>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</si>
  <si>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</si>
  <si>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</si>
  <si>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</si>
  <si>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</si>
  <si>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</si>
  <si>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</si>
  <si>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</si>
  <si>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</si>
  <si>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</si>
  <si>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</si>
  <si>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</si>
  <si>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</si>
  <si>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</si>
  <si>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</si>
  <si>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</si>
  <si>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</si>
  <si>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</si>
  <si>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</si>
  <si>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</si>
  <si>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</si>
  <si>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</si>
  <si>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</si>
  <si>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</si>
  <si>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</si>
  <si>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</si>
  <si>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</si>
  <si>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</si>
  <si>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</si>
  <si>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</si>
  <si>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</si>
  <si>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</si>
  <si>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</si>
  <si>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</si>
  <si>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</si>
  <si>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</si>
  <si>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</si>
  <si>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</si>
  <si>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</si>
  <si>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</si>
  <si>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</si>
  <si>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</si>
  <si>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</si>
  <si>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</si>
  <si>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</si>
  <si>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</si>
  <si>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</si>
  <si>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</si>
  <si>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</si>
  <si>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</si>
  <si>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</si>
  <si>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</si>
  <si>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</si>
  <si>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</si>
  <si>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</si>
  <si>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</si>
  <si>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</si>
  <si>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</si>
  <si>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</si>
  <si>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</si>
  <si>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</si>
  <si>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</si>
  <si>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</si>
  <si>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</si>
  <si>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</si>
  <si>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</si>
  <si>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</si>
  <si>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</si>
  <si>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</si>
  <si>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</si>
  <si>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</si>
  <si>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</si>
  <si>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</si>
  <si>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</si>
  <si>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</si>
  <si>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</si>
  <si>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</si>
  <si>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</si>
  <si>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</si>
  <si>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</si>
  <si>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</si>
  <si>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</si>
  <si>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</si>
  <si>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</si>
  <si>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</si>
  <si>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</si>
  <si>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</si>
  <si>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</si>
  <si>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</si>
  <si>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</si>
  <si>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</si>
  <si>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</si>
  <si>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</si>
  <si>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</si>
  <si>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</si>
  <si>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</si>
  <si>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</si>
  <si>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</si>
  <si>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</si>
  <si>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</si>
  <si>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</si>
  <si>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</si>
  <si>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</si>
  <si>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</si>
  <si>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</si>
  <si>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</si>
  <si>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</si>
  <si>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</si>
  <si>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</si>
  <si>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</si>
  <si>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</si>
  <si>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</si>
  <si>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</si>
  <si>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</si>
  <si>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</si>
  <si>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</si>
  <si>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</si>
  <si>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</si>
  <si>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</si>
  <si>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</si>
  <si>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</si>
  <si>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</si>
  <si>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</si>
  <si>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</si>
  <si>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</si>
  <si>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</si>
  <si>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</si>
  <si>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</si>
  <si>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</si>
  <si>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</si>
  <si>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</si>
  <si>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</si>
  <si>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</si>
  <si>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</si>
  <si>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</si>
  <si>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</si>
  <si>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</si>
  <si>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</si>
  <si>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</si>
  <si>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</si>
  <si>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</si>
  <si>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</si>
  <si>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</si>
  <si>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</si>
  <si>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</si>
  <si>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</si>
  <si>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</si>
  <si>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</si>
  <si>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</si>
  <si>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</si>
  <si>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</si>
  <si>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</si>
  <si>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</si>
  <si>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</si>
  <si>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</si>
  <si>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</si>
  <si>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</si>
  <si>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</si>
  <si>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</si>
  <si>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</si>
  <si>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</si>
  <si>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</si>
  <si>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</si>
  <si>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</si>
  <si>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</si>
  <si>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</si>
  <si>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</si>
  <si>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</si>
  <si>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</si>
  <si>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</si>
  <si>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</si>
  <si>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</si>
  <si>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</si>
  <si>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</si>
  <si>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</si>
  <si>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</si>
  <si>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</si>
  <si>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</si>
  <si>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</si>
  <si>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</si>
  <si>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</si>
  <si>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</si>
  <si>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</si>
  <si>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</si>
  <si>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</si>
  <si>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</si>
  <si>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</si>
  <si>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</si>
  <si>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</si>
  <si>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</si>
  <si>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</si>
  <si>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</si>
  <si>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</si>
  <si>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</si>
  <si>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</si>
  <si>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</si>
  <si>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</si>
  <si>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</si>
  <si>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</si>
  <si>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</si>
  <si>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</si>
  <si>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</si>
  <si>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</si>
  <si>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</si>
  <si>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</si>
  <si>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</si>
  <si>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</si>
  <si>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</si>
  <si>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</si>
  <si>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</si>
  <si>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</si>
  <si>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</si>
  <si>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</si>
  <si>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</si>
  <si>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</si>
  <si>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</si>
  <si>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</si>
  <si>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</si>
  <si>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</si>
  <si>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</si>
  <si>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</si>
  <si>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</si>
  <si>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</si>
  <si>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</si>
  <si>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</si>
  <si>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</si>
  <si>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</si>
  <si>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</si>
  <si>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</si>
  <si>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</si>
  <si>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</si>
  <si>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</si>
  <si>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</si>
  <si>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</si>
  <si>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</si>
  <si>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</si>
  <si>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</si>
  <si>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</si>
  <si>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</si>
  <si>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</si>
  <si>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</si>
  <si>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</si>
  <si>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</si>
  <si>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</si>
  <si>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</si>
  <si>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</si>
  <si>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</si>
  <si>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</si>
  <si>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</si>
  <si>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</si>
  <si>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</si>
  <si>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</si>
  <si>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</si>
  <si>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</si>
  <si>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</si>
  <si>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</si>
  <si>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</si>
  <si>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</si>
  <si>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</si>
  <si>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</si>
  <si>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</si>
  <si>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</si>
  <si>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</si>
  <si>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</si>
  <si>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</si>
  <si>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</si>
  <si>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</si>
  <si>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</si>
  <si>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</si>
  <si>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</si>
  <si>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</si>
  <si>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</si>
  <si>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</si>
  <si>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</si>
  <si>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</si>
  <si>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</si>
  <si>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</si>
  <si>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</si>
  <si>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</si>
  <si>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</si>
  <si>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</si>
  <si>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</si>
  <si>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</si>
  <si>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</si>
  <si>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</si>
  <si>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</si>
  <si>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</si>
  <si>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</si>
  <si>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</si>
  <si>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</si>
  <si>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</si>
  <si>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</si>
  <si>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</si>
  <si>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</si>
  <si>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</si>
  <si>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</si>
  <si>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</si>
  <si>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</si>
  <si>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</si>
  <si>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</si>
  <si>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</si>
  <si>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</si>
  <si>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</si>
  <si>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</si>
  <si>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</si>
  <si>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</si>
  <si>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</si>
  <si>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</si>
  <si>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</si>
  <si>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</si>
  <si>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</si>
  <si>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</si>
  <si>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</si>
  <si>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</si>
  <si>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</si>
  <si>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</si>
  <si>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</si>
  <si>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</si>
  <si>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</si>
  <si>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</si>
  <si>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</si>
  <si>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</si>
  <si>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</si>
  <si>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</si>
  <si>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</si>
  <si>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</si>
  <si>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</si>
  <si>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</si>
  <si>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</si>
  <si>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</si>
  <si>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</si>
  <si>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</si>
  <si>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</si>
  <si>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</si>
  <si>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</si>
  <si>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</si>
  <si>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</si>
  <si>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</si>
  <si>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</si>
  <si>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</si>
  <si>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</si>
  <si>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</si>
  <si>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</si>
  <si>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</si>
  <si>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</si>
  <si>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</si>
  <si>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</si>
  <si>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</si>
  <si>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</si>
  <si>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</si>
  <si>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</si>
  <si>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</si>
  <si>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</si>
  <si>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</si>
  <si>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</si>
  <si>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</si>
  <si>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</si>
  <si>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</si>
  <si>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</si>
  <si>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</si>
  <si>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</si>
  <si>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</si>
  <si>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</si>
  <si>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</si>
  <si>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</si>
  <si>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</si>
  <si>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</si>
  <si>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</si>
  <si>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</si>
  <si>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</si>
  <si>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</si>
  <si>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</si>
  <si>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</si>
  <si>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</si>
  <si>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</si>
  <si>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</si>
  <si>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</si>
  <si>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</si>
  <si>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</si>
  <si>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</si>
  <si>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</si>
  <si>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</si>
  <si>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</si>
  <si>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</si>
  <si>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</si>
  <si>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</si>
  <si>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</si>
  <si>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</si>
  <si>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</si>
  <si>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</si>
  <si>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</si>
  <si>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</si>
  <si>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</si>
  <si>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</si>
  <si>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</si>
  <si>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</si>
  <si>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</si>
  <si>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</si>
  <si>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</si>
  <si>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</si>
  <si>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</si>
  <si>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</si>
  <si>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</si>
  <si>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</si>
  <si>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</si>
  <si>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</si>
  <si>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</si>
  <si>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</si>
  <si>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</si>
  <si>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</si>
  <si>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</si>
  <si>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</si>
  <si>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</si>
  <si>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</si>
  <si>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</si>
  <si>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</si>
  <si>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</si>
  <si>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</si>
  <si>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</si>
  <si>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</si>
  <si>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</si>
  <si>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</si>
  <si>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</si>
  <si>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</si>
  <si>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</si>
  <si>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</si>
  <si>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</si>
  <si>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</si>
  <si>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</si>
  <si>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</si>
  <si>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</si>
  <si>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</si>
  <si>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</si>
  <si>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</si>
  <si>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</si>
  <si>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</si>
  <si>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</si>
  <si>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</si>
  <si>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</si>
  <si>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</si>
  <si>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</si>
  <si>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</si>
  <si>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</si>
  <si>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</si>
  <si>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</si>
  <si>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</si>
  <si>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</si>
  <si>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</si>
  <si>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</si>
  <si>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</si>
  <si>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</si>
  <si>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</si>
  <si>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</si>
  <si>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</si>
  <si>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</si>
  <si>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</si>
  <si>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</si>
  <si>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</si>
  <si>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</si>
  <si>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</si>
  <si>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</si>
  <si>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</si>
  <si>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</si>
  <si>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</si>
  <si>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</si>
  <si>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</si>
  <si>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</si>
  <si>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</si>
  <si>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</si>
  <si>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</si>
  <si>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</si>
  <si>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</si>
  <si>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</si>
  <si>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</si>
  <si>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</si>
  <si>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</si>
  <si>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</si>
  <si>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</si>
  <si>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</si>
  <si>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</si>
  <si>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</si>
  <si>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</si>
  <si>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</si>
  <si>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</si>
  <si>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</si>
  <si>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</si>
  <si>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</si>
  <si>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</si>
  <si>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</si>
  <si>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</si>
  <si>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</si>
  <si>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</si>
  <si>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</si>
  <si>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</si>
  <si>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</si>
  <si>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</si>
  <si>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</si>
  <si>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</si>
  <si>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</si>
  <si>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</si>
  <si>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</si>
  <si>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</si>
  <si>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</si>
  <si>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</si>
  <si>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</si>
  <si>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</si>
  <si>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</si>
  <si>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</si>
  <si>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</si>
  <si>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</si>
  <si>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</si>
  <si>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</si>
  <si>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</si>
  <si>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</si>
  <si>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</si>
  <si>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</si>
  <si>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</si>
  <si>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</si>
  <si>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</si>
  <si>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</si>
  <si>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</si>
  <si>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</si>
  <si>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</si>
  <si>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</si>
  <si>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</si>
  <si>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</si>
  <si>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</si>
  <si>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</si>
  <si>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</si>
  <si>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</si>
  <si>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</si>
  <si>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</si>
  <si>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</si>
  <si>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</si>
  <si>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</si>
  <si>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</si>
  <si>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</si>
  <si>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</si>
  <si>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</si>
  <si>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</si>
  <si>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</si>
  <si>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</si>
  <si>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</si>
  <si>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</si>
  <si>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</si>
  <si>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</si>
  <si>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</si>
  <si>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</si>
  <si>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</si>
  <si>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</si>
  <si>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</si>
  <si>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</si>
  <si>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</si>
  <si>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</si>
  <si>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</si>
  <si>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</si>
  <si>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</si>
  <si>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</si>
  <si>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</si>
  <si>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</si>
  <si>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</si>
  <si>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</si>
  <si>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</si>
  <si>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</si>
  <si>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</si>
  <si>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</si>
  <si>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</si>
  <si>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</si>
  <si>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</si>
  <si>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</si>
  <si>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</si>
  <si>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</si>
  <si>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</si>
  <si>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</si>
  <si>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</si>
  <si>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</si>
  <si>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</si>
  <si>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</si>
  <si>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</si>
  <si>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</si>
  <si>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</si>
  <si>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</si>
  <si>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</si>
  <si>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</si>
  <si>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</si>
  <si>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</si>
  <si>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</si>
  <si>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</si>
  <si>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</si>
  <si>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</si>
  <si>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</si>
  <si>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</si>
  <si>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</si>
  <si>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</si>
  <si>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</si>
  <si>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</si>
  <si>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</si>
  <si>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</si>
  <si>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</si>
  <si>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</si>
  <si>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</si>
  <si>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</si>
  <si>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</si>
  <si>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</si>
  <si>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</si>
  <si>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</si>
  <si>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</si>
  <si>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</si>
  <si>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</si>
  <si>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</si>
  <si>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</si>
  <si>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</si>
  <si>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</si>
  <si>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</si>
  <si>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</si>
  <si>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</si>
  <si>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</si>
  <si>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</si>
  <si>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</si>
  <si>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</si>
  <si>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</si>
  <si>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</si>
  <si>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</si>
  <si>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</si>
  <si>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</si>
  <si>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</si>
  <si>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</si>
  <si>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</si>
  <si>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</si>
  <si>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</si>
  <si>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</si>
  <si>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</si>
  <si>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</si>
  <si>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</si>
  <si>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</si>
  <si>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</si>
  <si>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</si>
  <si>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</si>
  <si>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</si>
  <si>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</si>
  <si>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</si>
  <si>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</si>
  <si>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</si>
  <si>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</si>
  <si>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</si>
  <si>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</si>
  <si>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</si>
  <si>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</si>
  <si>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</si>
  <si>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</si>
  <si>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</si>
  <si>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</si>
  <si>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</si>
  <si>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</si>
  <si>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</si>
  <si>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</si>
  <si>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</si>
  <si>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</si>
  <si>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</si>
  <si>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</si>
  <si>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</si>
  <si>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</si>
  <si>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</si>
  <si>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</si>
  <si>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</si>
  <si>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</si>
  <si>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</si>
  <si>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</si>
  <si>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</si>
  <si>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</si>
  <si>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</si>
  <si>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</si>
  <si>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</si>
  <si>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</si>
  <si>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</si>
  <si>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</si>
  <si>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</si>
  <si>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</si>
  <si>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</si>
  <si>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</si>
  <si>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</si>
  <si>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</si>
  <si>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</si>
  <si>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</si>
  <si>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</si>
  <si>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</si>
  <si>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</si>
  <si>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</si>
  <si>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</si>
  <si>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</si>
  <si>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</si>
  <si>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</si>
  <si>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</si>
  <si>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</si>
  <si>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</si>
  <si>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</si>
  <si>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</si>
  <si>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</si>
  <si>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</si>
  <si>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</si>
  <si>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</si>
  <si>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</si>
  <si>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</si>
  <si>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</si>
  <si>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</si>
  <si>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</si>
  <si>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</si>
  <si>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</si>
  <si>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</si>
  <si>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</si>
  <si>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</si>
  <si>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</si>
  <si>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</si>
  <si>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</si>
  <si>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</si>
  <si>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</si>
  <si>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</si>
  <si>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</si>
  <si>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</si>
  <si>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</si>
  <si>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</si>
  <si>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</si>
  <si>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</si>
  <si>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</si>
  <si>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</si>
  <si>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</si>
  <si>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</si>
  <si>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</si>
  <si>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</si>
  <si>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</si>
  <si>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</si>
  <si>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</si>
  <si>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</si>
  <si>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</si>
  <si>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</si>
  <si>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</si>
  <si>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</si>
  <si>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</si>
  <si>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</si>
  <si>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</si>
  <si>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</si>
  <si>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</si>
  <si>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</si>
  <si>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</si>
  <si>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</si>
  <si>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</si>
  <si>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</si>
  <si>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</si>
  <si>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</si>
  <si>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</si>
  <si>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</si>
  <si>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</si>
  <si>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</si>
  <si>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</si>
  <si>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</si>
  <si>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</si>
  <si>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</si>
  <si>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</si>
  <si>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</si>
  <si>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</si>
  <si>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</si>
  <si>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</si>
  <si>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</si>
  <si>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</si>
  <si>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</si>
  <si>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</si>
  <si>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</si>
  <si>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</si>
  <si>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</si>
  <si>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</si>
  <si>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</si>
  <si>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</si>
  <si>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</si>
  <si>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</si>
  <si>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</si>
  <si>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</si>
  <si>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</si>
  <si>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</si>
  <si>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</si>
  <si>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</si>
  <si>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</si>
  <si>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</si>
  <si>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</si>
  <si>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</si>
  <si>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</si>
  <si>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</si>
  <si>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</si>
  <si>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</si>
  <si>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</si>
  <si>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</si>
  <si>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</si>
  <si>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</si>
  <si>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</si>
  <si>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</si>
  <si>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</si>
  <si>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</si>
  <si>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</si>
  <si>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</si>
  <si>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</si>
  <si>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</si>
  <si>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</si>
  <si>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</si>
  <si>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</si>
  <si>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</si>
  <si>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</si>
  <si>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</si>
  <si>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</si>
  <si>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</si>
  <si>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</si>
  <si>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</si>
  <si>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</si>
  <si>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</si>
  <si>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</si>
  <si>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</si>
  <si>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</si>
  <si>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</si>
  <si>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</si>
  <si>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</si>
  <si>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</si>
  <si>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</si>
  <si>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</si>
  <si>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</si>
  <si>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</si>
  <si>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</si>
  <si>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</si>
  <si>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</si>
  <si>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</si>
  <si>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</si>
  <si>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</si>
  <si>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</si>
  <si>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</si>
  <si>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</si>
  <si>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</si>
  <si>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</si>
  <si>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</si>
  <si>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</si>
  <si>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</si>
  <si>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</si>
  <si>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</si>
  <si>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</si>
  <si>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</si>
  <si>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</si>
  <si>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</si>
  <si>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</si>
  <si>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</si>
  <si>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</si>
  <si>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</si>
  <si>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</si>
  <si>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</si>
  <si>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</si>
  <si>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</si>
  <si>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</si>
  <si>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</si>
  <si>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</si>
  <si>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</si>
  <si>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</si>
  <si>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</si>
  <si>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</si>
  <si>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</si>
  <si>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</si>
  <si>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</si>
  <si>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</si>
  <si>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</si>
  <si>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</si>
  <si>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</si>
  <si>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</si>
  <si>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</si>
  <si>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</si>
  <si>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</si>
  <si>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</si>
  <si>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</si>
  <si>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</si>
  <si>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</si>
  <si>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</si>
  <si>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</si>
  <si>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</si>
  <si>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</si>
  <si>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</si>
  <si>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</si>
  <si>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</si>
  <si>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</si>
  <si>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</si>
  <si>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</si>
  <si>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</si>
  <si>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</si>
  <si>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</si>
  <si>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</si>
  <si>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</si>
  <si>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</si>
  <si>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</si>
  <si>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</si>
  <si>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</si>
  <si>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</si>
  <si>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</si>
  <si>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</si>
  <si>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</si>
  <si>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</si>
  <si>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</si>
  <si>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</si>
  <si>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</si>
  <si>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</si>
  <si>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</si>
  <si>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</si>
  <si>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</si>
  <si>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</si>
  <si>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</si>
  <si>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</si>
  <si>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</si>
  <si>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</si>
  <si>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</si>
  <si>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</si>
  <si>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</si>
  <si>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</si>
  <si>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</si>
  <si>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</si>
  <si>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</si>
  <si>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</si>
  <si>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</si>
  <si>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</si>
  <si>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</si>
  <si>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</si>
  <si>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</si>
  <si>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</si>
  <si>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</si>
  <si>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基准地价修正办公</t>
  </si>
  <si>
    <t>基准地价修正办公</t>
    <phoneticPr fontId="16" type="noConversion"/>
  </si>
  <si>
    <t>基准地价修正商业</t>
  </si>
  <si>
    <t>基准地价修正商业</t>
    <phoneticPr fontId="16" type="noConversion"/>
  </si>
  <si>
    <t>抵押</t>
  </si>
  <si>
    <t>房地产抵押价值</t>
  </si>
  <si>
    <t>郑燚</t>
  </si>
  <si>
    <t>北京市</t>
  </si>
  <si>
    <t>企业</t>
  </si>
  <si>
    <t>序号</t>
  </si>
  <si>
    <t>不动产权证号</t>
  </si>
  <si>
    <t>坐落</t>
  </si>
  <si>
    <t>建筑面积</t>
  </si>
  <si>
    <t>所在层</t>
  </si>
  <si>
    <t>京（2016）东城区不动产权第0021202号</t>
  </si>
  <si>
    <t>东城区朝阳门内大街298号8至9层1-9</t>
  </si>
  <si>
    <t>8-9</t>
  </si>
  <si>
    <t>东城区朝阳门内大街298号6层1-7</t>
  </si>
  <si>
    <t>东城区朝阳门内大街298号5层1-5</t>
  </si>
  <si>
    <t>东城区朝阳门内大街298号2层1-2</t>
  </si>
  <si>
    <t>东城区朝阳门内大街298号1层1-1</t>
  </si>
  <si>
    <t>东城区朝阳门内大街298号-1层1-10</t>
  </si>
  <si>
    <t>东城区朝阳门内大街298号-2层1-13</t>
  </si>
  <si>
    <t>东城区朝阳门内大街298号7层1-8</t>
  </si>
  <si>
    <t>东城区朝阳门内大街298号1层附属房</t>
  </si>
  <si>
    <t>小计</t>
  </si>
  <si>
    <t>京（2016）东城区不动产权第0021206号</t>
  </si>
  <si>
    <t>东城区朝阳门内大街298号2层1-3</t>
  </si>
  <si>
    <t>商业、办公</t>
  </si>
  <si>
    <t>东城区朝阳门内大街298号3至4层1-4</t>
  </si>
  <si>
    <t>3-4</t>
  </si>
  <si>
    <t>东城区朝阳门内大街298号5层1-6</t>
  </si>
  <si>
    <t>东城区朝阳门内大街298号-1层1-11</t>
  </si>
  <si>
    <t>地下室</t>
  </si>
  <si>
    <t>东城区朝阳门内大街298号-1层1-12</t>
  </si>
  <si>
    <t>东城区朝阳门内大街298号-3层1-14</t>
  </si>
  <si>
    <t>京（2017）东不动产权第0019067号</t>
  </si>
  <si>
    <t>东城区朝阳门内大街298号1层008</t>
  </si>
  <si>
    <t>土地面积</t>
    <phoneticPr fontId="134" type="noConversion"/>
  </si>
  <si>
    <t>分摊土地面积</t>
    <phoneticPr fontId="134" type="noConversion"/>
  </si>
  <si>
    <t>是</t>
  </si>
  <si>
    <t>否</t>
  </si>
  <si>
    <t>地上</t>
  </si>
  <si>
    <t>地下</t>
  </si>
  <si>
    <t>车库—办公</t>
  </si>
  <si>
    <t>办公</t>
    <phoneticPr fontId="7" type="noConversion"/>
  </si>
  <si>
    <t>商业</t>
    <phoneticPr fontId="7" type="noConversion"/>
  </si>
  <si>
    <t>车库</t>
    <phoneticPr fontId="7" type="noConversion"/>
  </si>
  <si>
    <t>成新度</t>
  </si>
  <si>
    <r>
      <rPr>
        <sz val="10"/>
        <color rgb="FF000000"/>
        <rFont val="Arial"/>
        <family val="2"/>
      </rPr>
      <t>2-9</t>
    </r>
    <r>
      <rPr>
        <sz val="10"/>
        <color rgb="FF000000"/>
        <rFont val="宋体"/>
        <family val="3"/>
        <charset val="134"/>
      </rPr>
      <t>层</t>
    </r>
  </si>
  <si>
    <r>
      <rPr>
        <sz val="10"/>
        <color rgb="FF000000"/>
        <rFont val="Arial"/>
        <family val="2"/>
      </rPr>
      <t>1</t>
    </r>
    <r>
      <rPr>
        <sz val="10"/>
        <color rgb="FF000000"/>
        <rFont val="宋体"/>
        <family val="3"/>
        <charset val="134"/>
      </rPr>
      <t>层</t>
    </r>
  </si>
  <si>
    <r>
      <rPr>
        <sz val="10"/>
        <color rgb="FF000000"/>
        <rFont val="宋体"/>
        <family val="3"/>
        <charset val="134"/>
      </rPr>
      <t>地下</t>
    </r>
    <r>
      <rPr>
        <sz val="10"/>
        <color rgb="FF000000"/>
        <rFont val="Arial"/>
        <family val="2"/>
      </rPr>
      <t>1</t>
    </r>
    <r>
      <rPr>
        <sz val="10"/>
        <color rgb="FF000000"/>
        <rFont val="宋体"/>
        <family val="3"/>
        <charset val="134"/>
      </rPr>
      <t>层</t>
    </r>
  </si>
  <si>
    <r>
      <rPr>
        <sz val="10"/>
        <color rgb="FF000000"/>
        <rFont val="宋体"/>
        <family val="3"/>
        <charset val="134"/>
      </rPr>
      <t>地下</t>
    </r>
    <r>
      <rPr>
        <sz val="10"/>
        <color rgb="FF000000"/>
        <rFont val="Arial"/>
        <family val="2"/>
      </rPr>
      <t>2-3</t>
    </r>
    <r>
      <rPr>
        <sz val="10"/>
        <color rgb="FF000000"/>
        <rFont val="宋体"/>
        <family val="3"/>
        <charset val="134"/>
      </rPr>
      <t>层</t>
    </r>
  </si>
  <si>
    <t>合计</t>
  </si>
  <si>
    <t>车位数</t>
    <phoneticPr fontId="3" type="noConversion"/>
  </si>
  <si>
    <t>收益法商业</t>
    <phoneticPr fontId="16" type="noConversion"/>
  </si>
  <si>
    <t>收益法车库</t>
    <phoneticPr fontId="16" type="noConversion"/>
  </si>
  <si>
    <t>收益法</t>
  </si>
  <si>
    <t>收益法商业</t>
  </si>
  <si>
    <t>收益法车库</t>
  </si>
  <si>
    <t>钢混</t>
  </si>
  <si>
    <t>非生产用房</t>
  </si>
  <si>
    <t>押一</t>
  </si>
  <si>
    <t>不临65条商业街</t>
  </si>
  <si>
    <t>与级别开发程度一致</t>
  </si>
  <si>
    <t>楼层修正</t>
  </si>
  <si>
    <t>较好</t>
  </si>
  <si>
    <t>好</t>
  </si>
  <si>
    <t>商务金融用地</t>
  </si>
  <si>
    <t>未包含在土地购买价格中</t>
  </si>
  <si>
    <t>全部缴纳</t>
  </si>
  <si>
    <t>已包含在土地取得成本中</t>
  </si>
  <si>
    <t>成本法</t>
  </si>
  <si>
    <t>收益法（汇总）</t>
  </si>
  <si>
    <t>总价</t>
  </si>
  <si>
    <t>成本比率</t>
  </si>
  <si>
    <t>估价对象容积率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</si>
</sst>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3A1F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1" xfId="10" applyFont="1" applyBorder="1" applyAlignment="1">
      <alignment horizontal="left" vertical="center"/>
    </xf>
    <xf numFmtId="0" fontId="271" fillId="0" borderId="0" xfId="10" applyFont="1" applyAlignment="1">
      <alignment horizontal="left" vertical="center"/>
    </xf>
    <xf numFmtId="49" fontId="271" fillId="0" borderId="1" xfId="10" applyNumberFormat="1" applyFont="1" applyBorder="1" applyAlignment="1">
      <alignment horizontal="left" vertical="center"/>
    </xf>
    <xf numFmtId="0" fontId="271" fillId="5" borderId="1" xfId="10" applyFont="1" applyFill="1" applyBorder="1" applyAlignment="1">
      <alignment horizontal="left" vertical="center"/>
    </xf>
    <xf numFmtId="0" fontId="271" fillId="22" borderId="0" xfId="10" applyFont="1" applyFill="1" applyAlignment="1">
      <alignment horizontal="left" vertical="center"/>
    </xf>
    <xf numFmtId="0" fontId="271" fillId="5" borderId="1" xfId="10" applyFont="1" applyFill="1" applyBorder="1" applyAlignment="1">
      <alignment horizontal="center" vertical="center"/>
    </xf>
    <xf numFmtId="0" fontId="271" fillId="5" borderId="1" xfId="10" applyFont="1" applyFill="1" applyBorder="1" applyAlignment="1">
      <alignment horizontal="left" vertical="center" wrapText="1"/>
    </xf>
    <xf numFmtId="58" fontId="164"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164" fillId="12" borderId="0" xfId="0" applyFont="1" applyFill="1" applyAlignment="1" applyProtection="1">
      <alignment horizontal="left" vertical="center"/>
      <protection locked="0"/>
    </xf>
    <xf numFmtId="0" fontId="163" fillId="12" borderId="0" xfId="0" applyFont="1" applyFill="1" applyAlignment="1" applyProtection="1">
      <alignment horizontal="left"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271" fillId="0" borderId="1" xfId="10" applyFont="1" applyBorder="1" applyAlignment="1">
      <alignment horizontal="center" vertical="center"/>
    </xf>
    <xf numFmtId="0" fontId="271" fillId="0" borderId="1" xfId="10" applyFont="1" applyBorder="1" applyAlignment="1">
      <alignment horizontal="center" vertical="center" wrapText="1"/>
    </xf>
    <xf numFmtId="0" fontId="271" fillId="0" borderId="0" xfId="10" applyFont="1" applyAlignment="1">
      <alignment horizontal="left" vertical="center"/>
    </xf>
    <xf numFmtId="0" fontId="271" fillId="0" borderId="13" xfId="10" applyFont="1" applyBorder="1" applyAlignment="1">
      <alignment horizontal="center" vertical="center"/>
    </xf>
    <xf numFmtId="0" fontId="271" fillId="0" borderId="15" xfId="10" applyFont="1" applyBorder="1" applyAlignment="1">
      <alignment horizontal="center" vertical="center"/>
    </xf>
    <xf numFmtId="0" fontId="271" fillId="0" borderId="2" xfId="10" applyFont="1" applyBorder="1" applyAlignment="1">
      <alignment horizontal="center" vertical="center"/>
    </xf>
    <xf numFmtId="0" fontId="271" fillId="0" borderId="13" xfId="10" applyFont="1" applyBorder="1" applyAlignment="1">
      <alignment horizontal="center" vertical="center" wrapText="1"/>
    </xf>
    <xf numFmtId="0" fontId="271" fillId="0" borderId="15" xfId="10" applyFont="1" applyBorder="1" applyAlignment="1">
      <alignment horizontal="center" vertical="center" wrapText="1"/>
    </xf>
    <xf numFmtId="0" fontId="271" fillId="0" borderId="2" xfId="10" applyFont="1" applyBorder="1" applyAlignment="1">
      <alignment horizontal="center" vertical="center" wrapText="1"/>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114299</xdr:colOff>
      <xdr:row>3</xdr:row>
      <xdr:rowOff>76727</xdr:rowOff>
    </xdr:from>
    <xdr:to>
      <xdr:col>19</xdr:col>
      <xdr:colOff>371474</xdr:colOff>
      <xdr:row>16</xdr:row>
      <xdr:rowOff>95249</xdr:rowOff>
    </xdr:to>
    <xdr:pic>
      <xdr:nvPicPr>
        <xdr:cNvPr id="2" name="图片 1">
          <a:extLst>
            <a:ext uri="{FF2B5EF4-FFF2-40B4-BE49-F238E27FC236}">
              <a16:creationId xmlns:a16="http://schemas.microsoft.com/office/drawing/2014/main" id="{D1967562-A6B6-4833-B991-8DC05161E656}"/>
            </a:ext>
          </a:extLst>
        </xdr:cNvPr>
        <xdr:cNvPicPr>
          <a:picLocks noChangeAspect="1"/>
        </xdr:cNvPicPr>
      </xdr:nvPicPr>
      <xdr:blipFill>
        <a:blip xmlns:r="http://schemas.openxmlformats.org/officeDocument/2006/relationships" r:embed="rId1"/>
        <a:stretch>
          <a:fillRect/>
        </a:stretch>
      </xdr:blipFill>
      <xdr:spPr>
        <a:xfrm>
          <a:off x="10658474" y="619652"/>
          <a:ext cx="5057775" cy="2371197"/>
        </a:xfrm>
        <a:prstGeom prst="rect">
          <a:avLst/>
        </a:prstGeom>
        <a:noFill/>
        <a:ln w="9525">
          <a:noFill/>
        </a:ln>
      </xdr:spPr>
    </xdr:pic>
    <xdr:clientData/>
  </xdr:twoCellAnchor>
  <xdr:twoCellAnchor editAs="oneCell">
    <xdr:from>
      <xdr:col>0</xdr:col>
      <xdr:colOff>466725</xdr:colOff>
      <xdr:row>27</xdr:row>
      <xdr:rowOff>142875</xdr:rowOff>
    </xdr:from>
    <xdr:to>
      <xdr:col>7</xdr:col>
      <xdr:colOff>495300</xdr:colOff>
      <xdr:row>42</xdr:row>
      <xdr:rowOff>9525</xdr:rowOff>
    </xdr:to>
    <xdr:pic>
      <xdr:nvPicPr>
        <xdr:cNvPr id="3" name="图片 2">
          <a:extLst>
            <a:ext uri="{FF2B5EF4-FFF2-40B4-BE49-F238E27FC236}">
              <a16:creationId xmlns:a16="http://schemas.microsoft.com/office/drawing/2014/main" id="{9F6B81E7-86F8-4955-BE30-3D5C7C1FB9AC}"/>
            </a:ext>
          </a:extLst>
        </xdr:cNvPr>
        <xdr:cNvPicPr>
          <a:picLocks noChangeAspect="1"/>
        </xdr:cNvPicPr>
      </xdr:nvPicPr>
      <xdr:blipFill>
        <a:blip xmlns:r="http://schemas.openxmlformats.org/officeDocument/2006/relationships" r:embed="rId2"/>
        <a:stretch>
          <a:fillRect/>
        </a:stretch>
      </xdr:blipFill>
      <xdr:spPr>
        <a:xfrm>
          <a:off x="466725" y="5210175"/>
          <a:ext cx="7143750" cy="25812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647190</xdr:colOff>
      <xdr:row>42</xdr:row>
      <xdr:rowOff>151524</xdr:rowOff>
    </xdr:to>
    <xdr:pic>
      <xdr:nvPicPr>
        <xdr:cNvPr id="2" name="图片 1">
          <a:extLst>
            <a:ext uri="{FF2B5EF4-FFF2-40B4-BE49-F238E27FC236}">
              <a16:creationId xmlns:a16="http://schemas.microsoft.com/office/drawing/2014/main" id="{4C6732C1-0308-7368-3F19-DFFDEBB898A8}"/>
            </a:ext>
          </a:extLst>
        </xdr:cNvPr>
        <xdr:cNvPicPr>
          <a:picLocks noChangeAspect="1"/>
        </xdr:cNvPicPr>
      </xdr:nvPicPr>
      <xdr:blipFill>
        <a:blip xmlns:r="http://schemas.openxmlformats.org/officeDocument/2006/relationships" r:embed="rId1"/>
        <a:stretch>
          <a:fillRect/>
        </a:stretch>
      </xdr:blipFill>
      <xdr:spPr>
        <a:xfrm>
          <a:off x="685800" y="342900"/>
          <a:ext cx="4076190" cy="7009524"/>
        </a:xfrm>
        <a:prstGeom prst="rect">
          <a:avLst/>
        </a:prstGeom>
      </xdr:spPr>
    </xdr:pic>
    <xdr:clientData/>
  </xdr:twoCellAnchor>
  <xdr:twoCellAnchor editAs="oneCell">
    <xdr:from>
      <xdr:col>8</xdr:col>
      <xdr:colOff>0</xdr:colOff>
      <xdr:row>2</xdr:row>
      <xdr:rowOff>0</xdr:rowOff>
    </xdr:from>
    <xdr:to>
      <xdr:col>13</xdr:col>
      <xdr:colOff>685286</xdr:colOff>
      <xdr:row>30</xdr:row>
      <xdr:rowOff>170829</xdr:rowOff>
    </xdr:to>
    <xdr:pic>
      <xdr:nvPicPr>
        <xdr:cNvPr id="3" name="图片 2">
          <a:extLst>
            <a:ext uri="{FF2B5EF4-FFF2-40B4-BE49-F238E27FC236}">
              <a16:creationId xmlns:a16="http://schemas.microsoft.com/office/drawing/2014/main" id="{09CFB9EB-DA47-BA78-2963-DF349A1534CE}"/>
            </a:ext>
          </a:extLst>
        </xdr:cNvPr>
        <xdr:cNvPicPr>
          <a:picLocks noChangeAspect="1"/>
        </xdr:cNvPicPr>
      </xdr:nvPicPr>
      <xdr:blipFill>
        <a:blip xmlns:r="http://schemas.openxmlformats.org/officeDocument/2006/relationships" r:embed="rId2"/>
        <a:stretch>
          <a:fillRect/>
        </a:stretch>
      </xdr:blipFill>
      <xdr:spPr>
        <a:xfrm>
          <a:off x="5486400" y="342900"/>
          <a:ext cx="4114286" cy="4971429"/>
        </a:xfrm>
        <a:prstGeom prst="rect">
          <a:avLst/>
        </a:prstGeom>
      </xdr:spPr>
    </xdr:pic>
    <xdr:clientData/>
  </xdr:twoCellAnchor>
  <xdr:twoCellAnchor editAs="oneCell">
    <xdr:from>
      <xdr:col>15</xdr:col>
      <xdr:colOff>0</xdr:colOff>
      <xdr:row>2</xdr:row>
      <xdr:rowOff>0</xdr:rowOff>
    </xdr:from>
    <xdr:to>
      <xdr:col>20</xdr:col>
      <xdr:colOff>494809</xdr:colOff>
      <xdr:row>30</xdr:row>
      <xdr:rowOff>18448</xdr:rowOff>
    </xdr:to>
    <xdr:pic>
      <xdr:nvPicPr>
        <xdr:cNvPr id="4" name="图片 3">
          <a:extLst>
            <a:ext uri="{FF2B5EF4-FFF2-40B4-BE49-F238E27FC236}">
              <a16:creationId xmlns:a16="http://schemas.microsoft.com/office/drawing/2014/main" id="{AE46C748-5F7C-6770-29B2-10AD93C68DD2}"/>
            </a:ext>
          </a:extLst>
        </xdr:cNvPr>
        <xdr:cNvPicPr>
          <a:picLocks noChangeAspect="1"/>
        </xdr:cNvPicPr>
      </xdr:nvPicPr>
      <xdr:blipFill>
        <a:blip xmlns:r="http://schemas.openxmlformats.org/officeDocument/2006/relationships" r:embed="rId3"/>
        <a:stretch>
          <a:fillRect/>
        </a:stretch>
      </xdr:blipFill>
      <xdr:spPr>
        <a:xfrm>
          <a:off x="10287000" y="342900"/>
          <a:ext cx="3923809" cy="4819048"/>
        </a:xfrm>
        <a:prstGeom prst="rect">
          <a:avLst/>
        </a:prstGeom>
      </xdr:spPr>
    </xdr:pic>
    <xdr:clientData/>
  </xdr:twoCellAnchor>
  <xdr:twoCellAnchor editAs="oneCell">
    <xdr:from>
      <xdr:col>21</xdr:col>
      <xdr:colOff>0</xdr:colOff>
      <xdr:row>2</xdr:row>
      <xdr:rowOff>0</xdr:rowOff>
    </xdr:from>
    <xdr:to>
      <xdr:col>26</xdr:col>
      <xdr:colOff>590048</xdr:colOff>
      <xdr:row>43</xdr:row>
      <xdr:rowOff>8645</xdr:rowOff>
    </xdr:to>
    <xdr:pic>
      <xdr:nvPicPr>
        <xdr:cNvPr id="5" name="图片 4">
          <a:extLst>
            <a:ext uri="{FF2B5EF4-FFF2-40B4-BE49-F238E27FC236}">
              <a16:creationId xmlns:a16="http://schemas.microsoft.com/office/drawing/2014/main" id="{3AAFA544-F0E9-183A-FEEB-47F1B995E459}"/>
            </a:ext>
          </a:extLst>
        </xdr:cNvPr>
        <xdr:cNvPicPr>
          <a:picLocks noChangeAspect="1"/>
        </xdr:cNvPicPr>
      </xdr:nvPicPr>
      <xdr:blipFill>
        <a:blip xmlns:r="http://schemas.openxmlformats.org/officeDocument/2006/relationships" r:embed="rId4"/>
        <a:stretch>
          <a:fillRect/>
        </a:stretch>
      </xdr:blipFill>
      <xdr:spPr>
        <a:xfrm>
          <a:off x="14401800" y="342900"/>
          <a:ext cx="4019048" cy="7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9579;&#28165;&#38597;\2024\2024-1-0353-F01-&#38376;&#40594;&#24658;&#20016;&#30408;&#22320;&#22823;&#21414;\F01HDZC2\&#26368;&#32456;\2024-1-0353-F01-&#30408;&#22320;&#22823;&#21414;.xlsx" TargetMode="External"/><Relationship Id="rId1" Type="http://schemas.openxmlformats.org/officeDocument/2006/relationships/externalLinkPath" Target="file:///D:\&#29579;&#28165;&#38597;\2024\2024-1-0353-F01-&#38376;&#40594;&#24658;&#20016;&#30408;&#22320;&#22823;&#21414;\F01HDZC2\&#26368;&#32456;\2024-1-0353-F01-&#30408;&#22320;&#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清单"/>
      <sheetName val="估价对象房地状况"/>
      <sheetName val="系统读取表"/>
      <sheetName val="结果表"/>
      <sheetName val="成本法"/>
      <sheetName val="成本法 (元)"/>
      <sheetName val="假设开发法"/>
      <sheetName val="基准地价（汇总）"/>
      <sheetName val="基准地价修正"/>
      <sheetName val="基准地价修正 (2)"/>
      <sheetName val="收益法（汇总）"/>
      <sheetName val="收益法-办公"/>
      <sheetName val="收益法 (元)"/>
      <sheetName val="收益法-酒店模型"/>
      <sheetName val="收益法-商业"/>
      <sheetName val="收益法-车库"/>
      <sheetName val="比较法-住宅"/>
      <sheetName val="比较法-商业"/>
      <sheetName val="比较法-办公"/>
      <sheetName val="Sheet2"/>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 (2)</v>
          </cell>
        </row>
        <row r="20">
          <cell r="A20" t="str">
            <v>食堂</v>
          </cell>
          <cell r="B20" t="str">
            <v>收益法-办公</v>
          </cell>
        </row>
        <row r="21">
          <cell r="A21" t="str">
            <v>车库</v>
          </cell>
          <cell r="B21" t="str">
            <v>收益法-商业</v>
          </cell>
        </row>
        <row r="22">
          <cell r="A22" t="str">
            <v>戊类库房</v>
          </cell>
          <cell r="B22" t="str">
            <v>收益法-车库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row r="20">
          <cell r="C20" t="str">
            <v>商业</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cell r="D62" t="str">
            <v>挂牌</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v>
          </cell>
        </row>
        <row r="117">
          <cell r="B117" t="str">
            <v>市政基础设施</v>
          </cell>
        </row>
        <row r="119">
          <cell r="B119" t="str">
            <v>层高</v>
          </cell>
          <cell r="C119" t="str">
            <v>标准层高</v>
          </cell>
        </row>
        <row r="123">
          <cell r="B123" t="str">
            <v>内部装修</v>
          </cell>
          <cell r="C123" t="str">
            <v>精装修</v>
          </cell>
          <cell r="D123" t="str">
            <v>普装</v>
          </cell>
          <cell r="E123" t="str">
            <v>简装</v>
          </cell>
          <cell r="F123" t="str">
            <v>毛坯</v>
          </cell>
        </row>
      </sheetData>
      <sheetData sheetId="34"/>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估价对象为北京市房地产，为所有。根据《国有土地使用证》[]，估价对象（分摊）出让国有建设用地使用权面积为5746.62平方米，建筑面积为46189.05平方米。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估价对象为北京市房地产,属开发建设的，该项目尚在开发建设中。根据《国有土地使用证》[]，估价对象（分摊）出让国有建设用地使用权面积为5746.62平方米，规划建筑面积为46189.05平方米。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2025年6月18日</v>
      </c>
    </row>
    <row r="13" spans="1:2">
      <c r="A13" s="1119" t="s">
        <v>529</v>
      </c>
      <c r="B13" s="1120"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175531</v>
      </c>
    </row>
    <row r="21" spans="1:2">
      <c r="A21" s="1119" t="s">
        <v>537</v>
      </c>
      <c r="B21" s="1120">
        <f ca="1">'预评函-2'!D7</f>
        <v>38003</v>
      </c>
    </row>
    <row r="22" spans="1:2">
      <c r="A22" s="1119" t="s">
        <v>538</v>
      </c>
      <c r="B22" s="1120" t="str">
        <f ca="1">'预评函-2'!D6</f>
        <v>壹拾柒亿伍仟伍佰叁拾壹万元整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175531</v>
      </c>
    </row>
    <row r="31" spans="1:2">
      <c r="A31" s="1119" t="s">
        <v>576</v>
      </c>
      <c r="B31" s="1120">
        <f ca="1">'预评函-2'!D15</f>
        <v>38003</v>
      </c>
    </row>
    <row r="32" spans="1:2">
      <c r="A32" s="1119" t="s">
        <v>543</v>
      </c>
      <c r="B32" s="1120" t="str">
        <f ca="1">'预评函-2'!D14</f>
        <v>壹拾柒亿伍仟伍佰叁拾壹万元整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46189.05</v>
      </c>
    </row>
    <row r="44" spans="1:2">
      <c r="A44" s="1119" t="s">
        <v>575</v>
      </c>
      <c r="B44" s="1120" t="str">
        <f>'预评函-3'!C2</f>
        <v>(分摊)土地面积</v>
      </c>
    </row>
    <row r="45" spans="1:2">
      <c r="A45" s="1119" t="s">
        <v>547</v>
      </c>
      <c r="B45" s="1120">
        <f>'预评函-3'!C4</f>
        <v>5746.62</v>
      </c>
    </row>
    <row r="46" spans="1:2">
      <c r="A46" s="1119" t="s">
        <v>573</v>
      </c>
      <c r="B46" s="1120" t="str">
        <f>'预评函-3'!D2</f>
        <v>出让国有建设用地使用权价值</v>
      </c>
    </row>
    <row r="47" spans="1:2">
      <c r="A47" s="1119" t="s">
        <v>548</v>
      </c>
      <c r="B47" s="1120">
        <f ca="1">'预评函-3'!D4</f>
        <v>147973</v>
      </c>
    </row>
    <row r="48" spans="1:2">
      <c r="A48" s="1119" t="s">
        <v>549</v>
      </c>
      <c r="B48" s="1120">
        <f ca="1">'预评函-3'!E4</f>
        <v>32037</v>
      </c>
    </row>
    <row r="49" spans="1:2">
      <c r="A49" s="1119" t="s">
        <v>550</v>
      </c>
      <c r="B49" s="1120" t="str">
        <f ca="1">'预评函-3'!D5</f>
        <v>壹拾肆亿柒仟玖佰柒拾叁万元整</v>
      </c>
    </row>
    <row r="50" spans="1:2">
      <c r="A50" s="1119" t="s">
        <v>574</v>
      </c>
      <c r="B50" s="1120" t="str">
        <f>'预评函-3'!F2</f>
        <v>在建建筑物价值</v>
      </c>
    </row>
    <row r="51" spans="1:2">
      <c r="A51" s="1119" t="s">
        <v>551</v>
      </c>
      <c r="B51" s="1120">
        <f ca="1">'预评函-3'!F4</f>
        <v>27558</v>
      </c>
    </row>
    <row r="52" spans="1:2">
      <c r="A52" s="1119" t="s">
        <v>552</v>
      </c>
      <c r="B52" s="1120">
        <f ca="1">'预评函-3'!G4</f>
        <v>5966</v>
      </c>
    </row>
    <row r="53" spans="1:2">
      <c r="A53" s="1119" t="s">
        <v>580</v>
      </c>
      <c r="B53" s="1120" t="str">
        <f ca="1">'预评函-3'!F5</f>
        <v>贰亿柒仟伍佰伍拾捌万元整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3412</v>
      </c>
      <c r="C19" s="1442"/>
    </row>
    <row r="20" spans="1:3">
      <c r="A20" s="1441" t="s">
        <v>1048</v>
      </c>
      <c r="B20" s="1441" t="s">
        <v>3414</v>
      </c>
      <c r="C20" s="1442"/>
    </row>
    <row r="21" spans="1:3">
      <c r="A21" s="1441" t="s">
        <v>1049</v>
      </c>
      <c r="B21" s="1444" t="s">
        <v>3466</v>
      </c>
      <c r="C21" s="1442"/>
    </row>
    <row r="22" spans="1:3">
      <c r="A22" s="1441" t="s">
        <v>1050</v>
      </c>
      <c r="B22" s="1444" t="s">
        <v>3467</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34" zoomScaleNormal="100" workbookViewId="0">
      <selection activeCell="C54" sqref="C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6" t="s">
        <v>2579</v>
      </c>
      <c r="J2" s="3216"/>
      <c r="K2" s="3216"/>
      <c r="L2" s="3216"/>
      <c r="M2" s="3216"/>
      <c r="N2" s="3216"/>
      <c r="O2" s="3216"/>
      <c r="P2" s="3216"/>
      <c r="Q2" s="3216"/>
      <c r="R2" s="3216"/>
    </row>
    <row r="3" spans="1:18">
      <c r="A3" s="2763" t="s">
        <v>2500</v>
      </c>
      <c r="B3" s="2764">
        <f>项目基本情况!D3</f>
        <v>45826</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11.51</v>
      </c>
      <c r="D6" s="2768">
        <f>IF(ISERROR(ROUND(POWER(1+E6,A6-C6)*(POWER(1+E6,C6)-1)/(POWER(1+E6,A6)-1),3)),0,ROUND(POWER(1+E6,A6-C6)*(POWER(1+E6,C6)-1)/(POWER(1+E6,A6)-1),4))</f>
        <v>0.42280000000000001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47689.049999999996</v>
      </c>
      <c r="C51" s="3146">
        <f>D51/B51</f>
        <v>3306.0519133847292</v>
      </c>
      <c r="D51" s="2765">
        <f>D52+D53</f>
        <v>157662475</v>
      </c>
    </row>
    <row r="52" spans="1:4">
      <c r="A52" s="3147" t="s">
        <v>3392</v>
      </c>
      <c r="B52" s="3148">
        <f>'数据-基础表'!I5+'数据-基础表'!K5</f>
        <v>32313.109999999997</v>
      </c>
      <c r="C52" s="3148">
        <v>2500</v>
      </c>
      <c r="D52" s="3149">
        <f>C52*B52</f>
        <v>80782774.999999985</v>
      </c>
    </row>
    <row r="53" spans="1:4">
      <c r="A53" s="3147" t="s">
        <v>3393</v>
      </c>
      <c r="B53" s="3148">
        <f>'数据-基础表'!M5+'数据-基础表'!O5</f>
        <v>15375.94</v>
      </c>
      <c r="C53" s="3148">
        <v>5000</v>
      </c>
      <c r="D53" s="3149">
        <f>C53*B53</f>
        <v>76879700</v>
      </c>
    </row>
    <row r="54" spans="1:4">
      <c r="A54" s="3145" t="s">
        <v>3394</v>
      </c>
      <c r="B54" s="2765">
        <f>B51</f>
        <v>47689.049999999996</v>
      </c>
      <c r="C54" s="2771">
        <v>1000</v>
      </c>
      <c r="D54" s="2765">
        <f t="shared" ref="D54:D55" si="5">C54*B54</f>
        <v>47689049.999999993</v>
      </c>
    </row>
    <row r="55" spans="1:4">
      <c r="A55" s="3145" t="s">
        <v>3395</v>
      </c>
      <c r="B55" s="2765">
        <f>B51</f>
        <v>47689.049999999996</v>
      </c>
      <c r="C55" s="2771">
        <v>500</v>
      </c>
      <c r="D55" s="2765">
        <f t="shared" si="5"/>
        <v>23844524.999999996</v>
      </c>
    </row>
    <row r="56" spans="1:4">
      <c r="A56" s="3145" t="s">
        <v>3396</v>
      </c>
      <c r="B56" s="2765">
        <f>B51</f>
        <v>47689.049999999996</v>
      </c>
      <c r="C56" s="3150">
        <f>C51+C54+C55</f>
        <v>4806.0519133847292</v>
      </c>
      <c r="D56" s="2765">
        <f>D51+D54+D55</f>
        <v>229196050</v>
      </c>
    </row>
    <row r="58" spans="1:4">
      <c r="A58" s="3145" t="s">
        <v>3397</v>
      </c>
      <c r="B58" s="3151">
        <v>0.03</v>
      </c>
      <c r="C58" s="2765">
        <f>C56*(1+B58)</f>
        <v>4950.233470786271</v>
      </c>
      <c r="D58" s="2765">
        <f>D56*B58</f>
        <v>6875881.5</v>
      </c>
    </row>
    <row r="60" spans="1:4">
      <c r="A60" s="3145" t="s">
        <v>3398</v>
      </c>
      <c r="B60" s="2771">
        <v>3500</v>
      </c>
      <c r="C60" s="2771">
        <f>C53</f>
        <v>5000</v>
      </c>
      <c r="D60" s="2765">
        <f>C60*B60</f>
        <v>17500000</v>
      </c>
    </row>
    <row r="62" spans="1:4">
      <c r="A62" s="3145" t="s">
        <v>3399</v>
      </c>
      <c r="B62" s="2771">
        <f>B51</f>
        <v>47689.049999999996</v>
      </c>
      <c r="C62" s="3152">
        <f>D62/B62</f>
        <v>5317.1940204302673</v>
      </c>
      <c r="D62" s="2771">
        <f>D56+D58+D60</f>
        <v>253571931.5</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3417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3415</v>
      </c>
      <c r="C8" s="2201"/>
      <c r="D8" s="3220" t="s">
        <v>2176</v>
      </c>
      <c r="E8" s="2202" t="s">
        <v>3416</v>
      </c>
      <c r="F8" s="2203"/>
      <c r="G8" s="2442"/>
      <c r="H8" s="2442"/>
      <c r="I8" s="2442"/>
      <c r="J8" s="2245"/>
      <c r="K8" s="2400"/>
      <c r="L8" s="2399"/>
      <c r="M8" s="2399"/>
      <c r="N8" s="2245"/>
      <c r="O8" s="1670"/>
      <c r="P8" s="2245"/>
      <c r="Q8" s="2245"/>
      <c r="R8" s="2245"/>
    </row>
    <row r="9" spans="1:30" ht="13.5" thickBot="1">
      <c r="A9" s="2204" t="s">
        <v>2177</v>
      </c>
      <c r="B9" s="2205" t="s">
        <v>3416</v>
      </c>
      <c r="C9" s="2206"/>
      <c r="D9" s="3221"/>
      <c r="E9" s="2205"/>
      <c r="F9" s="2207"/>
      <c r="G9" s="2443"/>
      <c r="H9" s="2443"/>
      <c r="I9" s="2443"/>
      <c r="J9" s="2245"/>
      <c r="K9" s="2402"/>
      <c r="L9" s="2399"/>
      <c r="M9" s="2399"/>
      <c r="N9" s="2245"/>
      <c r="O9" s="1670"/>
      <c r="P9" s="2245"/>
      <c r="Q9" s="2245"/>
      <c r="R9" s="2245"/>
    </row>
    <row r="10" spans="1:30" ht="13.5" thickTop="1">
      <c r="A10" s="2208" t="s">
        <v>2178</v>
      </c>
      <c r="B10" s="2209" t="s">
        <v>3418</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3419</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v>52065</v>
      </c>
      <c r="E13" s="803">
        <v>55718</v>
      </c>
      <c r="F13" s="803">
        <f>E13</f>
        <v>55718</v>
      </c>
      <c r="G13" s="803"/>
      <c r="H13" s="803"/>
      <c r="I13" s="803"/>
      <c r="J13" s="2803"/>
      <c r="K13" s="2399"/>
      <c r="L13" s="2399"/>
      <c r="M13" s="2245"/>
      <c r="N13" s="1670"/>
      <c r="O13" s="2245"/>
      <c r="P13" s="2245"/>
      <c r="Q13" s="2245"/>
      <c r="AD13" s="1618"/>
    </row>
    <row r="14" spans="1:30">
      <c r="A14" s="1018"/>
      <c r="B14" s="2218" t="s">
        <v>2190</v>
      </c>
      <c r="C14" s="2219"/>
      <c r="D14" s="2219">
        <v>40</v>
      </c>
      <c r="E14" s="2219">
        <v>50</v>
      </c>
      <c r="F14" s="2219">
        <v>50</v>
      </c>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f>IF(A13="出让",IF(D13="","",ROUNDDOWN(MIN((D13-$D$3)/365,D14),2)),D14)</f>
        <v>17.09</v>
      </c>
      <c r="E15" s="2221">
        <f>IF(A13="出让",IF(E13="","",ROUNDDOWN(MIN((E13-$D$3)/365,E14),2)),E14)</f>
        <v>27.1</v>
      </c>
      <c r="F15" s="2221">
        <f>IF(A13="出让",IF(F13="","",ROUNDDOWN(MIN((F13-$D$3)/365,F14),2)),F14)</f>
        <v>27.1</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7"/>
      <c r="C16" s="3228"/>
      <c r="D16" s="3229"/>
      <c r="E16" s="2222" t="s">
        <v>2193</v>
      </c>
      <c r="F16" s="3230"/>
      <c r="G16" s="3231"/>
      <c r="H16" s="3231"/>
      <c r="I16" s="3232"/>
      <c r="J16" s="2245"/>
      <c r="K16" s="2403"/>
      <c r="L16" s="1670"/>
      <c r="M16" s="1670"/>
      <c r="N16" s="2245"/>
      <c r="O16" s="1670"/>
      <c r="P16" s="2245"/>
      <c r="Q16" s="2245"/>
      <c r="R16" s="2245"/>
    </row>
    <row r="17" spans="1:28">
      <c r="A17" s="305" t="s">
        <v>2194</v>
      </c>
      <c r="B17" s="294" t="s">
        <v>2195</v>
      </c>
      <c r="C17" s="8">
        <f>'数据-汇总表'!E3</f>
        <v>46189.05</v>
      </c>
      <c r="D17" s="1256" t="s">
        <v>2196</v>
      </c>
      <c r="E17" s="3233" t="s">
        <v>2197</v>
      </c>
      <c r="F17" s="3234"/>
      <c r="G17" s="3234"/>
      <c r="H17" s="3234"/>
      <c r="I17" s="3235"/>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5746.62</v>
      </c>
      <c r="D18" s="1029" t="s">
        <v>2200</v>
      </c>
      <c r="E18" s="3236" t="s">
        <v>2201</v>
      </c>
      <c r="F18" s="3237"/>
      <c r="G18" s="3237"/>
      <c r="H18" s="3237"/>
      <c r="I18" s="3238"/>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3" t="s">
        <v>2205</v>
      </c>
      <c r="C20" s="3224"/>
      <c r="D20" s="3225" t="s">
        <v>2206</v>
      </c>
      <c r="E20" s="3226"/>
      <c r="F20" s="2430" t="s">
        <v>1056</v>
      </c>
      <c r="G20" s="2442"/>
      <c r="H20" s="2442"/>
      <c r="I20" s="2442"/>
      <c r="J20" s="2245"/>
      <c r="K20" s="322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0"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0"/>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0"/>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1"/>
      <c r="B30" s="294" t="s">
        <v>2217</v>
      </c>
      <c r="C30" s="3242"/>
      <c r="D30" s="3243"/>
      <c r="E30" s="2442"/>
      <c r="F30" s="2442"/>
      <c r="G30" s="2442"/>
      <c r="H30" s="2442"/>
      <c r="I30" s="2442"/>
      <c r="J30" s="2245"/>
      <c r="K30" s="2402"/>
      <c r="L30" s="2399"/>
      <c r="M30" s="2399"/>
      <c r="N30" s="2245"/>
      <c r="O30" s="1670"/>
      <c r="P30" s="2245"/>
      <c r="Q30" s="2245"/>
      <c r="R30" s="2245"/>
      <c r="S30" s="2245"/>
      <c r="T30" s="2245"/>
      <c r="U30" s="2245"/>
      <c r="V30" s="2245"/>
    </row>
    <row r="31" spans="1:28">
      <c r="A31" s="3244"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39" t="s">
        <v>2227</v>
      </c>
      <c r="T34" s="315" t="str">
        <f>NUMBERSTRING(7-K34,1)&amp;"通"</f>
        <v>七通</v>
      </c>
      <c r="U34" s="2245"/>
      <c r="V34" s="2245"/>
    </row>
    <row r="35" spans="1:30">
      <c r="A35" s="2236"/>
      <c r="B35" s="3239" t="s">
        <v>2228</v>
      </c>
      <c r="C35" s="3239"/>
      <c r="D35" s="3239"/>
      <c r="E35" s="323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t="s">
        <v>144</v>
      </c>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t="s">
        <v>137</v>
      </c>
      <c r="C38" s="2238" t="s">
        <v>137</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面积清单!$J$33</f>
        <v>5933.24</v>
      </c>
      <c r="B3" s="11">
        <f>IF(C3="否",G5-AT5,G5)</f>
        <v>47689.05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47689.05</v>
      </c>
      <c r="H5" s="13">
        <f t="shared" ref="H5:AT5" si="0">SUM(H13:H656)</f>
        <v>47689.05</v>
      </c>
      <c r="I5" s="13">
        <f t="shared" si="0"/>
        <v>28473.949999999997</v>
      </c>
      <c r="J5" s="13">
        <f t="shared" si="0"/>
        <v>0</v>
      </c>
      <c r="K5" s="13">
        <f t="shared" si="0"/>
        <v>3839.16</v>
      </c>
      <c r="L5" s="13">
        <f t="shared" si="0"/>
        <v>0</v>
      </c>
      <c r="M5" s="13">
        <f t="shared" si="0"/>
        <v>4318.3500000000004</v>
      </c>
      <c r="N5" s="13">
        <f t="shared" si="0"/>
        <v>0</v>
      </c>
      <c r="O5" s="13">
        <f t="shared" si="0"/>
        <v>11057.59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46189.05</v>
      </c>
      <c r="BA5" s="15">
        <f t="shared" si="1"/>
        <v>46189.05</v>
      </c>
      <c r="BB5" s="15">
        <f t="shared" si="1"/>
        <v>27823.949999999997</v>
      </c>
      <c r="BC5" s="15">
        <f t="shared" si="1"/>
        <v>3439.16</v>
      </c>
      <c r="BD5" s="15">
        <f t="shared" si="1"/>
        <v>4318.3500000000004</v>
      </c>
      <c r="BE5" s="15">
        <f t="shared" si="1"/>
        <v>10607.59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5933.24</v>
      </c>
      <c r="F6" s="13" t="s">
        <v>0</v>
      </c>
      <c r="G6" s="13" t="s">
        <v>1</v>
      </c>
      <c r="H6" s="17">
        <f>SUMIF(I$12:AB$12,"总值",I6:AB6)</f>
        <v>5933.24</v>
      </c>
      <c r="I6" s="13">
        <f t="shared" ref="I6:AB6" si="2">ROUND($A$3*I5/$B$3,2)</f>
        <v>3542.59</v>
      </c>
      <c r="J6" s="13">
        <f t="shared" si="2"/>
        <v>0</v>
      </c>
      <c r="K6" s="13">
        <f t="shared" si="2"/>
        <v>477.65</v>
      </c>
      <c r="L6" s="13">
        <f t="shared" si="2"/>
        <v>0</v>
      </c>
      <c r="M6" s="13">
        <f t="shared" si="2"/>
        <v>537.27</v>
      </c>
      <c r="N6" s="13">
        <f t="shared" si="2"/>
        <v>0</v>
      </c>
      <c r="O6" s="13">
        <f t="shared" si="2"/>
        <v>1375.73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5746.62</v>
      </c>
      <c r="AZ6" s="13" t="s">
        <v>2</v>
      </c>
      <c r="BA6" s="13">
        <f>ROUND($AY$6*BA5/$AZ$5,2)</f>
        <v>5746.62</v>
      </c>
      <c r="BB6" s="13">
        <f>ROUND($AY$6*BB5/$AZ$5,2)</f>
        <v>3461.72</v>
      </c>
      <c r="BC6" s="13">
        <f t="shared" ref="BC6:BH6" si="4">ROUND($AY$6*BC5/$AZ$5,2)</f>
        <v>427.88</v>
      </c>
      <c r="BD6" s="13">
        <f t="shared" si="4"/>
        <v>537.27</v>
      </c>
      <c r="BE6" s="13">
        <f t="shared" si="4"/>
        <v>1319.75</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3453</v>
      </c>
      <c r="J9" s="761"/>
      <c r="K9" s="1491" t="s">
        <v>3453</v>
      </c>
      <c r="L9" s="761"/>
      <c r="M9" s="1491" t="s">
        <v>3454</v>
      </c>
      <c r="N9" s="761"/>
      <c r="O9" s="1491" t="s">
        <v>3454</v>
      </c>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t="s">
        <v>673</v>
      </c>
      <c r="L10" s="761"/>
      <c r="M10" s="1497" t="s">
        <v>673</v>
      </c>
      <c r="N10" s="761"/>
      <c r="O10" s="1497" t="s">
        <v>3455</v>
      </c>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商业</v>
      </c>
      <c r="BD11" s="1487" t="str">
        <f>M10</f>
        <v>商业</v>
      </c>
      <c r="BE11" s="1487" t="str">
        <f>O10</f>
        <v>车库—办公</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3451</v>
      </c>
      <c r="E13" s="13">
        <f>IF($C$3="是",ROUND($A$3*G13/$B$3,2),ROUND($A$3*(G13-AT13)/$B$3,2))</f>
        <v>5746.62</v>
      </c>
      <c r="F13" s="29"/>
      <c r="G13" s="30">
        <f>H13+AC13+AT13</f>
        <v>46189.05</v>
      </c>
      <c r="H13" s="17">
        <f>SUMIF(I$12:AB$12,"总值",I13:AB13)</f>
        <v>46189.05</v>
      </c>
      <c r="I13" s="1514">
        <f>面积清单!K6+面积清单!K8+面积清单!K9+面积清单!K10+面积清单!K11+面积清单!K13</f>
        <v>27823.949999999997</v>
      </c>
      <c r="J13" s="1514"/>
      <c r="K13" s="1514">
        <f>面积清单!K14</f>
        <v>3439.16</v>
      </c>
      <c r="L13" s="1514"/>
      <c r="M13" s="1514">
        <f>面积清单!K15</f>
        <v>4318.3500000000004</v>
      </c>
      <c r="N13" s="1514"/>
      <c r="O13" s="1514">
        <f>面积清单!K16+面积清单!K17</f>
        <v>10607.59</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5746.62</v>
      </c>
      <c r="AZ13" s="13">
        <f>BA13+BL13</f>
        <v>46189.05</v>
      </c>
      <c r="BA13" s="13">
        <f>SUM(BB13:BK13)</f>
        <v>46189.05</v>
      </c>
      <c r="BB13" s="13">
        <f>IF($D13="是",I13-J13,0)</f>
        <v>27823.949999999997</v>
      </c>
      <c r="BC13" s="13">
        <f>IF($D13="是",K13-L13,0)</f>
        <v>3439.16</v>
      </c>
      <c r="BD13" s="13">
        <f>IF($D13="是",M13-N13,0)</f>
        <v>4318.3500000000004</v>
      </c>
      <c r="BE13" s="13">
        <f>IF($D13="是",O13-P13,0)</f>
        <v>10607.59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3452</v>
      </c>
      <c r="E14" s="13">
        <f>IF($C$3="是",ROUND($A$3*G14/$B$3,2),ROUND($A$3*(G14-AT14)/$B$3,2))</f>
        <v>186.62</v>
      </c>
      <c r="F14" s="29"/>
      <c r="G14" s="30">
        <f>H14+AC14+AT14</f>
        <v>1500</v>
      </c>
      <c r="H14" s="17">
        <f>SUMIF(I$12:AB$12,"总值",I14:AB14)</f>
        <v>1500</v>
      </c>
      <c r="I14" s="1514">
        <v>650</v>
      </c>
      <c r="J14" s="1514"/>
      <c r="K14" s="1514">
        <v>400</v>
      </c>
      <c r="L14" s="1514"/>
      <c r="M14" s="1514"/>
      <c r="N14" s="1514"/>
      <c r="O14" s="1514">
        <v>450</v>
      </c>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36" sqref="H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f>'数据-基础表'!AY6</f>
        <v>5746.62</v>
      </c>
      <c r="E3" s="41">
        <f>'数据-基础表'!AZ5</f>
        <v>46189.05</v>
      </c>
      <c r="F3" s="2439"/>
      <c r="G3" s="42"/>
      <c r="H3" s="43" t="s">
        <v>1106</v>
      </c>
      <c r="I3" s="802">
        <f>ROUND('数据-基础表'!B3/'数据-基础表'!A3,2)</f>
        <v>8.0399999999999991</v>
      </c>
      <c r="J3" s="2439"/>
      <c r="K3" s="2439"/>
      <c r="L3" s="2439"/>
      <c r="M3" s="2439"/>
      <c r="N3" s="2440"/>
      <c r="O3" s="2439"/>
      <c r="P3" s="2439"/>
    </row>
    <row r="4" spans="1:16" ht="15">
      <c r="A4" s="3257"/>
      <c r="B4" s="3258"/>
      <c r="C4" s="3259"/>
      <c r="D4" s="1524" t="s">
        <v>1107</v>
      </c>
      <c r="E4" s="1525" t="s">
        <v>1108</v>
      </c>
      <c r="F4" s="2439"/>
      <c r="G4" s="2434" t="s">
        <v>1133</v>
      </c>
      <c r="H4" s="43" t="s">
        <v>1113</v>
      </c>
      <c r="I4" s="802">
        <f>ROUND(SUMIF('数据-基础表'!I9:AS9,"地上",'数据-基础表'!I5:AS5)/'数据-基础表'!A3,2)</f>
        <v>5.45</v>
      </c>
      <c r="J4" s="2439"/>
      <c r="K4" s="2439"/>
      <c r="L4" s="2439"/>
      <c r="M4" s="2439"/>
      <c r="N4" s="2440"/>
      <c r="O4" s="2439"/>
      <c r="P4" s="2439"/>
    </row>
    <row r="5" spans="1:16">
      <c r="A5" s="42" t="s">
        <v>1109</v>
      </c>
      <c r="B5" s="3260" t="s">
        <v>1110</v>
      </c>
      <c r="C5" s="3260"/>
      <c r="D5" s="43">
        <f>ROUND($D$3*E5/$E$3,2)</f>
        <v>0</v>
      </c>
      <c r="E5" s="44">
        <f>SUMIF('数据-基础表'!$11:$11,"住宅",'数据-基础表'!$5:$5)</f>
        <v>0</v>
      </c>
      <c r="F5" s="2439"/>
      <c r="G5" s="42"/>
      <c r="H5" s="43" t="s">
        <v>1106</v>
      </c>
      <c r="I5" s="802">
        <f>ROUND(E31/D31,2)</f>
        <v>8.0399999999999991</v>
      </c>
      <c r="J5" s="2439"/>
      <c r="K5" s="2439"/>
      <c r="L5" s="2439"/>
      <c r="M5" s="2439"/>
      <c r="N5" s="2439"/>
      <c r="O5" s="2439"/>
      <c r="P5" s="2439"/>
    </row>
    <row r="6" spans="1:16" ht="15" thickBot="1">
      <c r="A6" s="1527"/>
      <c r="B6" s="3260" t="s">
        <v>1111</v>
      </c>
      <c r="C6" s="3260"/>
      <c r="D6" s="43">
        <f>ROUND($D$3*E6/$E$3,2)</f>
        <v>5746.62</v>
      </c>
      <c r="E6" s="44">
        <f>E3-E5</f>
        <v>46189.05</v>
      </c>
      <c r="F6" s="2439"/>
      <c r="G6" s="1529" t="s">
        <v>1112</v>
      </c>
      <c r="H6" s="45" t="s">
        <v>1113</v>
      </c>
      <c r="I6" s="2435">
        <f>ROUND(F31/D31,2)</f>
        <v>5.44</v>
      </c>
      <c r="J6" s="2439"/>
      <c r="K6" s="2439"/>
      <c r="L6" s="2439"/>
      <c r="M6" s="2439"/>
      <c r="N6" s="2439"/>
      <c r="O6" s="2439"/>
      <c r="P6" s="2439"/>
    </row>
    <row r="7" spans="1:16" ht="15.75" thickBot="1">
      <c r="A7" s="3252"/>
      <c r="B7" s="3253"/>
      <c r="C7" s="3254"/>
      <c r="D7" s="1524" t="s">
        <v>1107</v>
      </c>
      <c r="E7" s="1528" t="s">
        <v>1114</v>
      </c>
      <c r="F7" s="2439"/>
      <c r="G7" s="2436" t="s">
        <v>1115</v>
      </c>
      <c r="H7" s="95"/>
      <c r="I7" s="2437">
        <v>5.45</v>
      </c>
      <c r="J7" s="2439"/>
      <c r="K7" s="2439"/>
      <c r="L7" s="2439"/>
      <c r="M7" s="2439"/>
      <c r="N7" s="2439"/>
      <c r="O7" s="2439"/>
      <c r="P7" s="2439"/>
    </row>
    <row r="8" spans="1:16">
      <c r="A8" s="42" t="s">
        <v>1116</v>
      </c>
      <c r="B8" s="45" t="s">
        <v>1117</v>
      </c>
      <c r="C8" s="43" t="s">
        <v>1118</v>
      </c>
      <c r="D8" s="43">
        <f t="shared" ref="D8:D15" si="0">ROUND($D$3*E8/$E$3,2)</f>
        <v>3889.61</v>
      </c>
      <c r="E8" s="46">
        <f>SUMIF('数据-基础表'!BB10:BK10,"地上",'数据-基础表'!BB5:BK5)</f>
        <v>31263.109999999997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537.27</v>
      </c>
      <c r="E10" s="46">
        <f>SUMPRODUCT(('数据-基础表'!BB10:BK10="地下")*('数据-基础表'!BB11:BK11="商业")*('数据-基础表'!BB5:BK5))</f>
        <v>4318.3500000000004</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1319.75</v>
      </c>
      <c r="E15" s="46">
        <f>SUMPRODUCT(('数据-基础表'!BB10:BK10="地下")*('数据-基础表'!BB11:BK11="车库—办公")*('数据-基础表'!BB5:BK5))</f>
        <v>10607.59</v>
      </c>
      <c r="F15" s="2439"/>
      <c r="G15" s="2439"/>
      <c r="H15" s="2439"/>
      <c r="I15" s="2439"/>
      <c r="J15" s="2439"/>
      <c r="K15" s="2439"/>
      <c r="L15" s="2439"/>
      <c r="M15" s="2439"/>
      <c r="N15" s="2439"/>
      <c r="O15" s="2439"/>
      <c r="P15" s="2439"/>
    </row>
    <row r="16" spans="1:16" ht="15.75" thickBot="1">
      <c r="A16" s="1527"/>
      <c r="B16" s="1530"/>
      <c r="C16" s="45" t="s">
        <v>1123</v>
      </c>
      <c r="D16" s="45">
        <f>SUM(D8:D15)</f>
        <v>5746.63</v>
      </c>
      <c r="E16" s="48">
        <f>SUM(E8:E15)</f>
        <v>46189.05</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3456</v>
      </c>
      <c r="D19" s="43">
        <f>ROUND($D$3*E19/$E$3,2)</f>
        <v>3461.72</v>
      </c>
      <c r="E19" s="51">
        <f t="shared" ref="E19:E26" si="1">SUM(F19:G19)</f>
        <v>27823.949999999997</v>
      </c>
      <c r="F19" s="2558">
        <f>'数据-基础表'!I13</f>
        <v>27823.949999999997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3461.72</v>
      </c>
      <c r="S19" s="51">
        <f t="shared" si="5"/>
        <v>27823.949999999997</v>
      </c>
    </row>
    <row r="20" spans="1:19">
      <c r="A20" s="1549"/>
      <c r="B20" s="45" t="s">
        <v>1153</v>
      </c>
      <c r="C20" s="3116" t="s">
        <v>3457</v>
      </c>
      <c r="D20" s="43">
        <f t="shared" ref="D20:D26" si="6">ROUND($D$3*E20/$E$3,2)</f>
        <v>965.15</v>
      </c>
      <c r="E20" s="51">
        <f t="shared" si="1"/>
        <v>7757.51</v>
      </c>
      <c r="F20" s="2558">
        <f>'数据-基础表'!K13</f>
        <v>3439.16</v>
      </c>
      <c r="G20" s="1243">
        <f>'数据-基础表'!M13</f>
        <v>4318.3500000000004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965.15</v>
      </c>
      <c r="S20" s="51">
        <f t="shared" si="5"/>
        <v>7757.51</v>
      </c>
    </row>
    <row r="21" spans="1:19">
      <c r="A21" s="1549"/>
      <c r="B21" s="45" t="s">
        <v>1153</v>
      </c>
      <c r="C21" s="3116" t="s">
        <v>3458</v>
      </c>
      <c r="D21" s="43">
        <f t="shared" si="6"/>
        <v>1319.75</v>
      </c>
      <c r="E21" s="51">
        <f t="shared" si="1"/>
        <v>10607.59</v>
      </c>
      <c r="F21" s="2558"/>
      <c r="G21" s="1243">
        <f>'数据-基础表'!O13</f>
        <v>10607.59</v>
      </c>
      <c r="H21" s="637">
        <f t="shared" si="7"/>
        <v>0</v>
      </c>
      <c r="I21" s="46">
        <f t="shared" si="2"/>
        <v>0</v>
      </c>
      <c r="J21" s="1071"/>
      <c r="K21" s="637">
        <f t="shared" si="3"/>
        <v>0</v>
      </c>
      <c r="L21" s="43">
        <f t="shared" si="4"/>
        <v>0</v>
      </c>
      <c r="M21" s="46">
        <f t="shared" si="8"/>
        <v>0</v>
      </c>
      <c r="N21" s="1550"/>
      <c r="O21" s="1551"/>
      <c r="P21" s="46">
        <f t="shared" si="9"/>
        <v>0</v>
      </c>
      <c r="R21" s="43">
        <f t="shared" si="5"/>
        <v>1319.75</v>
      </c>
      <c r="S21" s="51">
        <f t="shared" si="5"/>
        <v>10607.59</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5746.62</v>
      </c>
      <c r="E27" s="1073">
        <f>IF(SUM(E19:E26)='数据-基础表'!BA5,SUM(E19:E26),IF(F27="地上面积有误","面积有误","地下面积有误"))</f>
        <v>46189.05</v>
      </c>
      <c r="F27" s="1072">
        <f>IF(SUM(F19:F26)=E8,SUM(F19:F26),"地上面积有误")</f>
        <v>31263.109999999997</v>
      </c>
      <c r="G27" s="1074">
        <f>SUM(G19:G26)</f>
        <v>14925.94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5746.62</v>
      </c>
      <c r="S27" s="43">
        <f>IF(SUM(S19:S26)=$E$3,SUM(S19:S26),SUM(S19:S26)&amp;"误差"&amp;ROUND(SUM(S19:S26)-E3,2))</f>
        <v>46189.05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5746.62</v>
      </c>
      <c r="E31" s="643">
        <f>E27+E30</f>
        <v>46189.05</v>
      </c>
      <c r="F31" s="644">
        <f>F27+F30</f>
        <v>31263.109999999997</v>
      </c>
      <c r="G31" s="645">
        <f>G27+G30</f>
        <v>14925.94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164EC-4A04-40FB-B252-1653D15F58E7}">
  <dimension ref="B4:L35"/>
  <sheetViews>
    <sheetView topLeftCell="H1" workbookViewId="0">
      <selection activeCell="K13" sqref="K13"/>
    </sheetView>
  </sheetViews>
  <sheetFormatPr defaultColWidth="9" defaultRowHeight="14.25"/>
  <cols>
    <col min="1" max="2" width="9" style="3164"/>
    <col min="3" max="3" width="18" style="3164" customWidth="1"/>
    <col min="4" max="4" width="28" style="3164" customWidth="1"/>
    <col min="5" max="5" width="10.75" style="3164" customWidth="1"/>
    <col min="6" max="6" width="9.625" style="3164" customWidth="1"/>
    <col min="7" max="16384" width="9" style="3164"/>
  </cols>
  <sheetData>
    <row r="4" spans="2:12">
      <c r="B4" s="3163" t="s">
        <v>3420</v>
      </c>
      <c r="C4" s="3163" t="s">
        <v>3421</v>
      </c>
      <c r="D4" s="3163" t="s">
        <v>3422</v>
      </c>
      <c r="E4" s="3163" t="s">
        <v>3423</v>
      </c>
      <c r="F4" s="3163" t="s">
        <v>672</v>
      </c>
      <c r="G4" s="3163" t="s">
        <v>3424</v>
      </c>
    </row>
    <row r="5" spans="2:12">
      <c r="B5" s="3261">
        <v>1</v>
      </c>
      <c r="C5" s="3262" t="s">
        <v>3425</v>
      </c>
      <c r="D5" s="3163" t="s">
        <v>3426</v>
      </c>
      <c r="E5" s="3163">
        <v>6599.88</v>
      </c>
      <c r="F5" s="3163" t="s">
        <v>21</v>
      </c>
      <c r="G5" s="3165" t="s">
        <v>3427</v>
      </c>
    </row>
    <row r="6" spans="2:12">
      <c r="B6" s="3261"/>
      <c r="C6" s="3262"/>
      <c r="D6" s="3163" t="s">
        <v>3428</v>
      </c>
      <c r="E6" s="3163">
        <v>3684.9</v>
      </c>
      <c r="F6" s="3163" t="s">
        <v>21</v>
      </c>
      <c r="G6" s="3163">
        <v>6</v>
      </c>
      <c r="J6" s="3164">
        <v>9</v>
      </c>
      <c r="K6" s="3263">
        <f>E5</f>
        <v>6599.88</v>
      </c>
      <c r="L6" s="3164" t="s">
        <v>21</v>
      </c>
    </row>
    <row r="7" spans="2:12">
      <c r="B7" s="3261"/>
      <c r="C7" s="3262"/>
      <c r="D7" s="3163" t="s">
        <v>3429</v>
      </c>
      <c r="E7" s="3163">
        <v>641.71</v>
      </c>
      <c r="F7" s="3163" t="s">
        <v>21</v>
      </c>
      <c r="G7" s="3163">
        <v>5</v>
      </c>
      <c r="J7" s="3164">
        <v>8</v>
      </c>
      <c r="K7" s="3263"/>
      <c r="L7" s="3164" t="s">
        <v>21</v>
      </c>
    </row>
    <row r="8" spans="2:12">
      <c r="B8" s="3261"/>
      <c r="C8" s="3262"/>
      <c r="D8" s="3163" t="s">
        <v>3430</v>
      </c>
      <c r="E8" s="3163">
        <v>1383.41</v>
      </c>
      <c r="F8" s="3163" t="s">
        <v>21</v>
      </c>
      <c r="G8" s="3163">
        <v>2</v>
      </c>
      <c r="J8" s="3164">
        <v>7</v>
      </c>
      <c r="K8" s="3164">
        <f>E12</f>
        <v>3649.32</v>
      </c>
      <c r="L8" s="3164" t="s">
        <v>21</v>
      </c>
    </row>
    <row r="9" spans="2:12">
      <c r="B9" s="3261"/>
      <c r="C9" s="3262"/>
      <c r="D9" s="3163" t="s">
        <v>3431</v>
      </c>
      <c r="E9" s="3163">
        <v>3345.2</v>
      </c>
      <c r="F9" s="3163" t="s">
        <v>21</v>
      </c>
      <c r="G9" s="3163">
        <v>1</v>
      </c>
      <c r="J9" s="3164">
        <v>6</v>
      </c>
      <c r="K9" s="3164">
        <f>E6</f>
        <v>3684.9</v>
      </c>
      <c r="L9" s="3164" t="s">
        <v>21</v>
      </c>
    </row>
    <row r="10" spans="2:12">
      <c r="B10" s="3261"/>
      <c r="C10" s="3262"/>
      <c r="D10" s="3163" t="s">
        <v>3432</v>
      </c>
      <c r="E10" s="3163">
        <v>3826.8</v>
      </c>
      <c r="F10" s="3163" t="s">
        <v>21</v>
      </c>
      <c r="G10" s="3163">
        <v>-1</v>
      </c>
      <c r="J10" s="3164">
        <v>5</v>
      </c>
      <c r="K10" s="3164">
        <f>E17+E7</f>
        <v>3684.9</v>
      </c>
      <c r="L10" s="3164" t="s">
        <v>21</v>
      </c>
    </row>
    <row r="11" spans="2:12">
      <c r="B11" s="3261"/>
      <c r="C11" s="3262"/>
      <c r="D11" s="3163" t="s">
        <v>3433</v>
      </c>
      <c r="E11" s="3163">
        <v>6104.32</v>
      </c>
      <c r="F11" s="3163" t="s">
        <v>21</v>
      </c>
      <c r="G11" s="3163">
        <v>-2</v>
      </c>
      <c r="J11" s="3164">
        <v>4</v>
      </c>
      <c r="K11" s="3263">
        <f>E16</f>
        <v>7369.8</v>
      </c>
      <c r="L11" s="3164" t="s">
        <v>21</v>
      </c>
    </row>
    <row r="12" spans="2:12">
      <c r="B12" s="3261"/>
      <c r="C12" s="3262"/>
      <c r="D12" s="3163" t="s">
        <v>3434</v>
      </c>
      <c r="E12" s="3163">
        <v>3649.32</v>
      </c>
      <c r="F12" s="3163" t="s">
        <v>21</v>
      </c>
      <c r="G12" s="3163">
        <v>7</v>
      </c>
      <c r="J12" s="3164">
        <v>3</v>
      </c>
      <c r="K12" s="3263"/>
      <c r="L12" s="3164" t="s">
        <v>21</v>
      </c>
    </row>
    <row r="13" spans="2:12">
      <c r="B13" s="3261"/>
      <c r="C13" s="3262"/>
      <c r="D13" s="3163" t="s">
        <v>3435</v>
      </c>
      <c r="E13" s="3163">
        <v>382.9</v>
      </c>
      <c r="F13" s="3163" t="s">
        <v>21</v>
      </c>
      <c r="G13" s="3163">
        <v>1</v>
      </c>
      <c r="J13" s="3164">
        <v>2</v>
      </c>
      <c r="K13" s="3164">
        <f>E8+E15-650</f>
        <v>2835.1499999999996</v>
      </c>
      <c r="L13" s="3164" t="s">
        <v>21</v>
      </c>
    </row>
    <row r="14" spans="2:12">
      <c r="B14" s="3166" t="s">
        <v>3436</v>
      </c>
      <c r="C14" s="3166"/>
      <c r="D14" s="3166"/>
      <c r="E14" s="3166">
        <f>SUM(E5:E13)</f>
        <v>29618.440000000002</v>
      </c>
      <c r="F14" s="3166"/>
      <c r="G14" s="3166"/>
      <c r="J14" s="3164">
        <v>1</v>
      </c>
      <c r="K14" s="3164">
        <f>E9+E13+E22-400</f>
        <v>3439.16</v>
      </c>
      <c r="L14" s="3164" t="s">
        <v>673</v>
      </c>
    </row>
    <row r="15" spans="2:12">
      <c r="B15" s="3264">
        <v>2</v>
      </c>
      <c r="C15" s="3267" t="s">
        <v>3437</v>
      </c>
      <c r="D15" s="3163" t="s">
        <v>3438</v>
      </c>
      <c r="E15" s="3163">
        <v>2101.7399999999998</v>
      </c>
      <c r="F15" s="3163" t="s">
        <v>3439</v>
      </c>
      <c r="G15" s="3163">
        <v>2</v>
      </c>
      <c r="J15" s="3164">
        <v>-1</v>
      </c>
      <c r="K15" s="3164">
        <f>E10+E18+E19</f>
        <v>4318.3500000000004</v>
      </c>
      <c r="L15" s="3164" t="s">
        <v>673</v>
      </c>
    </row>
    <row r="16" spans="2:12">
      <c r="B16" s="3265"/>
      <c r="C16" s="3268"/>
      <c r="D16" s="3163" t="s">
        <v>3440</v>
      </c>
      <c r="E16" s="3163">
        <v>7369.8</v>
      </c>
      <c r="F16" s="3163" t="s">
        <v>3439</v>
      </c>
      <c r="G16" s="3165" t="s">
        <v>3441</v>
      </c>
      <c r="J16" s="3164">
        <v>-2</v>
      </c>
      <c r="K16" s="3164">
        <f>E11-450</f>
        <v>5654.32</v>
      </c>
      <c r="L16" s="3164" t="s">
        <v>3332</v>
      </c>
    </row>
    <row r="17" spans="2:12">
      <c r="B17" s="3265"/>
      <c r="C17" s="3268"/>
      <c r="D17" s="3163" t="s">
        <v>3442</v>
      </c>
      <c r="E17" s="3163">
        <v>3043.19</v>
      </c>
      <c r="F17" s="3163" t="s">
        <v>3439</v>
      </c>
      <c r="G17" s="3163">
        <v>5</v>
      </c>
      <c r="J17" s="3164">
        <v>-3</v>
      </c>
      <c r="K17" s="3164">
        <f>E20</f>
        <v>4953.2700000000004</v>
      </c>
      <c r="L17" s="3164" t="s">
        <v>3332</v>
      </c>
    </row>
    <row r="18" spans="2:12">
      <c r="B18" s="3265"/>
      <c r="C18" s="3268"/>
      <c r="D18" s="3163" t="s">
        <v>3443</v>
      </c>
      <c r="E18" s="3163">
        <v>185.77</v>
      </c>
      <c r="F18" s="3163" t="s">
        <v>3439</v>
      </c>
      <c r="G18" s="3163">
        <v>-1</v>
      </c>
      <c r="H18" s="3164" t="s">
        <v>3444</v>
      </c>
      <c r="K18" s="3167">
        <f>SUM(K6:K17)</f>
        <v>46189.05</v>
      </c>
    </row>
    <row r="19" spans="2:12">
      <c r="B19" s="3265"/>
      <c r="C19" s="3268"/>
      <c r="D19" s="3163" t="s">
        <v>3445</v>
      </c>
      <c r="E19" s="3163">
        <v>305.77999999999997</v>
      </c>
      <c r="F19" s="3163" t="s">
        <v>3439</v>
      </c>
      <c r="G19" s="3163">
        <v>-1</v>
      </c>
      <c r="H19" s="3164" t="s">
        <v>3444</v>
      </c>
    </row>
    <row r="20" spans="2:12">
      <c r="B20" s="3266"/>
      <c r="C20" s="3269"/>
      <c r="D20" s="3163" t="s">
        <v>3446</v>
      </c>
      <c r="E20" s="3163">
        <v>4953.2700000000004</v>
      </c>
      <c r="F20" s="3163" t="s">
        <v>3439</v>
      </c>
      <c r="G20" s="3163">
        <v>-3</v>
      </c>
      <c r="H20" s="3164" t="s">
        <v>3444</v>
      </c>
      <c r="K20" s="3164">
        <f>K16+K17</f>
        <v>10607.59</v>
      </c>
    </row>
    <row r="21" spans="2:12">
      <c r="B21" s="3166" t="s">
        <v>3436</v>
      </c>
      <c r="C21" s="3166"/>
      <c r="D21" s="3166"/>
      <c r="E21" s="3166">
        <f>SUM(E15:E20)</f>
        <v>17959.550000000003</v>
      </c>
      <c r="F21" s="3166"/>
      <c r="G21" s="3166"/>
      <c r="K21" s="3164">
        <f>K20/50</f>
        <v>212.15180000000001</v>
      </c>
    </row>
    <row r="22" spans="2:12" ht="28.5">
      <c r="B22" s="3168">
        <v>3</v>
      </c>
      <c r="C22" s="3169" t="s">
        <v>3447</v>
      </c>
      <c r="D22" s="3166" t="s">
        <v>3448</v>
      </c>
      <c r="E22" s="3166">
        <v>111.06</v>
      </c>
      <c r="F22" s="3166" t="s">
        <v>673</v>
      </c>
      <c r="G22" s="3166">
        <v>1</v>
      </c>
    </row>
    <row r="23" spans="2:12">
      <c r="E23" s="3164">
        <f>E14+E21+E22</f>
        <v>47689.05</v>
      </c>
    </row>
    <row r="30" spans="2:12">
      <c r="J30" s="3164">
        <v>2033.24</v>
      </c>
    </row>
    <row r="31" spans="2:12">
      <c r="J31" s="3164">
        <v>3885.43</v>
      </c>
    </row>
    <row r="32" spans="2:12">
      <c r="J32" s="3164">
        <v>14.57</v>
      </c>
    </row>
    <row r="33" spans="9:10">
      <c r="I33" s="3164" t="s">
        <v>3449</v>
      </c>
      <c r="J33" s="3167">
        <f>SUM(J30:J32)</f>
        <v>5933.24</v>
      </c>
    </row>
    <row r="35" spans="9:10">
      <c r="I35" s="3164" t="s">
        <v>3450</v>
      </c>
      <c r="J35" s="3164">
        <f>ROUND(K18/E23*J33,2)</f>
        <v>5746.62</v>
      </c>
    </row>
  </sheetData>
  <mergeCells count="6">
    <mergeCell ref="B5:B13"/>
    <mergeCell ref="C5:C13"/>
    <mergeCell ref="K6:K7"/>
    <mergeCell ref="K11:K12"/>
    <mergeCell ref="B15:B20"/>
    <mergeCell ref="C15:C20"/>
  </mergeCells>
  <phoneticPr fontId="134"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55718</v>
      </c>
      <c r="F6" s="61">
        <f>SUMIF(项目基本情况!C$12:I$12,C6,项目基本情况!C$15:I$15)</f>
        <v>27.1</v>
      </c>
      <c r="G6" s="62">
        <f>IF(ISERROR(ROUND(POWER(1+H6,D6-F6)*(POWER(1+H6,F6)-1)/(POWER(1+H6,D6)-1),3)),0,ROUND(POWER(1+H6,D6-F6)*(POWER(1+H6,F6)-1)/(POWER(1+H6,D6)-1),3))</f>
        <v>0.80400000000000005</v>
      </c>
      <c r="H6" s="691">
        <v>0.05</v>
      </c>
      <c r="I6" s="691">
        <v>5.5E-2</v>
      </c>
      <c r="J6" s="63">
        <v>7.0000000000000007E-2</v>
      </c>
      <c r="K6" s="970">
        <f>SUMIF('数据-汇总表'!C$19:C$33,A6,'数据-汇总表'!E$19:E$33)</f>
        <v>27823.949999999997</v>
      </c>
      <c r="L6" s="692">
        <v>5300</v>
      </c>
      <c r="M6" s="64">
        <f t="shared" ref="M6:M14" si="0">ROUND(K6*L6/10000,0)</f>
        <v>14747</v>
      </c>
      <c r="N6" s="690">
        <v>0.8</v>
      </c>
      <c r="O6" s="64" t="str">
        <f>IF($N$5="成新度","——",ROUND(M6*N6,0))</f>
        <v>——</v>
      </c>
      <c r="P6" s="65" t="str">
        <f>IF($N$5="成新度","——",M6-O6)</f>
        <v>——</v>
      </c>
      <c r="Q6" s="693">
        <v>0.2</v>
      </c>
      <c r="R6" s="66">
        <f ca="1">SUMIF('数据-汇总表'!C$19:C$33,A6,'数据-汇总表'!R$19:R$27)</f>
        <v>3461.72</v>
      </c>
      <c r="S6" s="49">
        <f>IF('数据-汇总表'!$I$17="按面积比例",SUMIF('数据-汇总表'!C$19:C$33,A6,'数据-汇总表'!K$19:K$33),SUMIF('数据-汇总表'!C$19:C$33,A6,'数据-汇总表'!N$19:N$33))</f>
        <v>0</v>
      </c>
      <c r="T6" s="1092">
        <f>ROUND($L$14*S6/10000,0)</f>
        <v>0</v>
      </c>
      <c r="U6" s="3127">
        <v>9.5</v>
      </c>
      <c r="V6" s="67">
        <v>2.5000000000000001E-2</v>
      </c>
      <c r="W6" s="67">
        <v>0.1</v>
      </c>
      <c r="X6" s="979"/>
      <c r="Y6" s="68">
        <f>N6</f>
        <v>0.8</v>
      </c>
      <c r="Z6" s="69"/>
      <c r="AA6" s="63"/>
      <c r="AB6" s="63"/>
      <c r="AC6" s="979"/>
      <c r="AD6" s="70"/>
      <c r="AE6" s="980">
        <f ca="1">IF(AN6="",0,SUMIF(INDIRECT("'"&amp;AN6&amp;"'"&amp;"!E:E"),$AE$5,INDIRECT("'"&amp;AN6&amp;"'"&amp;"!F:F")))</f>
        <v>27.1</v>
      </c>
      <c r="AF6" s="74"/>
      <c r="AG6" s="130">
        <f>IF(AF6="",0,AE6-AF6)</f>
        <v>0</v>
      </c>
      <c r="AH6" s="71"/>
      <c r="AI6" s="73">
        <v>365</v>
      </c>
      <c r="AJ6" s="74"/>
      <c r="AK6" s="75">
        <v>2E-3</v>
      </c>
      <c r="AL6" s="76">
        <v>1E-3</v>
      </c>
      <c r="AM6" s="77">
        <v>5.0000000000000001E-3</v>
      </c>
      <c r="AN6" s="1589" t="s">
        <v>3468</v>
      </c>
      <c r="AO6" s="50">
        <f ca="1">SUMIF(INDIRECT("'"&amp;AN6&amp;"'"&amp;"!A:A"),"总价",INDIRECT("'"&amp;AN6&amp;"'"&amp;"!B:B"))</f>
        <v>130025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52065</v>
      </c>
      <c r="F7" s="61">
        <f>SUMIF(项目基本情况!C$12:I$12,C7,项目基本情况!C$15:I$15)</f>
        <v>17.09</v>
      </c>
      <c r="G7" s="62">
        <f t="shared" ref="G7:G11" si="2">IF(ISERROR(ROUND(POWER(1+H7,D7-F7)*(POWER(1+H7,F7)-1)/(POWER(1+H7,D7)-1),3)),0,ROUND(POWER(1+H7,D7-F7)*(POWER(1+H7,F7)-1)/(POWER(1+H7,D7)-1),3))</f>
        <v>0.65900000000000003</v>
      </c>
      <c r="H7" s="691">
        <f>H6</f>
        <v>0.05</v>
      </c>
      <c r="I7" s="691">
        <f t="shared" ref="I7:J7" si="3">I6</f>
        <v>5.5E-2</v>
      </c>
      <c r="J7" s="691">
        <f t="shared" si="3"/>
        <v>7.0000000000000007E-2</v>
      </c>
      <c r="K7" s="970">
        <f>SUMIF('数据-汇总表'!C$19:C$33,A7,'数据-汇总表'!E$19:E$33)</f>
        <v>7757.51</v>
      </c>
      <c r="L7" s="692">
        <f>L6</f>
        <v>5300</v>
      </c>
      <c r="M7" s="64">
        <f t="shared" si="0"/>
        <v>4111</v>
      </c>
      <c r="N7" s="690">
        <f>N6</f>
        <v>0.8</v>
      </c>
      <c r="O7" s="64" t="str">
        <f t="shared" ref="O7:O14" si="4">IF($N$5="成新度","——",ROUND(M7*N7,0))</f>
        <v>——</v>
      </c>
      <c r="P7" s="65" t="str">
        <f t="shared" ref="P7:P14" si="5">IF($N$5="成新度","——",M7-O7)</f>
        <v>——</v>
      </c>
      <c r="Q7" s="693">
        <v>0.2</v>
      </c>
      <c r="R7" s="66">
        <f ca="1">SUMIF('数据-汇总表'!C$19:C$33,A7,'数据-汇总表'!R$19:R$27)</f>
        <v>965.15</v>
      </c>
      <c r="S7" s="49">
        <f>IF('数据-汇总表'!$I$17="按面积比例",SUMIF('数据-汇总表'!C$19:C$33,A7,'数据-汇总表'!K$19:K$33),SUMIF('数据-汇总表'!C$19:C$33,A7,'数据-汇总表'!N$19:N$33))</f>
        <v>0</v>
      </c>
      <c r="T7" s="1092">
        <f t="shared" ref="T7:T13" si="6">ROUND($L$14*S7/10000,0)</f>
        <v>0</v>
      </c>
      <c r="U7" s="3127">
        <v>9.6</v>
      </c>
      <c r="V7" s="67">
        <v>2.5000000000000001E-2</v>
      </c>
      <c r="W7" s="67">
        <v>0.1</v>
      </c>
      <c r="X7" s="979"/>
      <c r="Y7" s="68">
        <f>N7</f>
        <v>0.8</v>
      </c>
      <c r="Z7" s="69"/>
      <c r="AA7" s="63"/>
      <c r="AB7" s="63"/>
      <c r="AC7" s="979"/>
      <c r="AD7" s="70"/>
      <c r="AE7" s="980">
        <f t="shared" ref="AE7:AE13" ca="1" si="7">IF(AN7="",0,SUMIF(INDIRECT("'"&amp;AN7&amp;"'"&amp;"!E:E"),$AE$5,INDIRECT("'"&amp;AN7&amp;"'"&amp;"!F:F")))</f>
        <v>17.09</v>
      </c>
      <c r="AF7" s="74"/>
      <c r="AG7" s="130">
        <f t="shared" ref="AG7:AG13" si="8">IF(AF7="",0,AE7-AF7)</f>
        <v>0</v>
      </c>
      <c r="AH7" s="71"/>
      <c r="AI7" s="73">
        <v>365</v>
      </c>
      <c r="AJ7" s="74"/>
      <c r="AK7" s="75">
        <f>AK6</f>
        <v>2E-3</v>
      </c>
      <c r="AL7" s="76">
        <f>AL6</f>
        <v>1E-3</v>
      </c>
      <c r="AM7" s="77">
        <f>AM6</f>
        <v>5.0000000000000001E-3</v>
      </c>
      <c r="AN7" s="1589" t="s">
        <v>3469</v>
      </c>
      <c r="AO7" s="50">
        <f t="shared" ref="AO7:AO13" ca="1" si="9">SUMIF(INDIRECT("'"&amp;AN7&amp;"'"&amp;"!A:A"),"总价",INDIRECT("'"&amp;AN7&amp;"'"&amp;"!B:B"))</f>
        <v>26770</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3332</v>
      </c>
      <c r="D8" s="805">
        <f>SUMIF(项目基本情况!C$12:I$12,C8,项目基本情况!C$14:I$14)</f>
        <v>50</v>
      </c>
      <c r="E8" s="804">
        <f>IF(B8="","",SUMIF(项目基本情况!C$12:I$12,C8,项目基本情况!C$13:I$13))</f>
        <v>55718</v>
      </c>
      <c r="F8" s="61">
        <f>SUMIF(项目基本情况!C$12:I$12,C8,项目基本情况!C$15:I$15)</f>
        <v>27.1</v>
      </c>
      <c r="G8" s="62">
        <f t="shared" si="2"/>
        <v>0.78300000000000003</v>
      </c>
      <c r="H8" s="691">
        <v>4.4999999999999998E-2</v>
      </c>
      <c r="I8" s="691">
        <v>0.05</v>
      </c>
      <c r="J8" s="63">
        <v>7.0000000000000007E-2</v>
      </c>
      <c r="K8" s="970">
        <f>SUMIF('数据-汇总表'!C$19:C$33,A8,'数据-汇总表'!E$19:E$33)</f>
        <v>10607.59</v>
      </c>
      <c r="L8" s="692">
        <f>L6</f>
        <v>5300</v>
      </c>
      <c r="M8" s="64">
        <f>ROUND(K8*L8/10000,0)</f>
        <v>5622</v>
      </c>
      <c r="N8" s="690">
        <f>N6</f>
        <v>0.8</v>
      </c>
      <c r="O8" s="64" t="str">
        <f t="shared" si="4"/>
        <v>——</v>
      </c>
      <c r="P8" s="65" t="str">
        <f t="shared" si="5"/>
        <v>——</v>
      </c>
      <c r="Q8" s="693">
        <v>0.05</v>
      </c>
      <c r="R8" s="66">
        <f ca="1">SUMIF('数据-汇总表'!C$19:C$33,A8,'数据-汇总表'!R$19:R$27)</f>
        <v>1319.75</v>
      </c>
      <c r="S8" s="49">
        <f>IF('数据-汇总表'!$I$17="按面积比例",SUMIF('数据-汇总表'!C$19:C$33,A8,'数据-汇总表'!K$19:K$33),SUMIF('数据-汇总表'!C$19:C$33,A8,'数据-汇总表'!N$19:N$33))</f>
        <v>0</v>
      </c>
      <c r="T8" s="1092">
        <f t="shared" si="6"/>
        <v>0</v>
      </c>
      <c r="U8" s="3128">
        <v>1000</v>
      </c>
      <c r="V8" s="694">
        <v>0.02</v>
      </c>
      <c r="W8" s="694">
        <v>0.1</v>
      </c>
      <c r="X8" s="979"/>
      <c r="Y8" s="68">
        <f>N8</f>
        <v>0.8</v>
      </c>
      <c r="Z8" s="69"/>
      <c r="AA8" s="63"/>
      <c r="AB8" s="63"/>
      <c r="AC8" s="979"/>
      <c r="AD8" s="70"/>
      <c r="AE8" s="980">
        <f t="shared" ca="1" si="7"/>
        <v>27.1</v>
      </c>
      <c r="AF8" s="74"/>
      <c r="AG8" s="130">
        <f t="shared" si="8"/>
        <v>0</v>
      </c>
      <c r="AH8" s="695">
        <v>295</v>
      </c>
      <c r="AI8" s="73">
        <v>12</v>
      </c>
      <c r="AJ8" s="74"/>
      <c r="AK8" s="696">
        <f>AK6</f>
        <v>2E-3</v>
      </c>
      <c r="AL8" s="697">
        <f>AL6</f>
        <v>1E-3</v>
      </c>
      <c r="AM8" s="106">
        <f>AM6</f>
        <v>5.0000000000000001E-3</v>
      </c>
      <c r="AN8" s="1589" t="s">
        <v>3470</v>
      </c>
      <c r="AO8" s="50">
        <f t="shared" ca="1" si="9"/>
        <v>4766</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7"/>
      <c r="V9" s="67"/>
      <c r="W9" s="67"/>
      <c r="X9" s="979"/>
      <c r="Y9" s="68"/>
      <c r="Z9" s="69"/>
      <c r="AA9" s="63"/>
      <c r="AB9" s="63"/>
      <c r="AC9" s="979"/>
      <c r="AD9" s="70"/>
      <c r="AE9" s="980">
        <f t="shared" ca="1" si="7"/>
        <v>0</v>
      </c>
      <c r="AF9" s="74"/>
      <c r="AG9" s="130">
        <f t="shared" si="8"/>
        <v>0</v>
      </c>
      <c r="AH9" s="71"/>
      <c r="AI9" s="73"/>
      <c r="AJ9" s="74"/>
      <c r="AK9" s="75"/>
      <c r="AL9" s="76"/>
      <c r="AM9" s="77"/>
      <c r="AN9" s="1589"/>
      <c r="AO9" s="50" t="e">
        <f t="shared" ca="1" si="9"/>
        <v>#REF!</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0.77500000000000002</v>
      </c>
      <c r="H16" s="84">
        <f>ROUND(SUMPRODUCT(H6:H13,K6:K13)/SUMPRODUCT((H6:H13&gt;0)*(K6:K13)),3)</f>
        <v>4.9000000000000002E-2</v>
      </c>
      <c r="I16" s="85"/>
      <c r="J16" s="85"/>
      <c r="K16" s="86">
        <f>SUM(K6:K15)</f>
        <v>46189.05</v>
      </c>
      <c r="L16" s="87">
        <f>ROUND(M16*10000/SUM(K6:K14),0)</f>
        <v>5300</v>
      </c>
      <c r="M16" s="87">
        <f>SUM(M6:M14)</f>
        <v>24480</v>
      </c>
      <c r="N16" s="88">
        <f>ROUND(SUMPRODUCT(M6:M14,N6:N14)/M16,3)</f>
        <v>0.8</v>
      </c>
      <c r="O16" s="87">
        <f>SUM(O6:O14)</f>
        <v>0</v>
      </c>
      <c r="P16" s="87">
        <f>SUM(P6:P14)</f>
        <v>0</v>
      </c>
      <c r="Q16" s="89">
        <f>ROUND(SUMPRODUCT(Q6:Q13,K6:K13)/SUMPRODUCT((Q6:Q13&gt;0)*(K6:K13)),2)</f>
        <v>0.17</v>
      </c>
      <c r="R16" s="974">
        <f ca="1">SUM(R6:R13)</f>
        <v>5746.62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2004</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f>ROUND(1-(2025-N18)/60,2)</f>
        <v>0.65</v>
      </c>
      <c r="O19" s="2449"/>
      <c r="P19" s="2449"/>
      <c r="Q19" s="2449"/>
      <c r="R19" s="2449"/>
      <c r="S19" s="3170" t="s">
        <v>3460</v>
      </c>
      <c r="T19" s="3171">
        <f>'数据-基础表'!I13</f>
        <v>27823.949999999997</v>
      </c>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2299</v>
      </c>
      <c r="D20" s="2452"/>
      <c r="E20" s="2439"/>
      <c r="F20" s="2439"/>
      <c r="G20" s="2439"/>
      <c r="H20" s="2439"/>
      <c r="I20" s="2439"/>
      <c r="J20" s="2439"/>
      <c r="K20" s="2450"/>
      <c r="L20" s="2450"/>
      <c r="M20" s="2449"/>
      <c r="N20" s="2449">
        <v>0.95</v>
      </c>
      <c r="O20" s="2449"/>
      <c r="P20" s="2449"/>
      <c r="Q20" s="2449"/>
      <c r="R20" s="2449"/>
      <c r="S20" s="3172" t="s">
        <v>3461</v>
      </c>
      <c r="T20" s="3171">
        <f>'数据-基础表'!K13</f>
        <v>3439.16</v>
      </c>
      <c r="U20" s="2449">
        <v>15</v>
      </c>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0.8</v>
      </c>
      <c r="O21" s="2449"/>
      <c r="P21" s="2449"/>
      <c r="Q21" s="2449"/>
      <c r="R21" s="2449"/>
      <c r="S21" s="3173" t="s">
        <v>3462</v>
      </c>
      <c r="T21" s="3171">
        <f>'数据-基础表'!M13</f>
        <v>4318.3500000000004</v>
      </c>
      <c r="U21" s="2449">
        <f>U20*0.35</f>
        <v>5.25</v>
      </c>
      <c r="V21" s="2449">
        <f>ROUND((T20*U20+T21*U21)/(T20+T21),1)</f>
        <v>9.6</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3173" t="s">
        <v>3463</v>
      </c>
      <c r="T22" s="3171">
        <f>'数据-基础表'!O13</f>
        <v>10607.59</v>
      </c>
      <c r="U22" s="2449"/>
      <c r="V22" s="2449"/>
      <c r="W22" s="3174" t="s">
        <v>3465</v>
      </c>
      <c r="X22" s="2449">
        <v>295</v>
      </c>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3173" t="s">
        <v>3464</v>
      </c>
      <c r="T23" s="3171">
        <f>T19+T20+T21+T22</f>
        <v>46189.05</v>
      </c>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924</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0.03</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0" t="s">
        <v>2285</v>
      </c>
      <c r="B1" s="3271"/>
      <c r="C1" s="3271"/>
      <c r="D1" s="3271"/>
      <c r="E1" s="3271"/>
      <c r="F1" s="3271"/>
      <c r="G1" s="327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46189.05</v>
      </c>
      <c r="C1" s="2462"/>
      <c r="D1" s="2462"/>
      <c r="E1" s="2462"/>
      <c r="F1" s="2462"/>
      <c r="G1" s="2463"/>
      <c r="H1" s="2463"/>
      <c r="I1" s="2463"/>
      <c r="J1" s="2463"/>
      <c r="K1" s="2463"/>
    </row>
    <row r="2" spans="1:11" ht="16.5">
      <c r="A2" s="2300" t="s">
        <v>653</v>
      </c>
      <c r="B2" s="2300">
        <f>SUM(C14:C23)</f>
        <v>5746.62</v>
      </c>
      <c r="C2" s="2462"/>
      <c r="D2" s="2462"/>
      <c r="E2" s="2462"/>
      <c r="F2" s="2462"/>
      <c r="G2" s="2463"/>
      <c r="H2" s="2463"/>
      <c r="I2" s="2463"/>
      <c r="J2" s="2463"/>
      <c r="K2" s="2463"/>
    </row>
    <row r="3" spans="1:11" ht="16.5">
      <c r="A3" s="2300" t="s">
        <v>662</v>
      </c>
      <c r="B3" s="2302">
        <f>项目基本情况!D3</f>
        <v>45826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175531</v>
      </c>
      <c r="C5" s="2300">
        <f ca="1">IF(B5=D14,结果表!H102,ROUND(B5*10000/$B$1,0))</f>
        <v>38003</v>
      </c>
      <c r="D5" s="2300">
        <f ca="1">ROUND(B5*10000/$B$2,0)</f>
        <v>305451</v>
      </c>
      <c r="E5" s="2462"/>
      <c r="F5" s="2463"/>
      <c r="G5" s="2463"/>
      <c r="H5" s="2463"/>
      <c r="I5" s="2463"/>
      <c r="J5" s="2463"/>
      <c r="K5" s="2463"/>
    </row>
    <row r="6" spans="1:11" ht="16.5">
      <c r="A6" s="2300" t="s">
        <v>656</v>
      </c>
      <c r="B6" s="2300">
        <f ca="1">SUM(G14:G23)</f>
        <v>175531</v>
      </c>
      <c r="C6" s="2300">
        <f ca="1">IF(B6=G14,结果表!H108,ROUND(B6*10000/$B$1,0))</f>
        <v>38003</v>
      </c>
      <c r="D6" s="2300">
        <f ca="1">ROUND(B6*10000/$B$2,0)</f>
        <v>305451</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46189.05</v>
      </c>
      <c r="C14" s="2306">
        <f>'数据-汇总表'!D31</f>
        <v>5746.62</v>
      </c>
      <c r="D14" s="2306">
        <f ca="1">结果表!G19</f>
        <v>175531</v>
      </c>
      <c r="E14" s="2306">
        <f ca="1">ROUND(D14*10000/B14,0)</f>
        <v>38003</v>
      </c>
      <c r="F14" s="2306">
        <f ca="1">ROUND(D14*10000/C14,0)</f>
        <v>305451</v>
      </c>
      <c r="G14" s="2306">
        <f ca="1">D14</f>
        <v>175531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H35" sqref="H3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4" t="s">
        <v>1265</v>
      </c>
      <c r="B4" s="1625" t="s">
        <v>1266</v>
      </c>
      <c r="C4" s="1626" t="s">
        <v>3483</v>
      </c>
      <c r="D4" s="1626" t="s">
        <v>3484</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342">
        <v>25</v>
      </c>
      <c r="C5" s="3345"/>
      <c r="D5" s="3333"/>
      <c r="E5" s="123" t="s">
        <v>1269</v>
      </c>
      <c r="F5" s="1627"/>
      <c r="G5" s="1627"/>
      <c r="H5" s="1627"/>
      <c r="I5" s="1281"/>
    </row>
    <row r="6" spans="1:12" ht="12.75">
      <c r="A6" s="3287"/>
      <c r="B6" s="3342"/>
      <c r="C6" s="3347"/>
      <c r="D6" s="3333"/>
      <c r="E6" s="123" t="s">
        <v>1270</v>
      </c>
      <c r="F6" s="1627"/>
      <c r="G6" s="1627"/>
      <c r="H6" s="1627"/>
      <c r="I6" s="1281"/>
    </row>
    <row r="7" spans="1:12" ht="12.75">
      <c r="A7" s="3287"/>
      <c r="B7" s="3342"/>
      <c r="C7" s="3346"/>
      <c r="D7" s="3333"/>
      <c r="E7" s="123" t="s">
        <v>1271</v>
      </c>
      <c r="F7" s="1627"/>
      <c r="G7" s="1627"/>
      <c r="H7" s="1627"/>
      <c r="I7" s="1281"/>
    </row>
    <row r="8" spans="1:12" ht="12.75">
      <c r="A8" s="3287" t="s">
        <v>1272</v>
      </c>
      <c r="B8" s="3342">
        <v>15</v>
      </c>
      <c r="C8" s="3345"/>
      <c r="D8" s="3333"/>
      <c r="E8" s="123" t="s">
        <v>1273</v>
      </c>
      <c r="F8" s="1627"/>
      <c r="G8" s="1627"/>
      <c r="H8" s="1627"/>
      <c r="I8" s="1281"/>
    </row>
    <row r="9" spans="1:12" ht="12.75">
      <c r="A9" s="3287"/>
      <c r="B9" s="3342"/>
      <c r="C9" s="3346"/>
      <c r="D9" s="3333"/>
      <c r="E9" s="123" t="s">
        <v>1274</v>
      </c>
      <c r="F9" s="1627"/>
      <c r="G9" s="1627"/>
      <c r="H9" s="1627"/>
      <c r="I9" s="1281"/>
    </row>
    <row r="10" spans="1:12" ht="12.75">
      <c r="A10" s="3287" t="s">
        <v>1275</v>
      </c>
      <c r="B10" s="3342">
        <v>15</v>
      </c>
      <c r="C10" s="3345"/>
      <c r="D10" s="3333"/>
      <c r="E10" s="123" t="s">
        <v>1276</v>
      </c>
      <c r="F10" s="1627"/>
      <c r="G10" s="1627"/>
      <c r="H10" s="1627"/>
      <c r="I10" s="1281"/>
    </row>
    <row r="11" spans="1:12" ht="12.75">
      <c r="A11" s="3287"/>
      <c r="B11" s="3342"/>
      <c r="C11" s="3346"/>
      <c r="D11" s="3333"/>
      <c r="E11" s="123" t="s">
        <v>1277</v>
      </c>
      <c r="F11" s="1627"/>
      <c r="G11" s="1627"/>
      <c r="H11" s="1627"/>
      <c r="I11" s="1281"/>
    </row>
    <row r="12" spans="1:12" ht="12.75">
      <c r="A12" s="3287" t="s">
        <v>1278</v>
      </c>
      <c r="B12" s="3342">
        <v>15</v>
      </c>
      <c r="C12" s="3345"/>
      <c r="D12" s="3333"/>
      <c r="E12" s="123" t="s">
        <v>1279</v>
      </c>
      <c r="F12" s="1627"/>
      <c r="G12" s="1627"/>
      <c r="H12" s="1627"/>
      <c r="I12" s="1281"/>
    </row>
    <row r="13" spans="1:12" ht="12.75">
      <c r="A13" s="3287"/>
      <c r="B13" s="3342"/>
      <c r="C13" s="3346"/>
      <c r="D13" s="3333"/>
      <c r="E13" s="123" t="s">
        <v>1280</v>
      </c>
      <c r="F13" s="1627"/>
      <c r="G13" s="1627"/>
      <c r="H13" s="1627"/>
      <c r="I13" s="1281"/>
    </row>
    <row r="14" spans="1:12" ht="12.75">
      <c r="A14" s="3287" t="s">
        <v>1281</v>
      </c>
      <c r="B14" s="3342">
        <v>30</v>
      </c>
      <c r="C14" s="3345">
        <v>5</v>
      </c>
      <c r="D14" s="3333">
        <v>5</v>
      </c>
      <c r="E14" s="123" t="s">
        <v>1282</v>
      </c>
      <c r="F14" s="1627"/>
      <c r="G14" s="1627"/>
      <c r="H14" s="1627"/>
      <c r="I14" s="1281"/>
    </row>
    <row r="15" spans="1:12" ht="12.75">
      <c r="A15" s="3287"/>
      <c r="B15" s="3342"/>
      <c r="C15" s="3347"/>
      <c r="D15" s="3333"/>
      <c r="E15" s="123" t="s">
        <v>1283</v>
      </c>
      <c r="F15" s="1627"/>
      <c r="G15" s="1627"/>
      <c r="H15" s="1627"/>
      <c r="I15" s="1281"/>
    </row>
    <row r="16" spans="1:12" ht="12.75">
      <c r="A16" s="3287"/>
      <c r="B16" s="3342"/>
      <c r="C16" s="3346"/>
      <c r="D16" s="333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64" t="s">
        <v>2130</v>
      </c>
      <c r="F18" s="3365"/>
      <c r="G18" s="3365"/>
      <c r="H18" s="3365"/>
      <c r="I18" s="3365"/>
      <c r="K18" s="294" t="s">
        <v>1289</v>
      </c>
      <c r="L18" s="294">
        <f>IF(C1="",'数据-汇总表'!E3,SUMIF(项目类型,C1,'数据-汇总表'!E17:E26)+SUMIF(项目类型,C1,'数据-汇总表'!I17:I26))</f>
        <v>46189.05</v>
      </c>
      <c r="M18" s="294">
        <f>IF(C1="",'数据-汇总表'!E3,SUMIF(项目类型,C1,'数据-汇总表'!E17:E26))</f>
        <v>46189.05</v>
      </c>
    </row>
    <row r="19" spans="1:36" ht="15">
      <c r="A19" s="1630" t="s">
        <v>1290</v>
      </c>
      <c r="B19" s="1631" t="s">
        <v>1291</v>
      </c>
      <c r="C19" s="126">
        <f ca="1">SUMIF(INDIRECT("'"&amp;C4&amp;"'"&amp;"!A:A"),结果表!B19,INDIRECT("'"&amp;C4&amp;"'"&amp;"!B:B"))</f>
        <v>189500</v>
      </c>
      <c r="D19" s="127">
        <f ca="1">SUMIF(INDIRECT("'"&amp;D4&amp;"'"&amp;"!A:A"),结果表!B19,INDIRECT("'"&amp;D4&amp;"'"&amp;"!B:B"))</f>
        <v>161561</v>
      </c>
      <c r="E19" s="1630" t="s">
        <v>1292</v>
      </c>
      <c r="F19" s="1631" t="s">
        <v>1291</v>
      </c>
      <c r="G19" s="128">
        <f ca="1">ROUND(C19*$C$18+D19*$D$18,0)</f>
        <v>175531</v>
      </c>
      <c r="H19" s="1632" t="s">
        <v>1293</v>
      </c>
      <c r="I19" s="121"/>
      <c r="K19" s="294" t="s">
        <v>1294</v>
      </c>
      <c r="L19" s="294">
        <f>IF(C1="",'数据-汇总表'!D3,SUMIF(项目类型,C1,'数据-汇总表'!D17:D26)+SUMIF(项目类型,C1,'数据-汇总表'!H17:H27))</f>
        <v>5746.62</v>
      </c>
      <c r="M19" s="294">
        <f>IF(C1="",'数据-汇总表'!D3,SUMIF(项目类型,C1,'数据-汇总表'!D17:D26))</f>
        <v>5746.62</v>
      </c>
    </row>
    <row r="20" spans="1:36" ht="15">
      <c r="A20" s="1633"/>
      <c r="B20" s="43" t="s">
        <v>1295</v>
      </c>
      <c r="C20" s="129">
        <f ca="1">SUMIF(INDIRECT("'"&amp;C4&amp;"'"&amp;"!A:A"),结果表!B20,INDIRECT("'"&amp;C4&amp;"'"&amp;"!B:B"))</f>
        <v>41027</v>
      </c>
      <c r="D20" s="130">
        <f ca="1">SUMIF(INDIRECT("'"&amp;D4&amp;"'"&amp;"!A:A"),结果表!B20,INDIRECT("'"&amp;D4&amp;"'"&amp;"!B:B"))</f>
        <v>34978</v>
      </c>
      <c r="E20" s="1633"/>
      <c r="F20" s="43" t="s">
        <v>1295</v>
      </c>
      <c r="G20" s="131">
        <f ca="1">ROUND(C20*$C$18+D20*$D$18,0)</f>
        <v>38003</v>
      </c>
      <c r="H20" s="760" t="s">
        <v>1296</v>
      </c>
      <c r="I20" s="121"/>
    </row>
    <row r="21" spans="1:36" ht="15" customHeight="1" thickBot="1">
      <c r="A21" s="449"/>
      <c r="B21" s="93" t="s">
        <v>1297</v>
      </c>
      <c r="C21" s="678">
        <f ca="1">ROUND(C19*10000/L19,0)</f>
        <v>329759</v>
      </c>
      <c r="D21" s="679">
        <f ca="1">ROUND(D19*10000/L19,0)</f>
        <v>281141</v>
      </c>
      <c r="E21" s="449"/>
      <c r="F21" s="93" t="s">
        <v>1297</v>
      </c>
      <c r="G21" s="132">
        <f ca="1">ROUND(G19*10000/L19,0)</f>
        <v>305451</v>
      </c>
      <c r="H21" s="1634" t="s">
        <v>1296</v>
      </c>
      <c r="I21" s="121"/>
    </row>
    <row r="22" spans="1:36" ht="15" thickBot="1">
      <c r="A22" s="1564" t="s">
        <v>1298</v>
      </c>
      <c r="B22" s="1635"/>
      <c r="C22" s="1636"/>
      <c r="D22" s="680">
        <f ca="1">IF(C19&lt;D19,D19/C19-1,C19/D19-1)</f>
        <v>0.17293158621201909</v>
      </c>
      <c r="E22" s="121"/>
      <c r="F22" s="121"/>
      <c r="G22" s="121"/>
      <c r="H22" s="121"/>
      <c r="I22" s="121"/>
    </row>
    <row r="23" spans="1:36" ht="13.5" thickBot="1">
      <c r="A23" s="646"/>
      <c r="B23" s="646"/>
      <c r="C23" s="646"/>
      <c r="D23" s="646"/>
      <c r="E23" s="121"/>
      <c r="F23" s="121"/>
      <c r="G23" s="121"/>
      <c r="H23" s="121"/>
      <c r="I23" s="121"/>
    </row>
    <row r="24" spans="1:36" ht="14.25">
      <c r="A24" s="3357" t="s">
        <v>1299</v>
      </c>
      <c r="B24" s="1631" t="s">
        <v>1291</v>
      </c>
      <c r="C24" s="128">
        <f>IF(B30=0,0,D30)</f>
        <v>0</v>
      </c>
      <c r="D24" s="1637"/>
      <c r="E24" s="121"/>
      <c r="F24" s="121"/>
      <c r="G24" s="121"/>
      <c r="H24" s="121"/>
      <c r="I24" s="121"/>
    </row>
    <row r="25" spans="1:36" ht="14.25">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175531</v>
      </c>
      <c r="D32" s="1641" t="s">
        <v>3485</v>
      </c>
      <c r="E32" s="121"/>
      <c r="F32" s="121"/>
      <c r="G32" s="121"/>
      <c r="H32" s="121"/>
      <c r="I32" s="121"/>
    </row>
    <row r="33" spans="1:15" ht="15">
      <c r="A33" s="740" t="s">
        <v>1306</v>
      </c>
      <c r="B33" s="123"/>
      <c r="C33" s="1642" t="s">
        <v>3486</v>
      </c>
      <c r="D33" s="1643" t="s">
        <v>3483</v>
      </c>
      <c r="E33" s="1644" t="s">
        <v>1307</v>
      </c>
      <c r="F33" s="1645" t="str">
        <f>IF(D32="楼面单价","取值（单价）","取值（总价）")</f>
        <v>取值（总价）</v>
      </c>
      <c r="G33" s="121"/>
      <c r="H33" s="121"/>
      <c r="I33" s="121"/>
    </row>
    <row r="34" spans="1:15" ht="15">
      <c r="A34" s="1646"/>
      <c r="B34" s="1647" t="s">
        <v>1308</v>
      </c>
      <c r="C34" s="140">
        <f ca="1">IF(C33="自定义",F34,C32-C35)</f>
        <v>147973</v>
      </c>
      <c r="D34" s="808">
        <f ca="1">IF(C33="自定义",ROUND(C34/C32,3),IF(C33="收益比率",SUMIF(INDIRECT("'"&amp;D33&amp;"'"&amp;"!b:b"),"土地收益比率",INDIRECT("'"&amp;D33&amp;"'"&amp;"!c:c")),SUMIF(INDIRECT("'"&amp;D33&amp;"'"&amp;"!b:b"),"土地成本比率",INDIRECT("'"&amp;D33&amp;"'"&amp;"!c:c"))))</f>
        <v>0.84299999999999997</v>
      </c>
      <c r="E34" s="1648" t="s">
        <v>1309</v>
      </c>
      <c r="F34" s="1243"/>
      <c r="G34" s="121"/>
      <c r="H34" s="121"/>
      <c r="I34" s="121"/>
    </row>
    <row r="35" spans="1:15" ht="15.75" thickBot="1">
      <c r="A35" s="1649"/>
      <c r="B35" s="1650" t="s">
        <v>1310</v>
      </c>
      <c r="C35" s="1090">
        <f ca="1">IF(C33="自定义",F35,ROUND(C32*D35,0))</f>
        <v>27558</v>
      </c>
      <c r="D35" s="1091">
        <f ca="1">IF(C33="自定义",ROUND(C35/C32,3),IF(C33="收益比率",SUMIF(INDIRECT("'"&amp;D33&amp;"'"&amp;"!b:b"),"建筑物收益比率",INDIRECT("'"&amp;D33&amp;"'"&amp;"!c:c")),SUMIF(INDIRECT("'"&amp;D33&amp;"'"&amp;"!b:b"),"建筑物成本比率",INDIRECT("'"&amp;D33&amp;"'"&amp;"!c:c"))))</f>
        <v>0.157</v>
      </c>
      <c r="E35" s="1651" t="s">
        <v>1311</v>
      </c>
      <c r="F35" s="146"/>
      <c r="G35" s="121"/>
      <c r="H35" s="121"/>
      <c r="I35" s="121"/>
    </row>
    <row r="36" spans="1:15" ht="15.75" thickBot="1">
      <c r="A36" s="3334" t="s">
        <v>1312</v>
      </c>
      <c r="B36" s="1652" t="s">
        <v>1313</v>
      </c>
      <c r="C36" s="137"/>
      <c r="D36" s="1653"/>
      <c r="E36" s="1567"/>
      <c r="F36" s="1654"/>
      <c r="G36" s="121"/>
      <c r="H36" s="121"/>
      <c r="I36" s="121"/>
    </row>
    <row r="37" spans="1:15" ht="15.75" thickBot="1">
      <c r="A37" s="3335"/>
      <c r="B37" s="1555" t="s">
        <v>1314</v>
      </c>
      <c r="C37" s="139"/>
      <c r="D37" s="1071"/>
      <c r="E37" s="1071"/>
      <c r="F37" s="1654"/>
      <c r="G37" s="121"/>
      <c r="H37" s="121"/>
      <c r="I37" s="121"/>
    </row>
    <row r="38" spans="1:15" ht="15.75" thickBot="1">
      <c r="A38" s="333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f ca="1">ROUND(H101*F45,0)</f>
        <v>175531</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10">
        <v>1</v>
      </c>
      <c r="K46" s="3275" t="s">
        <v>1331</v>
      </c>
      <c r="L46" s="3275"/>
      <c r="M46" s="3276"/>
      <c r="N46" s="3276"/>
      <c r="O46" s="3276"/>
    </row>
    <row r="47" spans="1:15" ht="12" customHeight="1">
      <c r="A47" s="152" t="s">
        <v>1332</v>
      </c>
      <c r="B47" s="153"/>
      <c r="C47" s="154"/>
      <c r="D47" s="1024" t="s">
        <v>1333</v>
      </c>
      <c r="E47" s="294" t="s">
        <v>1334</v>
      </c>
      <c r="F47" s="155" t="s">
        <v>1335</v>
      </c>
      <c r="G47" s="2333" t="s">
        <v>1336</v>
      </c>
      <c r="H47" s="2334"/>
      <c r="I47" s="151"/>
      <c r="J47" s="2310">
        <v>2</v>
      </c>
      <c r="K47" s="3275" t="s">
        <v>1337</v>
      </c>
      <c r="L47" s="3275"/>
      <c r="M47" s="3277">
        <f>'数据-取费表'!B2</f>
        <v>45826</v>
      </c>
      <c r="N47" s="3277"/>
      <c r="O47" s="3277"/>
    </row>
    <row r="48" spans="1:15" ht="25.5">
      <c r="A48" s="3337" t="s">
        <v>1338</v>
      </c>
      <c r="B48" s="3338"/>
      <c r="C48" s="333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5" t="s">
        <v>1340</v>
      </c>
      <c r="L48" s="3275"/>
      <c r="M48" s="3278">
        <f ca="1">H101</f>
        <v>175531</v>
      </c>
      <c r="N48" s="3278"/>
      <c r="O48" s="3278"/>
    </row>
    <row r="49" spans="1:35" ht="25.5" customHeight="1">
      <c r="A49" s="2152" t="s">
        <v>1341</v>
      </c>
      <c r="B49" s="3323" t="s">
        <v>1342</v>
      </c>
      <c r="C49" s="3323"/>
      <c r="D49" s="1478">
        <v>0</v>
      </c>
      <c r="E49" s="316" t="s">
        <v>1343</v>
      </c>
      <c r="F49" s="2233" t="s">
        <v>28</v>
      </c>
      <c r="G49" s="3306"/>
      <c r="H49" s="2134" t="s">
        <v>2133</v>
      </c>
      <c r="I49" s="2135"/>
      <c r="J49" s="2310">
        <v>4</v>
      </c>
      <c r="K49" s="3275" t="str">
        <f>IF(项目基本情况!E8="房地产抵押价值","房地产抵押价值","抵押担保权已注销时的房地产抵押价值")</f>
        <v>房地产抵押价值</v>
      </c>
      <c r="L49" s="3275"/>
      <c r="M49" s="3278">
        <f ca="1">IF(项目基本情况!E8="房地产抵押价值",H107,H109)</f>
        <v>175531</v>
      </c>
      <c r="N49" s="3278"/>
      <c r="O49" s="3278"/>
    </row>
    <row r="50" spans="1:35" ht="25.5" customHeight="1">
      <c r="A50" s="2338"/>
      <c r="B50" s="3323" t="s">
        <v>1344</v>
      </c>
      <c r="C50" s="3323"/>
      <c r="D50" s="2189"/>
      <c r="E50" s="323"/>
      <c r="F50" s="2233"/>
      <c r="G50" s="3307"/>
      <c r="H50" s="2136" t="s">
        <v>2134</v>
      </c>
      <c r="I50" s="2135"/>
      <c r="J50" s="3274" t="s">
        <v>1345</v>
      </c>
      <c r="K50" s="3274"/>
      <c r="L50" s="3274"/>
      <c r="M50" s="3274"/>
      <c r="N50" s="3274"/>
      <c r="O50" s="3274"/>
    </row>
    <row r="51" spans="1:35" ht="20.45" customHeight="1">
      <c r="A51" s="2339"/>
      <c r="B51" s="3323" t="s">
        <v>1346</v>
      </c>
      <c r="C51" s="3323"/>
      <c r="D51" s="1024"/>
      <c r="E51" s="319"/>
      <c r="F51" s="2233"/>
      <c r="G51" s="3308"/>
      <c r="H51" s="2136" t="s">
        <v>2135</v>
      </c>
      <c r="I51" s="2135"/>
      <c r="J51" s="2311" t="s">
        <v>1347</v>
      </c>
      <c r="K51" s="3275" t="s">
        <v>1348</v>
      </c>
      <c r="L51" s="3275"/>
      <c r="M51" s="2311" t="s">
        <v>1349</v>
      </c>
      <c r="N51" s="2311" t="s">
        <v>1350</v>
      </c>
      <c r="O51" s="2311" t="s">
        <v>1351</v>
      </c>
    </row>
    <row r="52" spans="1:35" ht="24" customHeight="1">
      <c r="A52" s="2153" t="s">
        <v>1352</v>
      </c>
      <c r="B52" s="3323" t="s">
        <v>1353</v>
      </c>
      <c r="C52" s="3323"/>
      <c r="D52" s="1024">
        <f ca="1">ROUND(D45*'数据-取费表'!B41/(1+'数据-取费表'!C42),0)</f>
        <v>9362</v>
      </c>
      <c r="E52" s="1256" t="s">
        <v>1354</v>
      </c>
      <c r="F52" s="2340">
        <f>'数据-取费表'!B41</f>
        <v>5.6000000000000001E-2</v>
      </c>
      <c r="G52" s="2341"/>
      <c r="H52" s="2331"/>
      <c r="I52" s="1669"/>
      <c r="J52" s="2310">
        <v>1</v>
      </c>
      <c r="K52" s="3300" t="s">
        <v>1355</v>
      </c>
      <c r="L52" s="3300"/>
      <c r="M52" s="2312" t="b">
        <f>D48</f>
        <v>0</v>
      </c>
      <c r="N52" s="2310" t="str">
        <f>E48</f>
        <v>销售额×税（费）率</v>
      </c>
      <c r="O52" s="2313">
        <f>F48</f>
        <v>5.6000000000000001E-2</v>
      </c>
    </row>
    <row r="53" spans="1:35" ht="12" customHeight="1">
      <c r="A53" s="2153" t="s">
        <v>1356</v>
      </c>
      <c r="B53" s="3324" t="s">
        <v>2290</v>
      </c>
      <c r="C53" s="3325"/>
      <c r="D53" s="1024">
        <f ca="1">ROUND(D45*'数据-取费表'!B41/(1+'数据-取费表'!C42),0)</f>
        <v>9362</v>
      </c>
      <c r="E53" s="1256" t="s">
        <v>1354</v>
      </c>
      <c r="F53" s="2340">
        <f>'数据-取费表'!B41</f>
        <v>5.6000000000000001E-2</v>
      </c>
      <c r="G53" s="2341"/>
      <c r="H53" s="2331"/>
      <c r="I53" s="1669"/>
      <c r="J53" s="2310">
        <v>2</v>
      </c>
      <c r="K53" s="3300" t="s">
        <v>1357</v>
      </c>
      <c r="L53" s="3300"/>
      <c r="M53" s="2312">
        <f t="shared" ref="M53:O54" ca="1" si="0">D55</f>
        <v>88</v>
      </c>
      <c r="N53" s="2310" t="str">
        <f t="shared" si="0"/>
        <v>销售额×税（费）率</v>
      </c>
      <c r="O53" s="2313" t="str">
        <f t="shared" si="0"/>
        <v>免征</v>
      </c>
    </row>
    <row r="54" spans="1:35" ht="12" customHeight="1">
      <c r="A54" s="2153" t="s">
        <v>1358</v>
      </c>
      <c r="B54" s="3324" t="s">
        <v>2291</v>
      </c>
      <c r="C54" s="3325"/>
      <c r="D54" s="1024">
        <f ca="1">C68</f>
        <v>9362</v>
      </c>
      <c r="E54" s="319" t="s">
        <v>1359</v>
      </c>
      <c r="F54" s="2340">
        <f>'数据-取费表'!B41</f>
        <v>5.6000000000000001E-2</v>
      </c>
      <c r="G54" s="2341"/>
      <c r="H54" s="2342"/>
      <c r="I54" s="1669"/>
      <c r="J54" s="2310">
        <v>3</v>
      </c>
      <c r="K54" s="3300" t="s">
        <v>1360</v>
      </c>
      <c r="L54" s="3300"/>
      <c r="M54" s="2312">
        <f t="shared" ca="1" si="0"/>
        <v>99350</v>
      </c>
      <c r="N54" s="2310" t="str">
        <f t="shared" si="0"/>
        <v>增值额×税（费）率</v>
      </c>
      <c r="O54" s="2314" t="str">
        <f t="shared" si="0"/>
        <v>免征</v>
      </c>
    </row>
    <row r="55" spans="1:35" ht="24" customHeight="1">
      <c r="A55" s="3360" t="s">
        <v>1361</v>
      </c>
      <c r="B55" s="3338"/>
      <c r="C55" s="3338"/>
      <c r="D55" s="12">
        <f ca="1">IF(H55="个人住宅",0,ROUND(D45*I55,0))</f>
        <v>88</v>
      </c>
      <c r="E55" s="1256" t="s">
        <v>1362</v>
      </c>
      <c r="F55" s="2340" t="str">
        <f>IF(H55="正常",I55,"免征")</f>
        <v>免征</v>
      </c>
      <c r="G55" s="2341"/>
      <c r="H55" s="2337"/>
      <c r="I55" s="157">
        <f>'数据-取费表'!B49</f>
        <v>5.0000000000000001E-4</v>
      </c>
      <c r="J55" s="2310">
        <f>IF(H59="非个人房产","",4)</f>
        <v>4</v>
      </c>
      <c r="K55" s="3300" t="str">
        <f>IF(H59="非个人房产","——","个人所得税")</f>
        <v>个人所得税</v>
      </c>
      <c r="L55" s="3300"/>
      <c r="M55" s="2315">
        <f ca="1">D59</f>
        <v>1672</v>
      </c>
      <c r="N55" s="1883" t="str">
        <f>E59</f>
        <v>差额计税</v>
      </c>
      <c r="O55" s="2316">
        <f>F59</f>
        <v>0.01</v>
      </c>
    </row>
    <row r="56" spans="1:35" ht="24.75">
      <c r="A56" s="3360" t="s">
        <v>1363</v>
      </c>
      <c r="B56" s="3338"/>
      <c r="C56" s="3338"/>
      <c r="D56" s="12">
        <f ca="1">IF(H56="个人住宅",D57,D58)</f>
        <v>99350</v>
      </c>
      <c r="E56" s="1256" t="s">
        <v>1364</v>
      </c>
      <c r="F56" s="2340" t="str">
        <f>IF(H56="正常",F58,"免征")</f>
        <v>免征</v>
      </c>
      <c r="G56" s="2343" t="s">
        <v>1365</v>
      </c>
      <c r="H56" s="2344"/>
      <c r="I56" s="1670"/>
      <c r="J56" s="2310" t="str">
        <f>IF(项目基本情况!K6="上海银行",IF(J55="",4,J55+1),"")</f>
        <v/>
      </c>
      <c r="K56" s="3281" t="str">
        <f>IF(项目基本情况!K6="上海银行","其他处置费用","")</f>
        <v/>
      </c>
      <c r="L56" s="3282"/>
      <c r="M56" s="2312" t="str">
        <f>IF(项目基本情况!K6="上海银行",M69,"")</f>
        <v/>
      </c>
      <c r="N56" s="3281" t="str">
        <f>IF(项目基本情况!K6="上海银行","包含处置中涉及的律师、诉讼、拍卖、评估等费用","")</f>
        <v/>
      </c>
      <c r="O56" s="3284"/>
    </row>
    <row r="57" spans="1:35" ht="12.75">
      <c r="A57" s="2153" t="s">
        <v>1341</v>
      </c>
      <c r="B57" s="3324" t="s">
        <v>1366</v>
      </c>
      <c r="C57" s="3325"/>
      <c r="D57" s="1478">
        <v>0</v>
      </c>
      <c r="E57" s="316" t="s">
        <v>1343</v>
      </c>
      <c r="F57" s="294"/>
      <c r="G57" s="2341"/>
      <c r="H57" s="2345"/>
      <c r="I57" s="1670"/>
      <c r="J57" s="3300">
        <f>IF(AND(J55="",J56=""),4,IF(项目基本情况!K6="上海银行",结果表!J56+1,结果表!J55+1))</f>
        <v>5</v>
      </c>
      <c r="K57" s="3300" t="s">
        <v>1367</v>
      </c>
      <c r="L57" s="2317" t="s">
        <v>1368</v>
      </c>
      <c r="M57" s="2318"/>
      <c r="N57" s="2319">
        <f ca="1">SUMIF(M52:M56,"&lt;9e307")</f>
        <v>101110</v>
      </c>
      <c r="O57" s="2320"/>
      <c r="P57" s="2465">
        <f ca="1">N57/M49</f>
        <v>0.57602360836547395</v>
      </c>
    </row>
    <row r="58" spans="1:35" ht="24.75">
      <c r="A58" s="2153" t="s">
        <v>1352</v>
      </c>
      <c r="B58" s="3324" t="s">
        <v>1369</v>
      </c>
      <c r="C58" s="3323"/>
      <c r="D58" s="12">
        <f ca="1">IF(H58="转让取得",C81,C97)</f>
        <v>99350</v>
      </c>
      <c r="E58" s="1256" t="s">
        <v>1364</v>
      </c>
      <c r="F58" s="294" t="s">
        <v>28</v>
      </c>
      <c r="G58" s="2341"/>
      <c r="H58" s="2344"/>
      <c r="I58" s="1670"/>
      <c r="J58" s="3300"/>
      <c r="K58" s="3300"/>
      <c r="L58" s="2317" t="s">
        <v>1370</v>
      </c>
      <c r="M58" s="2321"/>
      <c r="N58" s="2322" t="str">
        <f ca="1">NUMBERSTRING(INT(N57*10000),2)&amp;"元整"</f>
        <v>壹拾亿壹仟壹佰壹拾万元整</v>
      </c>
      <c r="O58" s="2323"/>
    </row>
    <row r="59" spans="1:35" ht="24.75" thickBot="1">
      <c r="A59" s="3304" t="s">
        <v>1371</v>
      </c>
      <c r="B59" s="3305"/>
      <c r="C59" s="3305"/>
      <c r="D59" s="2346">
        <f ca="1">IF(H59="非个人房产","——",IF(H59="个人住宅（满五唯一有凭证）",0,IF(H59="个人其他（无凭证）",ROUND(D45*F59,0),ROUND(C67*F59,0))))</f>
        <v>1672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02">
        <f>J57+1</f>
        <v>6</v>
      </c>
      <c r="K59" s="3300" t="s">
        <v>1372</v>
      </c>
      <c r="L59" s="2310" t="s">
        <v>1368</v>
      </c>
      <c r="M59" s="2324"/>
      <c r="N59" s="2325">
        <f ca="1">M49-N57</f>
        <v>74421</v>
      </c>
      <c r="O59" s="2326"/>
    </row>
    <row r="60" spans="1:35" ht="12" customHeight="1">
      <c r="A60" s="1671"/>
      <c r="B60" s="646"/>
      <c r="C60" s="646"/>
      <c r="D60" s="646"/>
      <c r="E60" s="1466"/>
      <c r="F60" s="1670"/>
      <c r="G60" s="1670"/>
      <c r="H60" s="151"/>
      <c r="I60" s="121"/>
      <c r="J60" s="3303"/>
      <c r="K60" s="3300"/>
      <c r="L60" s="2317" t="s">
        <v>1370</v>
      </c>
      <c r="M60" s="2321"/>
      <c r="N60" s="2322" t="str">
        <f ca="1">NUMBERSTRING(INT(N59*10000),2)&amp;"元整"</f>
        <v>柒亿肆仟肆佰贰拾壹万元整</v>
      </c>
      <c r="O60" s="2323"/>
    </row>
    <row r="61" spans="1:35" ht="13.5" thickBot="1">
      <c r="A61" s="3359" t="s">
        <v>1373</v>
      </c>
      <c r="B61" s="3359"/>
      <c r="C61" s="3359"/>
      <c r="D61" s="3359"/>
      <c r="E61" s="3359"/>
      <c r="F61" s="1670"/>
      <c r="G61" s="1670"/>
      <c r="H61" s="151"/>
      <c r="I61" s="121"/>
      <c r="J61" s="2310">
        <f>J59+1</f>
        <v>7</v>
      </c>
      <c r="K61" s="3300" t="s">
        <v>1374</v>
      </c>
      <c r="L61" s="3300"/>
      <c r="M61" s="2327"/>
      <c r="N61" s="2328">
        <f ca="1">ROUND(N59*10000/'数据-汇总表'!E3,0)</f>
        <v>16112</v>
      </c>
      <c r="O61" s="2329"/>
    </row>
    <row r="62" spans="1:35" ht="12.75">
      <c r="A62" s="3319" t="s">
        <v>1375</v>
      </c>
      <c r="B62" s="3320"/>
      <c r="C62" s="1865"/>
      <c r="D62" s="1865" t="s">
        <v>1376</v>
      </c>
      <c r="E62" s="158" t="s">
        <v>1377</v>
      </c>
      <c r="F62" s="1670"/>
      <c r="G62" s="1670"/>
      <c r="H62" s="151"/>
      <c r="I62" s="121"/>
    </row>
    <row r="63" spans="1:35" ht="12.75">
      <c r="A63" s="165" t="s">
        <v>330</v>
      </c>
      <c r="B63" s="159" t="s">
        <v>1378</v>
      </c>
      <c r="C63" s="2350">
        <f ca="1">ROUND((C64+C65)/(1+'数据-取费表'!C42),0)</f>
        <v>167172</v>
      </c>
      <c r="D63" s="159"/>
      <c r="E63" s="160"/>
      <c r="F63" s="1670"/>
      <c r="G63" s="1670"/>
      <c r="H63" s="151"/>
      <c r="I63" s="121"/>
      <c r="J63" s="3283" t="s">
        <v>1379</v>
      </c>
      <c r="K63" s="1245" t="s">
        <v>1380</v>
      </c>
      <c r="L63" s="1245">
        <f ca="1">IF(M49&gt;10000,M49*0.5%,IF(AND(M49&gt;1000,M49&lt;=10000),M49*1%,IF(AND(M49&gt;100,M49&lt;=1000),M49*3%,IF(AND(M49&gt;10,M49&lt;=100),M49*5%,M49*8%))))</f>
        <v>877.65499999999997</v>
      </c>
      <c r="M63" s="294">
        <f ca="1">ROUND(L63,1)</f>
        <v>877.7</v>
      </c>
      <c r="N63" s="2330"/>
      <c r="Z63" s="1623"/>
      <c r="AI63" s="1561"/>
    </row>
    <row r="64" spans="1:35" ht="14.25" customHeight="1">
      <c r="A64" s="161" t="s">
        <v>325</v>
      </c>
      <c r="B64" s="162" t="s">
        <v>1381</v>
      </c>
      <c r="C64" s="2351">
        <f ca="1">D45</f>
        <v>175531</v>
      </c>
      <c r="D64" s="162" t="s">
        <v>26</v>
      </c>
      <c r="E64" s="164"/>
      <c r="F64" s="1670"/>
      <c r="G64" s="1670"/>
      <c r="H64" s="151"/>
      <c r="I64" s="121"/>
      <c r="J64" s="3283"/>
      <c r="K64" s="1245" t="s">
        <v>1382</v>
      </c>
      <c r="L64" s="1245">
        <f ca="1">IF(M49&gt;2000,M49*0.5%,IF(AND(M49&gt;1000,M49&lt;=2000),M49*0.6%,IF(AND(M49&gt;500,M49&lt;=1000),M49*0.7%,IF(AND(M49&gt;200,M49&lt;=500),M49*0.8%,IF(AND(M49&gt;100,M49&lt;=200),M49*0.9%,IF(AND(M49&gt;50,M49&lt;=100),M49*1%,IF(AND(M49&gt;20,M49&lt;=50),M49*1.5%,IF(AND(M49&gt;10,M49&lt;=20),M49*2%,IF(AND(M49&gt;1,M49&lt;=10),M49*2.5%)))))))))</f>
        <v>877.65499999999997</v>
      </c>
      <c r="M64" s="294">
        <f t="shared" ref="M64:M65" ca="1" si="1">ROUND(L64,1)</f>
        <v>877.7</v>
      </c>
      <c r="N64" s="2331" t="s">
        <v>1383</v>
      </c>
      <c r="Z64" s="1623"/>
      <c r="AI64" s="1561"/>
    </row>
    <row r="65" spans="1:35" ht="14.25" customHeight="1">
      <c r="A65" s="161" t="s">
        <v>326</v>
      </c>
      <c r="B65" s="162" t="s">
        <v>1384</v>
      </c>
      <c r="C65" s="2352"/>
      <c r="D65" s="162"/>
      <c r="E65" s="164"/>
      <c r="F65" s="1670"/>
      <c r="G65" s="1670"/>
      <c r="H65" s="151"/>
      <c r="I65" s="121"/>
      <c r="J65" s="3283"/>
      <c r="K65" s="1245" t="s">
        <v>1385</v>
      </c>
      <c r="L65" s="1245">
        <f ca="1">IF(M49&gt;1000,M49*0.1%,IF(AND(M49&gt;500,M49&lt;=1000),M49*0.5%,IF(AND(M49&gt;50,M49&lt;=500),M49*1%,IF(AND(M49&gt;1,M49&lt;=50),M49*1.5%))))</f>
        <v>175.53100000000001</v>
      </c>
      <c r="M65" s="294">
        <f t="shared" ca="1" si="1"/>
        <v>175.5</v>
      </c>
      <c r="N65" s="2331" t="s">
        <v>1383</v>
      </c>
      <c r="Z65" s="1623"/>
      <c r="AI65" s="1561"/>
    </row>
    <row r="66" spans="1:35" ht="14.25" customHeight="1">
      <c r="A66" s="165" t="s">
        <v>327</v>
      </c>
      <c r="B66" s="166" t="s">
        <v>1386</v>
      </c>
      <c r="C66" s="2353"/>
      <c r="D66" s="166" t="s">
        <v>26</v>
      </c>
      <c r="E66" s="1251" t="s">
        <v>671</v>
      </c>
      <c r="F66" s="1670"/>
      <c r="G66" s="1670"/>
      <c r="H66" s="151"/>
      <c r="I66" s="121"/>
      <c r="J66" s="3283"/>
      <c r="K66" s="1245" t="s">
        <v>1387</v>
      </c>
      <c r="L66" s="1245">
        <f ca="1">M49*0.5%</f>
        <v>877.65499999999997</v>
      </c>
      <c r="M66" s="294">
        <f ca="1">IF(L66&gt;0.5,0.5,ROUND(L66,0))</f>
        <v>0.5</v>
      </c>
      <c r="N66" s="2331" t="s">
        <v>1388</v>
      </c>
      <c r="Z66" s="1623"/>
      <c r="AI66" s="1561"/>
    </row>
    <row r="67" spans="1:35" ht="14.25" customHeight="1">
      <c r="A67" s="165" t="s">
        <v>328</v>
      </c>
      <c r="B67" s="166" t="s">
        <v>1389</v>
      </c>
      <c r="C67" s="2354">
        <f ca="1">C63-C66</f>
        <v>167172</v>
      </c>
      <c r="D67" s="162" t="s">
        <v>26</v>
      </c>
      <c r="E67" s="164"/>
      <c r="F67" s="1670"/>
      <c r="G67" s="1670"/>
      <c r="H67" s="151"/>
      <c r="I67" s="121"/>
      <c r="J67" s="3283"/>
      <c r="K67" s="1245" t="s">
        <v>1390</v>
      </c>
      <c r="L67" s="1245">
        <f ca="1">IF(M49&gt;=10000,(8.25+(M49-10000)*0.01%),IF(AND(M49&gt;=8000,M49&lt;10000),(7.85+(M49-8000)*0.02%),IF(AND(M49&gt;=5000,M49&lt;8000),(6.65+(M49-5000)*0.04%),IF(AND(M49&gt;=2000,M49&lt;5000),(4.25+(PM49-2000)*0.08%),IF(AND(M49&gt;=1000,M49&lt;2000),(2.75+(M49-1000)*0.15%),IF(AND(M49&gt;=100,M49&lt;1000),(0.5+(M49-100)*0.25%),IF(AND(M49&gt;0,M49&lt;100),M49*0.5%)))))))</f>
        <v>24.803100000000001</v>
      </c>
      <c r="M67" s="294">
        <f ca="1">ROUND(L67*0.9,1)</f>
        <v>22.3</v>
      </c>
      <c r="N67" s="2330"/>
      <c r="Z67" s="1623"/>
      <c r="AI67" s="1561"/>
    </row>
    <row r="68" spans="1:35" ht="14.25" customHeight="1" thickBot="1">
      <c r="A68" s="168" t="s">
        <v>329</v>
      </c>
      <c r="B68" s="169" t="s">
        <v>1391</v>
      </c>
      <c r="C68" s="2355">
        <f ca="1">IF(C67&lt;=0,0,ROUND(C67*D68,0))</f>
        <v>9362</v>
      </c>
      <c r="D68" s="2356">
        <f>'数据-取费表'!B41</f>
        <v>5.6000000000000001E-2</v>
      </c>
      <c r="E68" s="170"/>
      <c r="F68" s="1670"/>
      <c r="G68" s="1670"/>
      <c r="H68" s="151"/>
      <c r="I68" s="121"/>
      <c r="J68" s="3283"/>
      <c r="K68" s="1245" t="s">
        <v>1392</v>
      </c>
      <c r="L68" s="1245">
        <f ca="1">IF(M49&gt;10000,M49*0.5%,IF(AND(M49&gt;5000,M49&lt;=10000),M49*1%,IF(AND(M49&gt;1000,M49&lt;=5000),M49*2%,IF(AND(M49&gt;200,M49&lt;=1000),M49*3%,M49*5%))))</f>
        <v>877.65499999999997</v>
      </c>
      <c r="M68" s="294">
        <f ca="1">ROUND(L68,1)</f>
        <v>877.7</v>
      </c>
      <c r="N68" s="2330"/>
      <c r="Z68" s="1623"/>
      <c r="AI68" s="1561"/>
    </row>
    <row r="69" spans="1:35" ht="16.5" customHeight="1">
      <c r="A69" s="1672"/>
      <c r="B69" s="1673"/>
      <c r="C69" s="1674"/>
      <c r="D69" s="1675"/>
      <c r="E69" s="1676"/>
      <c r="F69" s="1466"/>
      <c r="G69" s="1466"/>
      <c r="H69" s="1467"/>
      <c r="I69" s="646"/>
      <c r="J69" s="3283"/>
      <c r="K69" s="1245" t="s">
        <v>1393</v>
      </c>
      <c r="L69" s="1245"/>
      <c r="M69" s="294">
        <f ca="1">ROUND(SUM(M63:M68),0)</f>
        <v>2831</v>
      </c>
      <c r="N69" s="2332">
        <f ca="1">M69/M49</f>
        <v>1.6128205274282034E-2</v>
      </c>
      <c r="Z69" s="1623"/>
      <c r="AI69" s="1561"/>
    </row>
    <row r="70" spans="1:35" s="642" customFormat="1" ht="1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9" t="s">
        <v>1375</v>
      </c>
      <c r="B71" s="332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167172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1003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1003</v>
      </c>
      <c r="D78" s="2363">
        <f>'数据-取费表'!B43</f>
        <v>6.000000000000001E-3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166169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165.67198404785643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99350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9" t="s">
        <v>1375</v>
      </c>
      <c r="B84" s="332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167172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1003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5" t="s">
        <v>2128</v>
      </c>
      <c r="H90" s="3286"/>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6" t="s">
        <v>1422</v>
      </c>
      <c r="F92" s="3317"/>
      <c r="G92" s="3317"/>
      <c r="H92" s="3318"/>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1003</v>
      </c>
      <c r="D93" s="2363">
        <f>'数据-取费表'!B43</f>
        <v>6.000000000000001E-3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166169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165.67198404785643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99350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301"/>
      <c r="E100" s="3258" t="s">
        <v>1429</v>
      </c>
      <c r="F100" s="3258"/>
      <c r="G100" s="3258"/>
      <c r="H100" s="3301"/>
      <c r="I100" s="121"/>
    </row>
    <row r="101" spans="1:35" ht="18.75" customHeight="1">
      <c r="A101" s="3309" t="s">
        <v>1430</v>
      </c>
      <c r="B101" s="3310"/>
      <c r="C101" s="2371" t="str">
        <f>C4</f>
        <v>成本法</v>
      </c>
      <c r="D101" s="2372" t="str">
        <f>D4</f>
        <v>收益法（汇总）</v>
      </c>
      <c r="E101" s="3279" t="s">
        <v>1431</v>
      </c>
      <c r="F101" s="3280"/>
      <c r="G101" s="1687" t="s">
        <v>1432</v>
      </c>
      <c r="H101" s="2381">
        <f ca="1">H118</f>
        <v>175531</v>
      </c>
      <c r="I101" s="121"/>
    </row>
    <row r="102" spans="1:35" ht="18.75" customHeight="1">
      <c r="A102" s="3311" t="s">
        <v>1433</v>
      </c>
      <c r="B102" s="2370" t="s">
        <v>1432</v>
      </c>
      <c r="C102" s="2371">
        <f ca="1">IF(D32="楼面单价",ROUND(C19,0),C19)</f>
        <v>189500</v>
      </c>
      <c r="D102" s="2372">
        <f ca="1">IF(D32="楼面单价",ROUND(D19,0),D19)</f>
        <v>161561</v>
      </c>
      <c r="E102" s="3279"/>
      <c r="F102" s="3280"/>
      <c r="G102" s="1687" t="s">
        <v>1434</v>
      </c>
      <c r="H102" s="2341">
        <f ca="1">I118</f>
        <v>38003</v>
      </c>
      <c r="I102" s="121"/>
    </row>
    <row r="103" spans="1:35" ht="42.75" customHeight="1">
      <c r="A103" s="3311"/>
      <c r="B103" s="2370" t="s">
        <v>1434</v>
      </c>
      <c r="C103" s="2373">
        <f ca="1">C20</f>
        <v>41027</v>
      </c>
      <c r="D103" s="2374">
        <f ca="1">D20</f>
        <v>34978</v>
      </c>
      <c r="E103" s="3272" t="s">
        <v>1435</v>
      </c>
      <c r="F103" s="3273"/>
      <c r="G103" s="1688" t="s">
        <v>1436</v>
      </c>
      <c r="H103" s="2381">
        <f>IF(D36="正常操作",H104+H105+H106,H105+H106)</f>
        <v>0</v>
      </c>
      <c r="I103" s="121"/>
    </row>
    <row r="104" spans="1:35" ht="18.75" customHeight="1">
      <c r="A104" s="3311" t="s">
        <v>1437</v>
      </c>
      <c r="B104" s="2375" t="s">
        <v>1432</v>
      </c>
      <c r="C104" s="2376">
        <f ca="1">H118</f>
        <v>175531</v>
      </c>
      <c r="D104" s="2377"/>
      <c r="E104" s="1555" t="s">
        <v>1438</v>
      </c>
      <c r="F104" s="1548"/>
      <c r="G104" s="1688" t="s">
        <v>1436</v>
      </c>
      <c r="H104" s="2382">
        <f>IF(D36="同一抵押权人同一抵押物续贷",C36&amp;"（续贷，未扣减，详见特别提示）",C36)</f>
        <v>0</v>
      </c>
      <c r="I104" s="121"/>
    </row>
    <row r="105" spans="1:35" ht="18.75" customHeight="1" thickBot="1">
      <c r="A105" s="3321"/>
      <c r="B105" s="2378" t="s">
        <v>1434</v>
      </c>
      <c r="C105" s="2379">
        <f ca="1">I118</f>
        <v>38003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2" t="str">
        <f>IF(项目基本情况!E8="已注销","——","3.房地产抵押价值")</f>
        <v>3.房地产抵押价值</v>
      </c>
      <c r="F107" s="3280"/>
      <c r="G107" s="1687" t="s">
        <v>1432</v>
      </c>
      <c r="H107" s="2381">
        <f ca="1">IF(E107="——","——",H101-H103)</f>
        <v>175531</v>
      </c>
      <c r="I107" s="121"/>
    </row>
    <row r="108" spans="1:35" ht="18.75" customHeight="1">
      <c r="A108" s="121"/>
      <c r="B108" s="121"/>
      <c r="C108" s="121"/>
      <c r="D108" s="121"/>
      <c r="E108" s="3312"/>
      <c r="F108" s="3280"/>
      <c r="G108" s="1687" t="s">
        <v>1434</v>
      </c>
      <c r="H108" s="2341">
        <f ca="1">IF(H107=H101,H102,ROUND(H107*10000/'数据-汇总表'!E3,0))</f>
        <v>38003</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4" t="str">
        <f>IF(E109="——","——",H101-H105-H106)</f>
        <v>——</v>
      </c>
      <c r="I109" s="121"/>
    </row>
    <row r="110" spans="1:35" ht="18.75" customHeight="1">
      <c r="A110" s="121"/>
      <c r="B110" s="121"/>
      <c r="C110" s="121"/>
      <c r="D110" s="121"/>
      <c r="E110" s="3312"/>
      <c r="F110" s="3280"/>
      <c r="G110" s="1687" t="s">
        <v>1434</v>
      </c>
      <c r="H110" s="2341"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14"/>
      <c r="F112" s="3315"/>
      <c r="G112" s="1690" t="s">
        <v>1434</v>
      </c>
      <c r="H112" s="2385"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46189.05</v>
      </c>
      <c r="C118" s="2150">
        <f>M19</f>
        <v>5746.62</v>
      </c>
      <c r="D118" s="2150">
        <f ca="1">ROUND(IF(D32="总价",C34,E118*B118/10000),0)</f>
        <v>147973</v>
      </c>
      <c r="E118" s="2150">
        <f ca="1">ROUND(IF(C33="自定义",IF(D32="楼面单价",C34,D118*10000/B118),I118-G118),0)</f>
        <v>32037</v>
      </c>
      <c r="F118" s="2150">
        <f ca="1">ROUND(IF(D32="总价",C35,G118*B118/10000),0)</f>
        <v>27558</v>
      </c>
      <c r="G118" s="2150">
        <f ca="1">ROUND(IF(D32="楼面单价",C35,F118*10000/B118),0)</f>
        <v>5966</v>
      </c>
      <c r="H118" s="2150">
        <f ca="1">ROUND(IF(D32="总价",C32,I118*B118/10000),0)</f>
        <v>175531</v>
      </c>
      <c r="I118" s="2150">
        <f ca="1">ROUND(IF(D32="楼面单价",C32,H118*10000/B118),0)</f>
        <v>38003</v>
      </c>
    </row>
    <row r="119" spans="1:27" ht="18.75" customHeight="1">
      <c r="A119" s="3287" t="s">
        <v>1452</v>
      </c>
      <c r="B119" s="3287"/>
      <c r="C119" s="3287"/>
      <c r="D119" s="3293" t="str">
        <f ca="1">NUMBERSTRING(INT(D118*10000),2)&amp;"元整"</f>
        <v>壹拾肆亿柒仟玖佰柒拾叁万元整</v>
      </c>
      <c r="E119" s="3294"/>
      <c r="F119" s="3293" t="str">
        <f ca="1">NUMBERSTRING(INT(F118*10000),2)&amp;"元整"</f>
        <v>贰亿柒仟伍佰伍拾捌万元整</v>
      </c>
      <c r="G119" s="3294"/>
      <c r="H119" s="3293" t="str">
        <f ca="1">NUMBERSTRING(INT(H118*10000),2)&amp;"元整"</f>
        <v>壹拾柒亿伍仟伍佰叁拾壹万元整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f ca="1">H107</f>
        <v>175531</v>
      </c>
      <c r="E122" s="3289"/>
      <c r="F122" s="3289"/>
      <c r="G122" s="3289"/>
      <c r="H122" s="3289"/>
      <c r="I122" s="3290"/>
      <c r="AA122" s="684"/>
    </row>
    <row r="123" spans="1:27" ht="18.75" customHeight="1">
      <c r="A123" s="3287" t="s">
        <v>1452</v>
      </c>
      <c r="B123" s="3287"/>
      <c r="C123" s="3287"/>
      <c r="D123" s="3293" t="str">
        <f ca="1">NUMBERSTRING(INT(D122*10000),2)&amp;"元整"</f>
        <v>壹拾柒亿伍仟伍佰叁拾壹万元整</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北京市房地产抵押价值预评估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N45" sqref="N4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189500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41027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114865</v>
      </c>
      <c r="D5" s="203" t="s">
        <v>1469</v>
      </c>
      <c r="E5" s="204" t="s">
        <v>1470</v>
      </c>
      <c r="F5" s="204" t="s">
        <v>1471</v>
      </c>
      <c r="G5" s="205"/>
    </row>
    <row r="6" spans="1:9" s="206" customFormat="1" ht="13.5" customHeight="1">
      <c r="A6" s="732" t="s">
        <v>1472</v>
      </c>
      <c r="B6" s="207" t="s">
        <v>1473</v>
      </c>
      <c r="C6" s="208">
        <f ca="1">'基准地价（汇总）'!B2</f>
        <v>110569</v>
      </c>
      <c r="D6" s="209"/>
      <c r="E6" s="210"/>
      <c r="F6" s="210"/>
      <c r="G6" s="211"/>
    </row>
    <row r="7" spans="1:9" s="206" customFormat="1" ht="13.5" customHeight="1">
      <c r="A7" s="732" t="s">
        <v>1474</v>
      </c>
      <c r="B7" s="207" t="s">
        <v>1475</v>
      </c>
      <c r="C7" s="212">
        <f ca="1">ROUND(C6*F7,0)</f>
        <v>3372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924</v>
      </c>
      <c r="D8" s="214"/>
      <c r="E8" s="212"/>
      <c r="F8" s="213"/>
      <c r="G8" s="1714" t="s">
        <v>3480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3481</v>
      </c>
      <c r="H9" s="1070"/>
      <c r="I9" s="1716" t="s">
        <v>1479</v>
      </c>
    </row>
    <row r="10" spans="1:9" s="206" customFormat="1" ht="13.5" customHeight="1">
      <c r="A10" s="733" t="s">
        <v>356</v>
      </c>
      <c r="B10" s="216" t="s">
        <v>1480</v>
      </c>
      <c r="C10" s="217">
        <f ca="1">ROUND(D10*E10/10000,0)</f>
        <v>924</v>
      </c>
      <c r="D10" s="795">
        <f ca="1">IF(B1="",'数据-汇总表'!E6,IF(INDIRECT("'数据-取费表'!c"&amp;$G$1)="住宅",INDIRECT("'数据-取费表'!s"&amp;$G$1),INDIRECT("'数据-取费表'!k"&amp;$G$1)+INDIRECT("'数据-取费表'!s"&amp;$G$1)))</f>
        <v>46189.05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46189.05</v>
      </c>
      <c r="E19" s="203">
        <f>'数据-取费表'!B31</f>
        <v>200</v>
      </c>
      <c r="F19" s="223"/>
      <c r="G19" s="1714" t="s">
        <v>3482</v>
      </c>
    </row>
    <row r="20" spans="1:7" s="206" customFormat="1" ht="13.5" customHeight="1">
      <c r="A20" s="247" t="s">
        <v>1493</v>
      </c>
      <c r="B20" s="202" t="s">
        <v>1494</v>
      </c>
      <c r="C20" s="224">
        <f ca="1">ROUND((C5+C19)*F20,0)</f>
        <v>3446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7098</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6995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103</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20113</v>
      </c>
      <c r="D27" s="227">
        <f ca="1">C29</f>
        <v>5.1000000000000004E-3</v>
      </c>
      <c r="E27" s="228" t="s">
        <v>1514</v>
      </c>
      <c r="F27" s="238">
        <f ca="1">IF(B1="",'数据-取费表'!Q16,INDIRECT("'数据-取费表'!q"&amp;$G$1))</f>
        <v>0.17</v>
      </c>
      <c r="G27" s="239" t="s">
        <v>1515</v>
      </c>
    </row>
    <row r="28" spans="1:7" s="206" customFormat="1" ht="13.5" customHeight="1">
      <c r="A28" s="734" t="s">
        <v>346</v>
      </c>
      <c r="B28" s="240" t="s">
        <v>1516</v>
      </c>
      <c r="C28" s="241">
        <f ca="1">ROUND((C5+C19+C20)*F27*'数据-取费表'!B21/'数据-取费表'!B20,0)</f>
        <v>20113</v>
      </c>
      <c r="D28" s="227"/>
      <c r="E28" s="228"/>
      <c r="F28" s="238"/>
      <c r="G28" s="239"/>
    </row>
    <row r="29" spans="1:7" s="206" customFormat="1" ht="13.5" customHeight="1">
      <c r="A29" s="734" t="s">
        <v>347</v>
      </c>
      <c r="B29" s="240" t="s">
        <v>1517</v>
      </c>
      <c r="C29" s="230">
        <f ca="1">ROUND(C21*F27*'数据-取费表'!B21/'数据-取费表'!B20,4)</f>
        <v>5.1000000000000004E-3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159791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27362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24480</v>
      </c>
      <c r="D34" s="209"/>
      <c r="E34" s="212"/>
      <c r="F34" s="249">
        <f ca="1">IF('数据-取费表'!B24=0,1,IF(B1="",'数据-取费表'!N16,INDIRECT("'数据-取费表'!n"&amp;$G$1)))</f>
        <v>1</v>
      </c>
      <c r="G34" s="211" t="s">
        <v>1526</v>
      </c>
    </row>
    <row r="35" spans="1:7" ht="13.5" customHeight="1">
      <c r="A35" s="734" t="s">
        <v>351</v>
      </c>
      <c r="B35" s="207" t="s">
        <v>1527</v>
      </c>
      <c r="C35" s="212">
        <f ca="1">ROUND(C34*F35,0)</f>
        <v>1224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924</v>
      </c>
      <c r="D37" s="209">
        <f ca="1">D19</f>
        <v>46189.05</v>
      </c>
      <c r="E37" s="241">
        <f>'数据-取费表'!B35</f>
        <v>200</v>
      </c>
      <c r="F37" s="251"/>
      <c r="G37" s="253" t="s">
        <v>1532</v>
      </c>
    </row>
    <row r="38" spans="1:7" ht="13.5" customHeight="1">
      <c r="A38" s="734" t="s">
        <v>354</v>
      </c>
      <c r="B38" s="207" t="s">
        <v>1533</v>
      </c>
      <c r="C38" s="212">
        <f ca="1">ROUND(C34*F38,0)</f>
        <v>734</v>
      </c>
      <c r="D38" s="212"/>
      <c r="E38" s="212"/>
      <c r="F38" s="251">
        <f>'数据-取费表'!B36</f>
        <v>0.03</v>
      </c>
      <c r="G38" s="211" t="s">
        <v>1528</v>
      </c>
    </row>
    <row r="39" spans="1:7" s="206" customFormat="1" ht="13.5" customHeight="1">
      <c r="A39" s="247" t="s">
        <v>1534</v>
      </c>
      <c r="B39" s="202" t="s">
        <v>1535</v>
      </c>
      <c r="C39" s="224">
        <f ca="1">ROUND(C33*F20,0)</f>
        <v>821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846</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821</v>
      </c>
      <c r="D42" s="230"/>
      <c r="E42" s="230"/>
      <c r="F42" s="231"/>
      <c r="G42" s="3366" t="s">
        <v>1544</v>
      </c>
    </row>
    <row r="43" spans="1:7" ht="13.5" customHeight="1">
      <c r="A43" s="734" t="s">
        <v>347</v>
      </c>
      <c r="B43" s="207" t="s">
        <v>1545</v>
      </c>
      <c r="C43" s="230">
        <f ca="1">ROUND(IF('数据-取费表'!B22&lt;=1,C39*F22*'数据-取费表'!B21/2,C39*(POWER((1+F22),'数据-取费表'!B21/2)-1)),0)</f>
        <v>25</v>
      </c>
      <c r="D43" s="230"/>
      <c r="E43" s="230"/>
      <c r="F43" s="231"/>
      <c r="G43" s="3367"/>
    </row>
    <row r="44" spans="1:7" ht="13.5" customHeight="1">
      <c r="A44" s="734" t="s">
        <v>348</v>
      </c>
      <c r="B44" s="207" t="s">
        <v>1546</v>
      </c>
      <c r="C44" s="230">
        <f ca="1">ROUND(IF('数据-取费表'!B22&lt;=1,C40*F22*'数据-取费表'!B21/2,C40*(POWER((1+F22),'数据-取费表'!B21/2)-1)),4)</f>
        <v>8.9999999999999998E-4</v>
      </c>
      <c r="D44" s="230"/>
      <c r="E44" s="230"/>
      <c r="F44" s="231"/>
      <c r="G44" s="3368"/>
    </row>
    <row r="45" spans="1:7" s="206" customFormat="1" ht="13.5" customHeight="1">
      <c r="A45" s="247" t="s">
        <v>1547</v>
      </c>
      <c r="B45" s="236" t="s">
        <v>1513</v>
      </c>
      <c r="C45" s="237">
        <f ca="1">C46</f>
        <v>4791</v>
      </c>
      <c r="D45" s="227">
        <f ca="1">C47</f>
        <v>5.1000000000000004E-3</v>
      </c>
      <c r="E45" s="228" t="s">
        <v>1539</v>
      </c>
      <c r="F45" s="238">
        <f ca="1">F27</f>
        <v>0.17</v>
      </c>
      <c r="G45" s="239" t="s">
        <v>1548</v>
      </c>
    </row>
    <row r="46" spans="1:7" s="206" customFormat="1" ht="13.5" customHeight="1">
      <c r="A46" s="734" t="s">
        <v>346</v>
      </c>
      <c r="B46" s="240" t="s">
        <v>1549</v>
      </c>
      <c r="C46" s="241">
        <f ca="1">ROUND((C33+C39)*F27,0)</f>
        <v>4791</v>
      </c>
      <c r="D46" s="255"/>
      <c r="E46" s="228"/>
      <c r="F46" s="238"/>
      <c r="G46" s="239"/>
    </row>
    <row r="47" spans="1:7" s="206" customFormat="1" ht="13.5" customHeight="1">
      <c r="A47" s="734" t="s">
        <v>347</v>
      </c>
      <c r="B47" s="240" t="s">
        <v>1550</v>
      </c>
      <c r="C47" s="230">
        <f ca="1">ROUND(C40*F27,4)</f>
        <v>5.1000000000000004E-3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37136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29709</v>
      </c>
      <c r="D51" s="224"/>
      <c r="E51" s="224"/>
      <c r="F51" s="256"/>
      <c r="G51" s="226" t="s">
        <v>1560</v>
      </c>
    </row>
    <row r="52" spans="1:7" s="200" customFormat="1" ht="16.5" thickBot="1">
      <c r="A52" s="257" t="s">
        <v>1561</v>
      </c>
      <c r="B52" s="258"/>
      <c r="C52" s="259">
        <f ca="1">C31+C51</f>
        <v>189500</v>
      </c>
      <c r="D52" s="258"/>
      <c r="E52" s="258"/>
      <c r="F52" s="258"/>
      <c r="G52" s="260"/>
    </row>
    <row r="55" spans="1:7" ht="15">
      <c r="B55" s="262" t="s">
        <v>1562</v>
      </c>
      <c r="C55" s="263"/>
    </row>
    <row r="56" spans="1:7">
      <c r="B56" s="265" t="s">
        <v>802</v>
      </c>
      <c r="C56" s="267">
        <f ca="1">1-C57</f>
        <v>0.84299999999999997</v>
      </c>
    </row>
    <row r="57" spans="1:7">
      <c r="B57" s="265" t="s">
        <v>803</v>
      </c>
      <c r="C57" s="266">
        <f ca="1">ROUND(C51/C52,3)</f>
        <v>0.157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32279.137900000002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6988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9237810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9237810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9237810</v>
      </c>
      <c r="D10" s="795">
        <f ca="1">IF(B1="",'数据-汇总表'!E6,IF(INDIRECT("'数据-取费表'!c"&amp;$G$1)="住宅",INDIRECT("'数据-取费表'!s"&amp;$G$1),INDIRECT("'数据-取费表'!k"&amp;$G$1)+INDIRECT("'数据-取费表'!s"&amp;$G$1)))</f>
        <v>46189.05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9237810</v>
      </c>
      <c r="D19" s="204">
        <f ca="1">D9+D10</f>
        <v>46189.05</v>
      </c>
      <c r="E19" s="203">
        <f>'数据-取费表'!B31</f>
        <v>200</v>
      </c>
      <c r="F19" s="223"/>
      <c r="G19" s="1714"/>
    </row>
    <row r="20" spans="1:7" s="206" customFormat="1" ht="13.5" customHeight="1">
      <c r="A20" s="247" t="s">
        <v>1574</v>
      </c>
      <c r="B20" s="202" t="s">
        <v>1575</v>
      </c>
      <c r="C20" s="224">
        <f ca="1">ROUND((C5+C19)*F20,0)</f>
        <v>554269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1141794</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562583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562583</v>
      </c>
      <c r="D24" s="230"/>
      <c r="E24" s="230"/>
      <c r="F24" s="231"/>
      <c r="G24" s="232" t="s">
        <v>1586</v>
      </c>
    </row>
    <row r="25" spans="1:7" s="206" customFormat="1" ht="24">
      <c r="A25" s="734" t="s">
        <v>1476</v>
      </c>
      <c r="B25" s="207" t="s">
        <v>1587</v>
      </c>
      <c r="C25" s="230">
        <f ca="1">ROUND(IF('数据-取费表'!B22&lt;=1,C20*F22*'数据-取费表'!B22/2,C20*(POWER((1+F22),'数据-取费表'!B22/2)-1)),0)</f>
        <v>16628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3235081</v>
      </c>
      <c r="D27" s="227">
        <f ca="1">C29</f>
        <v>5.1000000000000004E-3</v>
      </c>
      <c r="E27" s="228" t="s">
        <v>1514</v>
      </c>
      <c r="F27" s="238">
        <f ca="1">IF(B1="",'数据-取费表'!Q16,INDIRECT("'数据-取费表'!q"&amp;$G$1))</f>
        <v>0.17</v>
      </c>
      <c r="G27" s="239" t="s">
        <v>1515</v>
      </c>
    </row>
    <row r="28" spans="1:7" s="206" customFormat="1" ht="13.5" customHeight="1">
      <c r="A28" s="734" t="s">
        <v>346</v>
      </c>
      <c r="B28" s="240" t="s">
        <v>1516</v>
      </c>
      <c r="C28" s="241">
        <f ca="1">ROUND((C5+C19+C20)*F27,0)</f>
        <v>3235081</v>
      </c>
      <c r="D28" s="227"/>
      <c r="E28" s="228"/>
      <c r="F28" s="238"/>
      <c r="G28" s="239"/>
    </row>
    <row r="29" spans="1:7" s="206" customFormat="1" ht="13.5" customHeight="1">
      <c r="A29" s="734" t="s">
        <v>347</v>
      </c>
      <c r="B29" s="240" t="s">
        <v>1517</v>
      </c>
      <c r="C29" s="230">
        <f ca="1">ROUND(C21*F27,4)</f>
        <v>5.1000000000000004E-3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25701948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273623932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244801965</v>
      </c>
      <c r="D34" s="209"/>
      <c r="E34" s="212"/>
      <c r="F34" s="249"/>
      <c r="G34" s="211"/>
    </row>
    <row r="35" spans="1:7" ht="13.5" customHeight="1">
      <c r="A35" s="734" t="s">
        <v>351</v>
      </c>
      <c r="B35" s="207" t="s">
        <v>1527</v>
      </c>
      <c r="C35" s="212">
        <f ca="1">ROUND(C34*F35,0)</f>
        <v>12240098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9237810</v>
      </c>
      <c r="D37" s="209">
        <f ca="1">D19</f>
        <v>46189.05</v>
      </c>
      <c r="E37" s="241">
        <f>'数据-取费表'!B35</f>
        <v>200</v>
      </c>
      <c r="F37" s="251"/>
      <c r="G37" s="253"/>
    </row>
    <row r="38" spans="1:7" ht="13.5" customHeight="1">
      <c r="A38" s="734" t="s">
        <v>354</v>
      </c>
      <c r="B38" s="207" t="s">
        <v>1533</v>
      </c>
      <c r="C38" s="212">
        <f ca="1">ROUND(C34*F38,0)</f>
        <v>7344059</v>
      </c>
      <c r="D38" s="212"/>
      <c r="E38" s="212"/>
      <c r="F38" s="251">
        <f>'数据-取费表'!B36</f>
        <v>0.03</v>
      </c>
      <c r="G38" s="211" t="s">
        <v>1528</v>
      </c>
    </row>
    <row r="39" spans="1:7" s="206" customFormat="1" ht="13.5" customHeight="1">
      <c r="A39" s="247" t="s">
        <v>1534</v>
      </c>
      <c r="B39" s="202" t="s">
        <v>1535</v>
      </c>
      <c r="C39" s="224">
        <f ca="1">ROUND(C33*F20,0)</f>
        <v>8208718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8454980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8208718</v>
      </c>
      <c r="D42" s="230"/>
      <c r="E42" s="230"/>
      <c r="F42" s="231"/>
      <c r="G42" s="3366" t="s">
        <v>1591</v>
      </c>
    </row>
    <row r="43" spans="1:7" ht="13.5" customHeight="1">
      <c r="A43" s="734" t="s">
        <v>347</v>
      </c>
      <c r="B43" s="207" t="s">
        <v>1545</v>
      </c>
      <c r="C43" s="230">
        <f ca="1">ROUND(IF('数据-取费表'!B22&lt;=1,C39*F22*'数据-取费表'!B20/2,C39*(POWER((1+F22),'数据-取费表'!B20/2)-1)),0)</f>
        <v>246262</v>
      </c>
      <c r="D43" s="230"/>
      <c r="E43" s="230"/>
      <c r="F43" s="231"/>
      <c r="G43" s="3367"/>
    </row>
    <row r="44" spans="1:7" ht="13.5" customHeight="1">
      <c r="A44" s="734" t="s">
        <v>348</v>
      </c>
      <c r="B44" s="207" t="s">
        <v>1546</v>
      </c>
      <c r="C44" s="230">
        <f ca="1">ROUND(IF('数据-取费表'!B22&lt;=1,C40*F22*'数据-取费表'!B20/2,C40*(POWER((1+F22),'数据-取费表'!B20/2)-1)),4)</f>
        <v>8.9999999999999998E-4</v>
      </c>
      <c r="D44" s="230"/>
      <c r="E44" s="230"/>
      <c r="F44" s="231"/>
      <c r="G44" s="3368"/>
    </row>
    <row r="45" spans="1:7" s="206" customFormat="1" ht="13.5" customHeight="1">
      <c r="A45" s="247" t="s">
        <v>1547</v>
      </c>
      <c r="B45" s="236" t="s">
        <v>1513</v>
      </c>
      <c r="C45" s="237">
        <f ca="1">C46</f>
        <v>47911551</v>
      </c>
      <c r="D45" s="227">
        <f ca="1">C47</f>
        <v>5.1000000000000004E-3</v>
      </c>
      <c r="E45" s="228" t="s">
        <v>1539</v>
      </c>
      <c r="F45" s="238">
        <f ca="1">F27</f>
        <v>0.17</v>
      </c>
      <c r="G45" s="239" t="s">
        <v>1548</v>
      </c>
    </row>
    <row r="46" spans="1:7" s="206" customFormat="1" ht="13.5" customHeight="1">
      <c r="A46" s="734" t="s">
        <v>346</v>
      </c>
      <c r="B46" s="240" t="s">
        <v>1549</v>
      </c>
      <c r="C46" s="241">
        <f ca="1">ROUND((C33+C39)*F27,0)</f>
        <v>47911551</v>
      </c>
      <c r="D46" s="255"/>
      <c r="E46" s="228"/>
      <c r="F46" s="238"/>
      <c r="G46" s="239"/>
    </row>
    <row r="47" spans="1:7" s="206" customFormat="1" ht="13.5" customHeight="1">
      <c r="A47" s="734" t="s">
        <v>347</v>
      </c>
      <c r="B47" s="240" t="s">
        <v>1550</v>
      </c>
      <c r="C47" s="230">
        <f ca="1">ROUND(C40*F27,4)</f>
        <v>5.1000000000000004E-3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371361789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297089431</v>
      </c>
      <c r="D51" s="224"/>
      <c r="E51" s="224"/>
      <c r="F51" s="256"/>
      <c r="G51" s="226" t="s">
        <v>1560</v>
      </c>
    </row>
    <row r="52" spans="1:7" s="200" customFormat="1" ht="16.5" thickBot="1">
      <c r="A52" s="257" t="s">
        <v>1561</v>
      </c>
      <c r="B52" s="258"/>
      <c r="C52" s="259">
        <f ca="1">C31+C51</f>
        <v>322791379</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46189.05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46189.05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924</v>
      </c>
      <c r="D20" s="796">
        <f ca="1">IF(C1="",'数据-汇总表'!E6,IF(INDIRECT("'数据-取费表'!c"&amp;$K$1)="住宅",INDIRECT("'数据-取费表'!s"&amp;$K$1),INDIRECT("'数据-取费表'!k"&amp;$K$1)+INDIRECT("'数据-取费表'!s"&amp;$K$1)))</f>
        <v>46189.05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0.17</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G38" sqref="G3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2073</v>
      </c>
      <c r="B2" s="2388">
        <f ca="1">SUMIF(B6:B13,"&lt;&gt;#ref!",B6:B13)</f>
        <v>110569</v>
      </c>
      <c r="C2" s="1984" t="s">
        <v>2074</v>
      </c>
      <c r="D2" s="1984" t="s">
        <v>2075</v>
      </c>
      <c r="E2" s="2398">
        <f ca="1">SUMIF(E6:E13,"&lt;&gt;#ref!",E6:E13)</f>
        <v>42749.889999999992</v>
      </c>
      <c r="F2" s="2545"/>
      <c r="G2" s="2545"/>
      <c r="H2" s="2545"/>
      <c r="I2" s="2545"/>
      <c r="J2" s="2545"/>
      <c r="K2" s="2545"/>
      <c r="L2" s="2545"/>
      <c r="M2" s="2545"/>
      <c r="N2" s="2545"/>
      <c r="O2" s="2545"/>
      <c r="P2" s="2545"/>
    </row>
    <row r="3" spans="1:16" ht="15.75">
      <c r="A3" s="1984" t="s">
        <v>2076</v>
      </c>
      <c r="B3" s="2388">
        <f ca="1">ROUND(B2*10000/E2,0)</f>
        <v>25864</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3411</v>
      </c>
      <c r="B6" s="2388">
        <f ca="1">SUMIF(INDIRECT("'"&amp;A6&amp;"'"&amp;"!A:A"),"总价",INDIRECT("'"&amp;A6&amp;"'"&amp;"!B:B"))</f>
        <v>89273</v>
      </c>
      <c r="C6" s="1984" t="s">
        <v>2074</v>
      </c>
      <c r="D6" s="2545"/>
      <c r="E6" s="2398">
        <f ca="1">SUMIF(INDIRECT("'"&amp;A6&amp;"'"&amp;"!C:C"),"建筑面积",INDIRECT("'"&amp;A6&amp;"'"&amp;"!D:D"))</f>
        <v>38431.539999999994</v>
      </c>
      <c r="F6" s="2545"/>
      <c r="G6" s="2545"/>
      <c r="H6" s="2545"/>
      <c r="I6" s="2545"/>
      <c r="J6" s="2545"/>
      <c r="K6" s="2545"/>
      <c r="L6" s="2545"/>
      <c r="M6" s="2545"/>
      <c r="N6" s="2545"/>
      <c r="O6" s="2545"/>
      <c r="P6" s="2545"/>
    </row>
    <row r="7" spans="1:16" ht="15.75">
      <c r="A7" s="2395" t="s">
        <v>3413</v>
      </c>
      <c r="B7" s="2388">
        <f ca="1">SUMIF(INDIRECT("'"&amp;A7&amp;"'"&amp;"!A:A"),"总价",INDIRECT("'"&amp;A7&amp;"'"&amp;"!B:B"))</f>
        <v>21296</v>
      </c>
      <c r="C7" s="1984" t="s">
        <v>2074</v>
      </c>
      <c r="D7" s="2545"/>
      <c r="E7" s="2398">
        <f t="shared" ref="E7:E13" ca="1" si="0">SUMIF(INDIRECT("'"&amp;A7&amp;"'"&amp;"!C:C"),"建筑面积",INDIRECT("'"&amp;A7&amp;"'"&amp;"!D:D"))</f>
        <v>4318.3500000000004</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38431.539999999994</v>
      </c>
      <c r="E1" s="1842"/>
      <c r="F1" s="1842"/>
      <c r="G1" s="1842"/>
      <c r="H1" s="1842"/>
      <c r="I1" s="1842"/>
      <c r="J1" s="1842"/>
      <c r="K1" s="1056"/>
      <c r="L1" s="1843" t="s">
        <v>1928</v>
      </c>
      <c r="M1" s="810">
        <f>SUMPRODUCT((区片价!B5:B9=I2)*(区片价!C3:G3=E2)*(区片价!C5:G9))</f>
        <v>34690</v>
      </c>
      <c r="N1" s="813">
        <f>SUMPRODUCT((因素修正幅度!B5:B9=I2)*(因素修正幅度!C3:G3=E2)*(因素修正幅度!C5:G9))</f>
        <v>9.7000000000000003E-2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89273</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47663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23229</v>
      </c>
      <c r="C3" s="1846" t="s">
        <v>1941</v>
      </c>
      <c r="D3" s="162" t="s">
        <v>1942</v>
      </c>
      <c r="E3" s="3119" t="s">
        <v>3479</v>
      </c>
      <c r="F3" s="1848" t="s">
        <v>3487</v>
      </c>
      <c r="G3" s="708">
        <f>IF(F3="宗地容积率",'数据-汇总表'!I4,IF(F3="估价对象容积率",'数据-汇总表'!I6,'数据-汇总表'!I7))</f>
        <v>5.44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37839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6"/>
      <c r="B4" s="3377"/>
      <c r="C4" s="3377"/>
      <c r="D4" s="3378"/>
      <c r="E4" s="3378"/>
      <c r="F4" s="3378"/>
      <c r="G4" s="3378"/>
      <c r="H4" s="3378"/>
      <c r="I4" s="3378"/>
      <c r="J4" s="33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32696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36425</v>
      </c>
      <c r="D5" s="1252">
        <f>ROUND(C6*C17+C20,0)</f>
        <v>34690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29586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34690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28198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5.44</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v>1.05</v>
      </c>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0" t="s">
        <v>3253</v>
      </c>
      <c r="B20" s="159" t="s">
        <v>1994</v>
      </c>
      <c r="C20" s="3032">
        <f>ROUND(IF(F21="与级别开发程度一致",0,(G21-E21)/C21),0)</f>
        <v>0</v>
      </c>
      <c r="D20" s="3047" t="s">
        <v>1998</v>
      </c>
      <c r="E20" s="3048"/>
      <c r="F20" s="3386" t="s">
        <v>1995</v>
      </c>
      <c r="G20" s="338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3475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45826</v>
      </c>
      <c r="H23" s="3049" t="s">
        <v>3255</v>
      </c>
      <c r="I23" s="3050" t="str">
        <f>IF(H23="季度增幅（自定义）",SUMIF(N25:N28,E2,O25:O28),"")</f>
        <v/>
      </c>
      <c r="J23" s="3142" t="s">
        <v>3254</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0.82220000000000004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27.1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0.95099999999999996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0.95099999999999996</v>
      </c>
      <c r="E26" s="708">
        <f>ROUNDDOWN(G3,1)</f>
        <v>5.4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0.95179999999999998</v>
      </c>
      <c r="G26" s="708">
        <f>ROUNDUP(G3,1)</f>
        <v>5.5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0.94979999999999998</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1.0558000000000001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89273</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1584</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29809</v>
      </c>
      <c r="D33" s="1940">
        <f>'数据-基础表'!I13</f>
        <v>27823.949999999997</v>
      </c>
      <c r="E33" s="727">
        <f>ROUND(C33*D33/10000,0)</f>
        <v>82940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7452</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4"/>
      <c r="B37" s="1955" t="s">
        <v>2036</v>
      </c>
      <c r="C37" s="167">
        <f>ROUND(D5*C22*C23*C24*C28*F37,0)</f>
        <v>20896</v>
      </c>
      <c r="D37" s="1940"/>
      <c r="E37" s="163">
        <f>ROUND(C37*D37/10000,0)</f>
        <v>0</v>
      </c>
      <c r="F37" s="163">
        <f>SUMIF(修正!A57:A68,G2,修正!B57:B68)</f>
        <v>0.7</v>
      </c>
      <c r="G37" s="163">
        <f>ROUND(IF(E2="工业",C37*$M$42,C37*$M$41),0)</f>
        <v>5224</v>
      </c>
      <c r="H37" s="163">
        <f>D37</f>
        <v>0</v>
      </c>
      <c r="I37" s="163">
        <f>ROUND(G37*H37/10000,0)</f>
        <v>0</v>
      </c>
      <c r="J37" s="2755"/>
      <c r="K37" s="3062" t="s">
        <v>3265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f>ROUND(D5*C22*C23*C24*C28*F38,0)</f>
        <v>11941</v>
      </c>
      <c r="D38" s="1940"/>
      <c r="E38" s="163">
        <f t="shared" ref="E38:E42" si="4">ROUND(C38*D38/10000,0)</f>
        <v>0</v>
      </c>
      <c r="F38" s="163">
        <f>SUMIF(修正!A57:A68,G2,修正!C57:C68)</f>
        <v>0.4</v>
      </c>
      <c r="G38" s="163">
        <f>ROUND(IF(E2="工业",C38*$M$42,C38*$M$41),0)</f>
        <v>2985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5"/>
      <c r="B39" s="1884" t="s">
        <v>3258</v>
      </c>
      <c r="C39" s="167">
        <f>ROUND(D5*C22*C23*C24*C28*F39,0)</f>
        <v>8955</v>
      </c>
      <c r="D39" s="1940"/>
      <c r="E39" s="163">
        <f t="shared" si="4"/>
        <v>0</v>
      </c>
      <c r="F39" s="163">
        <f>SUMIF(修正!A57:A68,G2,修正!D57:D68)</f>
        <v>0.3</v>
      </c>
      <c r="G39" s="163">
        <f>ROUND(IF(E2="工业",C39*$M$42,C39*$M$41),0)</f>
        <v>2239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8955</v>
      </c>
      <c r="D40" s="1940"/>
      <c r="E40" s="163">
        <f t="shared" si="4"/>
        <v>0</v>
      </c>
      <c r="F40" s="167">
        <f>SUMIF(修正!A57:A68,G2,修正!E57:E68)</f>
        <v>0.3</v>
      </c>
      <c r="G40" s="163">
        <f>ROUND(IF(E2="工业",C40*$M$42,C40*$M$41),0)</f>
        <v>2239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8955</v>
      </c>
      <c r="D41" s="1940"/>
      <c r="E41" s="163">
        <f t="shared" si="4"/>
        <v>0</v>
      </c>
      <c r="F41" s="167">
        <f>SUMIF(修正!A57:A68,G2,修正!F57:F68)</f>
        <v>0.3</v>
      </c>
      <c r="G41" s="163">
        <f>ROUND(IF(E2="工业",C41*$M$42,C41*$M$41),0)</f>
        <v>2239</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5970</v>
      </c>
      <c r="D42" s="1945">
        <f>'数据-基础表'!O13</f>
        <v>10607.59</v>
      </c>
      <c r="E42" s="179">
        <f t="shared" si="4"/>
        <v>6333</v>
      </c>
      <c r="F42" s="723">
        <f>SUMIF(修正!A57:A68,G2,修正!G57:G68)</f>
        <v>0.2</v>
      </c>
      <c r="G42" s="179">
        <f>ROUND(IF(E2="工业",C42*$M$42,C42*$M$41),0)</f>
        <v>1493</v>
      </c>
      <c r="H42" s="179">
        <f t="shared" si="5"/>
        <v>10607.59</v>
      </c>
      <c r="I42" s="179">
        <f t="shared" si="6"/>
        <v>1584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0.82220000000000004</v>
      </c>
      <c r="D44" s="163" t="s">
        <v>1999</v>
      </c>
      <c r="E44" s="1991">
        <f>G24</f>
        <v>5.5E-2</v>
      </c>
      <c r="F44" s="163" t="s">
        <v>2008</v>
      </c>
      <c r="G44" s="175">
        <f>项目基本情况!F15</f>
        <v>27.1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1.0558000000000001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3477</v>
      </c>
      <c r="D61" s="1002">
        <f t="shared" ref="D61:D69" si="12">SUMIF($J$60:$N$60,C61,J61:N61)</f>
        <v>1.21E-2</v>
      </c>
      <c r="E61" s="702">
        <f>ROUND(SUM(D61:D69),4)</f>
        <v>5.5800000000000002E-2</v>
      </c>
      <c r="F61" s="1675">
        <f>IF(E2="办公",SUMIF(L1:L12,G2,N1:N12),"——")</f>
        <v>9.7000000000000003E-2</v>
      </c>
      <c r="G61" s="1000">
        <f>H61</f>
        <v>1.21E-2</v>
      </c>
      <c r="H61" s="1003">
        <f t="shared" ref="H61:H69" si="13">IFERROR(ROUNDDOWN($F$61*I61/2,4),"——")</f>
        <v>1.21E-2</v>
      </c>
      <c r="I61" s="3069">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3477</v>
      </c>
      <c r="D62" s="1002">
        <f t="shared" si="12"/>
        <v>1.26E-2</v>
      </c>
      <c r="E62" s="703"/>
      <c r="F62" s="1675"/>
      <c r="G62" s="1000">
        <f t="shared" ref="G62:G69" si="17">H62</f>
        <v>1.26E-2</v>
      </c>
      <c r="H62" s="1003">
        <f t="shared" si="13"/>
        <v>1.26E-2</v>
      </c>
      <c r="I62" s="3069">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t="s">
        <v>3477</v>
      </c>
      <c r="D63" s="1002">
        <f t="shared" si="12"/>
        <v>5.3E-3</v>
      </c>
      <c r="E63" s="703"/>
      <c r="F63" s="1675"/>
      <c r="G63" s="1000">
        <f t="shared" si="17"/>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3477</v>
      </c>
      <c r="D64" s="1002">
        <f t="shared" si="12"/>
        <v>2.3999999999999998E-3</v>
      </c>
      <c r="E64" s="703"/>
      <c r="F64" s="1675"/>
      <c r="G64" s="1000">
        <f t="shared" si="17"/>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3477</v>
      </c>
      <c r="D65" s="1002">
        <f t="shared" si="12"/>
        <v>2.3999999999999998E-3</v>
      </c>
      <c r="E65" s="703"/>
      <c r="F65" s="1675"/>
      <c r="G65" s="1000">
        <f t="shared" si="17"/>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3477</v>
      </c>
      <c r="D66" s="1002">
        <f t="shared" si="12"/>
        <v>2.8999999999999998E-3</v>
      </c>
      <c r="E66" s="703"/>
      <c r="F66" s="1675"/>
      <c r="G66" s="1000">
        <f t="shared" si="17"/>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3477</v>
      </c>
      <c r="D67" s="1002">
        <f t="shared" si="12"/>
        <v>2.8999999999999998E-3</v>
      </c>
      <c r="E67" s="703"/>
      <c r="F67" s="1675"/>
      <c r="G67" s="1000">
        <f t="shared" si="17"/>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3478</v>
      </c>
      <c r="D68" s="1002">
        <f t="shared" si="12"/>
        <v>8.6E-3</v>
      </c>
      <c r="E68" s="703"/>
      <c r="F68" s="1675"/>
      <c r="G68" s="1000">
        <f t="shared" si="17"/>
        <v>4.3E-3</v>
      </c>
      <c r="H68" s="1003">
        <f t="shared" si="13"/>
        <v>4.3E-3</v>
      </c>
      <c r="I68" s="3069">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3478</v>
      </c>
      <c r="D69" s="1002">
        <f t="shared" si="12"/>
        <v>6.6E-3</v>
      </c>
      <c r="E69" s="704"/>
      <c r="F69" s="1675"/>
      <c r="G69" s="1000">
        <f t="shared" si="17"/>
        <v>3.3E-3</v>
      </c>
      <c r="H69" s="1003">
        <f t="shared" si="13"/>
        <v>3.3E-3</v>
      </c>
      <c r="I69" s="3070">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82" t="s">
        <v>3293</v>
      </c>
      <c r="B103" s="3382"/>
      <c r="C103" s="3382"/>
      <c r="D103" s="3382"/>
      <c r="E103" s="3382"/>
      <c r="F103" s="3382"/>
      <c r="G103" s="3382"/>
      <c r="H103" s="3382"/>
      <c r="I103" s="3382"/>
      <c r="J103" s="3382"/>
      <c r="K103" s="1667"/>
      <c r="L103" s="1667"/>
      <c r="M103" s="1667"/>
      <c r="N103" s="1667"/>
    </row>
    <row r="104" spans="1:14">
      <c r="A104" s="3383" t="s">
        <v>3294</v>
      </c>
      <c r="B104" s="3383" t="s">
        <v>3295</v>
      </c>
      <c r="C104" s="3091" t="s">
        <v>3296</v>
      </c>
      <c r="D104" s="3092"/>
      <c r="E104" s="3092"/>
      <c r="F104" s="3092"/>
      <c r="G104" s="3092"/>
      <c r="H104" s="3092"/>
      <c r="I104" s="3092"/>
      <c r="J104" s="3093"/>
      <c r="K104" s="3094"/>
      <c r="L104" s="3094"/>
      <c r="M104" s="3094"/>
      <c r="N104" s="3094"/>
    </row>
    <row r="105" spans="1:14">
      <c r="A105" s="3383"/>
      <c r="B105" s="338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7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72" t="s">
        <v>3310</v>
      </c>
      <c r="B113" s="3372"/>
      <c r="C113" s="3372"/>
      <c r="D113" s="3372"/>
      <c r="E113" s="3372"/>
      <c r="F113" s="3372"/>
      <c r="G113" s="3372"/>
      <c r="H113" s="3372"/>
      <c r="I113" s="3372"/>
      <c r="J113" s="337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5.44</v>
      </c>
      <c r="C116" s="3100" t="s">
        <v>3312</v>
      </c>
      <c r="D116" s="3101">
        <f>SUMPRODUCT((A118:A122=F116)*(B117:M117=H116)*B118:M122)</f>
        <v>0.93210000000000004</v>
      </c>
      <c r="E116" s="162" t="s">
        <v>3313</v>
      </c>
      <c r="F116" s="3102" t="str">
        <f>E2</f>
        <v>办公</v>
      </c>
      <c r="G116" s="162" t="s">
        <v>3314</v>
      </c>
      <c r="H116" s="3102" t="str">
        <f>G2</f>
        <v>一级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0.93700000000000006</v>
      </c>
      <c r="C118" s="3090">
        <f>B118</f>
        <v>0.93700000000000006</v>
      </c>
      <c r="D118" s="3090">
        <f>ROUND(0.949-0.014*B116,4)</f>
        <v>0.87280000000000002</v>
      </c>
      <c r="E118" s="3090">
        <f>D118</f>
        <v>0.87280000000000002</v>
      </c>
      <c r="F118" s="3090">
        <f>E118</f>
        <v>0.87280000000000002</v>
      </c>
      <c r="G118" s="3090">
        <f>F118</f>
        <v>0.87280000000000002</v>
      </c>
      <c r="H118" s="3090">
        <f>G118</f>
        <v>0.87280000000000002</v>
      </c>
      <c r="I118" s="3090">
        <f>ROUND(0.8486-0.018*B116,4)</f>
        <v>0.75070000000000003</v>
      </c>
      <c r="J118" s="3090">
        <f t="shared" ref="J118:M122" si="36">I118</f>
        <v>0.75070000000000003</v>
      </c>
      <c r="K118" s="3090">
        <f t="shared" si="36"/>
        <v>0.75070000000000003</v>
      </c>
      <c r="L118" s="3090">
        <f t="shared" si="36"/>
        <v>0.75070000000000003</v>
      </c>
      <c r="M118" s="3110">
        <f t="shared" si="36"/>
        <v>0.75070000000000003</v>
      </c>
      <c r="N118" s="3098"/>
    </row>
    <row r="119" spans="1:14">
      <c r="A119" s="3058" t="s">
        <v>3328</v>
      </c>
      <c r="B119" s="3090">
        <f>ROUND(0.993-0.0112*B116,4)</f>
        <v>0.93210000000000004</v>
      </c>
      <c r="C119" s="3090">
        <f>B119</f>
        <v>0.93210000000000004</v>
      </c>
      <c r="D119" s="3090">
        <f>ROUND(0.9415-0.0142*B116,4)</f>
        <v>0.86429999999999996</v>
      </c>
      <c r="E119" s="3090">
        <f t="shared" ref="E119:H120" si="37">D119</f>
        <v>0.86429999999999996</v>
      </c>
      <c r="F119" s="3090">
        <f t="shared" si="37"/>
        <v>0.86429999999999996</v>
      </c>
      <c r="G119" s="3090">
        <f t="shared" si="37"/>
        <v>0.86429999999999996</v>
      </c>
      <c r="H119" s="3090">
        <f t="shared" si="37"/>
        <v>0.86429999999999996</v>
      </c>
      <c r="I119" s="3090">
        <f>ROUND(0.838-0.0182*B116,4)</f>
        <v>0.73899999999999999</v>
      </c>
      <c r="J119" s="3090">
        <f t="shared" si="36"/>
        <v>0.73899999999999999</v>
      </c>
      <c r="K119" s="3090">
        <f t="shared" si="36"/>
        <v>0.73899999999999999</v>
      </c>
      <c r="L119" s="3090">
        <f t="shared" si="36"/>
        <v>0.73899999999999999</v>
      </c>
      <c r="M119" s="3110">
        <f t="shared" si="36"/>
        <v>0.73899999999999999</v>
      </c>
      <c r="N119" s="3098"/>
    </row>
    <row r="120" spans="1:14">
      <c r="A120" s="3058" t="s">
        <v>3329</v>
      </c>
      <c r="B120" s="3090">
        <f>ROUND(0.9448-0.0115*B116,4)</f>
        <v>0.88219999999999998</v>
      </c>
      <c r="C120" s="3090">
        <f>B120</f>
        <v>0.88219999999999998</v>
      </c>
      <c r="D120" s="3090">
        <f>ROUND(0.937-0.0145*B116,4)</f>
        <v>0.85809999999999997</v>
      </c>
      <c r="E120" s="3090">
        <f t="shared" si="37"/>
        <v>0.85809999999999997</v>
      </c>
      <c r="F120" s="3090">
        <f t="shared" si="37"/>
        <v>0.85809999999999997</v>
      </c>
      <c r="G120" s="3090">
        <f t="shared" si="37"/>
        <v>0.85809999999999997</v>
      </c>
      <c r="H120" s="3090">
        <f t="shared" si="37"/>
        <v>0.85809999999999997</v>
      </c>
      <c r="I120" s="3090">
        <f>ROUND(0.7965-0.0185*B116,4)</f>
        <v>0.69589999999999996</v>
      </c>
      <c r="J120" s="3090">
        <f t="shared" si="36"/>
        <v>0.69589999999999996</v>
      </c>
      <c r="K120" s="3090">
        <f t="shared" si="36"/>
        <v>0.69589999999999996</v>
      </c>
      <c r="L120" s="3090">
        <f t="shared" si="36"/>
        <v>0.69589999999999996</v>
      </c>
      <c r="M120" s="3110">
        <f t="shared" si="36"/>
        <v>0.69589999999999996</v>
      </c>
      <c r="N120" s="3098"/>
    </row>
    <row r="121" spans="1:14" ht="13.5" thickBot="1">
      <c r="A121" s="3111" t="s">
        <v>3330</v>
      </c>
      <c r="B121" s="3112">
        <f>ROUND(0.7836-0.012*B116,4)</f>
        <v>0.71830000000000005</v>
      </c>
      <c r="C121" s="3112">
        <f>B121</f>
        <v>0.71830000000000005</v>
      </c>
      <c r="D121" s="3112">
        <f>ROUND(0.753-0.015*B116,4)</f>
        <v>0.6714</v>
      </c>
      <c r="E121" s="3112">
        <f>D121</f>
        <v>0.6714</v>
      </c>
      <c r="F121" s="3112">
        <f>E121</f>
        <v>0.6714</v>
      </c>
      <c r="G121" s="3112">
        <f>ROUND(0.6612-0.018*B116,4)</f>
        <v>0.56330000000000002</v>
      </c>
      <c r="H121" s="3112">
        <f>G121</f>
        <v>0.56330000000000002</v>
      </c>
      <c r="I121" s="3112">
        <f>ROUND(0.5905-0.019*B116,4)</f>
        <v>0.48709999999999998</v>
      </c>
      <c r="J121" s="3112">
        <f t="shared" si="36"/>
        <v>0.48709999999999998</v>
      </c>
      <c r="K121" s="3112">
        <f t="shared" si="36"/>
        <v>0.48709999999999998</v>
      </c>
      <c r="L121" s="3112">
        <f t="shared" si="36"/>
        <v>0.48709999999999998</v>
      </c>
      <c r="M121" s="3113">
        <f t="shared" si="36"/>
        <v>0.48709999999999998</v>
      </c>
      <c r="N121" s="3098"/>
    </row>
    <row r="122" spans="1:14">
      <c r="A122" s="3114" t="s">
        <v>2611</v>
      </c>
      <c r="B122" s="3090">
        <f>ROUND(0.9404-0.0106*B116,4)</f>
        <v>0.88270000000000004</v>
      </c>
      <c r="C122" s="3090">
        <f>B122</f>
        <v>0.88270000000000004</v>
      </c>
      <c r="D122" s="3090">
        <f>ROUND(0.8955-0.0135*B116,4)</f>
        <v>0.82210000000000005</v>
      </c>
      <c r="E122" s="3090">
        <f t="shared" ref="E122:H122" si="38">D122</f>
        <v>0.82210000000000005</v>
      </c>
      <c r="F122" s="3090">
        <f t="shared" si="38"/>
        <v>0.82210000000000005</v>
      </c>
      <c r="G122" s="3090">
        <f t="shared" si="38"/>
        <v>0.82210000000000005</v>
      </c>
      <c r="H122" s="3090">
        <f t="shared" si="38"/>
        <v>0.82210000000000005</v>
      </c>
      <c r="I122" s="3090">
        <f>ROUND(0.7632-0.0166*B116,4)</f>
        <v>0.67290000000000005</v>
      </c>
      <c r="J122" s="3090">
        <f t="shared" si="36"/>
        <v>0.67290000000000005</v>
      </c>
      <c r="K122" s="3090">
        <f t="shared" si="36"/>
        <v>0.67290000000000005</v>
      </c>
      <c r="L122" s="3090">
        <f t="shared" si="36"/>
        <v>0.67290000000000005</v>
      </c>
      <c r="M122" s="3110">
        <f t="shared" si="36"/>
        <v>0.67290000000000005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8FF8-BBFD-4C2F-84A7-21FECCC73326}">
  <sheetPr>
    <tabColor rgb="FF92D050"/>
  </sheetPr>
  <dimension ref="A1:AK122"/>
  <sheetViews>
    <sheetView view="pageBreakPreview" zoomScaleNormal="80" zoomScaleSheetLayoutView="100"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4318.3500000000004</v>
      </c>
      <c r="E1" s="1842"/>
      <c r="F1" s="1842"/>
      <c r="G1" s="1842"/>
      <c r="H1" s="1842"/>
      <c r="I1" s="1842"/>
      <c r="J1" s="1842"/>
      <c r="K1" s="1056"/>
      <c r="L1" s="1843" t="s">
        <v>1928</v>
      </c>
      <c r="M1" s="810">
        <f>SUMPRODUCT((区片价!B5:B9=I2)*(区片价!C3:G3=E2)*(区片价!C5:G9))</f>
        <v>34850</v>
      </c>
      <c r="N1" s="813">
        <f>SUMPRODUCT((因素修正幅度!B5:B9=I2)*(因素修正幅度!C3:G3=E2)*(因素修正幅度!C5:G9))</f>
        <v>9.7000000000000003E-2</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21296</v>
      </c>
      <c r="C2" s="1846" t="s">
        <v>1935</v>
      </c>
      <c r="D2" s="162" t="s">
        <v>1936</v>
      </c>
      <c r="E2" s="3121"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39239</v>
      </c>
      <c r="U2" s="1130">
        <f>'数据-基础表'!K13</f>
        <v>3439.16</v>
      </c>
      <c r="V2" s="3064">
        <f>ROUND(T2*U2/10000,0)</f>
        <v>13495</v>
      </c>
      <c r="W2" s="1133"/>
      <c r="X2" s="1133"/>
      <c r="Y2" s="1133"/>
      <c r="Z2" s="1133"/>
      <c r="AA2" s="1133"/>
      <c r="AB2" s="1133"/>
      <c r="AC2" s="1134"/>
      <c r="AD2" s="1135"/>
      <c r="AE2" s="1135"/>
      <c r="AF2" s="1135"/>
      <c r="AG2" s="1135"/>
      <c r="AH2" s="1135"/>
      <c r="AI2" s="1135"/>
      <c r="AJ2" s="1136"/>
    </row>
    <row r="3" spans="1:36" ht="15.75">
      <c r="A3" s="195" t="s">
        <v>1940</v>
      </c>
      <c r="B3" s="196">
        <f>ROUND(B2*10000/D1,0)</f>
        <v>49315</v>
      </c>
      <c r="C3" s="1846" t="s">
        <v>1941</v>
      </c>
      <c r="D3" s="162" t="s">
        <v>1942</v>
      </c>
      <c r="E3" s="3119" t="s">
        <v>2438</v>
      </c>
      <c r="F3" s="1848" t="s">
        <v>3487</v>
      </c>
      <c r="G3" s="708">
        <f>IF(F3="宗地容积率",'数据-汇总表'!I4,IF(F3="估价对象容积率",'数据-汇总表'!I6,'数据-汇总表'!I7))</f>
        <v>5.44</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31152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76"/>
      <c r="B4" s="3377"/>
      <c r="C4" s="3377"/>
      <c r="D4" s="3378"/>
      <c r="E4" s="3378"/>
      <c r="F4" s="3378"/>
      <c r="G4" s="3378"/>
      <c r="H4" s="3378"/>
      <c r="I4" s="3378"/>
      <c r="J4" s="33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26917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34850</v>
      </c>
      <c r="D5" s="1252">
        <f>ROUND(C6*C17+C20,0)</f>
        <v>34850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24358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34850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23214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5.44</v>
      </c>
      <c r="AA7" s="1133"/>
      <c r="AB7" s="1133"/>
      <c r="AC7" s="1134"/>
      <c r="AD7" s="1135"/>
      <c r="AE7" s="1135"/>
      <c r="AF7" s="1135"/>
      <c r="AG7" s="1135"/>
      <c r="AH7" s="1135"/>
      <c r="AI7" s="1135"/>
      <c r="AJ7" s="1136"/>
    </row>
    <row r="8" spans="1:36" ht="25.5">
      <c r="A8" s="3010"/>
      <c r="B8" s="162" t="s">
        <v>1957</v>
      </c>
      <c r="C8" s="1870" t="s">
        <v>3474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80" t="s">
        <v>3253</v>
      </c>
      <c r="B20" s="159" t="s">
        <v>1994</v>
      </c>
      <c r="C20" s="3032">
        <f>ROUND(IF(F21="与级别开发程度一致",0,(G21-E21)/C21),0)</f>
        <v>0</v>
      </c>
      <c r="D20" s="3047" t="s">
        <v>1998</v>
      </c>
      <c r="E20" s="3048"/>
      <c r="F20" s="3386" t="s">
        <v>1995</v>
      </c>
      <c r="G20" s="338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3475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45826</v>
      </c>
      <c r="H23" s="3049" t="s">
        <v>3255</v>
      </c>
      <c r="I23" s="3050" t="str">
        <f>IF(H23="季度增幅（自定义）",SUMIF(N25:N28,E2,O25:O28),"")</f>
        <v/>
      </c>
      <c r="J23" s="3142" t="s">
        <v>3254</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0.67930000000000001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17.09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3476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0.95089999999999997</v>
      </c>
      <c r="E26" s="708">
        <f>ROUNDDOWN(G3,1)</f>
        <v>5.4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08">
        <f>ROUNDUP(G3,1)</f>
        <v>5.5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0.94979999999999998</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1.0543</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21296</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1950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4"/>
      <c r="B37" s="1955" t="s">
        <v>2036</v>
      </c>
      <c r="C37" s="167">
        <f>ROUND(D5*C22*C23*C24*C28*F37,0)</f>
        <v>18064</v>
      </c>
      <c r="D37" s="1940">
        <f>'数据-基础表'!M13</f>
        <v>4318.3500000000004</v>
      </c>
      <c r="E37" s="163">
        <f>ROUND(C37*D37/10000,0)</f>
        <v>7801</v>
      </c>
      <c r="F37" s="163">
        <f>SUMIF(修正!A57:A68,G2,修正!B57:B68)</f>
        <v>0.7</v>
      </c>
      <c r="G37" s="163">
        <f>ROUND(IF(E2="工业",C37*$M$42,C37*$M$41),0)</f>
        <v>4516</v>
      </c>
      <c r="H37" s="163">
        <f>D37</f>
        <v>4318.3500000000004</v>
      </c>
      <c r="I37" s="163">
        <f>ROUND(G37*H37/10000,0)</f>
        <v>1950</v>
      </c>
      <c r="J37" s="2755"/>
      <c r="K37" s="3062" t="s">
        <v>3265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f>ROUND(D5*C22*C23*C24*C28*F38,0)</f>
        <v>10322</v>
      </c>
      <c r="D38" s="1940"/>
      <c r="E38" s="163">
        <f t="shared" ref="E38:E42" si="4">ROUND(C38*D38/10000,0)</f>
        <v>0</v>
      </c>
      <c r="F38" s="163">
        <f>SUMIF(修正!A57:A68,G2,修正!C57:C68)</f>
        <v>0.4</v>
      </c>
      <c r="G38" s="163">
        <f>ROUND(IF(E2="工业",C38*$M$42,C38*$M$41),0)</f>
        <v>2581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5"/>
      <c r="B39" s="1884" t="s">
        <v>3258</v>
      </c>
      <c r="C39" s="167">
        <f>ROUND(D5*C22*C23*C24*C28*F39,0)</f>
        <v>7742</v>
      </c>
      <c r="D39" s="1940"/>
      <c r="E39" s="163">
        <f t="shared" si="4"/>
        <v>0</v>
      </c>
      <c r="F39" s="163">
        <f>SUMIF(修正!A57:A68,G2,修正!D57:D68)</f>
        <v>0.3</v>
      </c>
      <c r="G39" s="163">
        <f>ROUND(IF(E2="工业",C39*$M$42,C39*$M$41),0)</f>
        <v>1936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7742</v>
      </c>
      <c r="D40" s="1940"/>
      <c r="E40" s="163">
        <f t="shared" si="4"/>
        <v>0</v>
      </c>
      <c r="F40" s="167">
        <f>SUMIF(修正!A57:A68,G2,修正!E57:E68)</f>
        <v>0.3</v>
      </c>
      <c r="G40" s="163">
        <f>ROUND(IF(E2="工业",C40*$M$42,C40*$M$41),0)</f>
        <v>1936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1.0543</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3477</v>
      </c>
      <c r="D50" s="1002">
        <f t="shared" ref="D50:D58" si="7">SUMIF($J$49:$N$49,C50,J50:N50)</f>
        <v>1.4500000000000001E-2</v>
      </c>
      <c r="E50" s="702">
        <f>ROUND(SUM(D50:D58),4)</f>
        <v>5.4300000000000001E-2</v>
      </c>
      <c r="F50" s="1675">
        <f>IF(E2="商业",SUMIF(L1:L12,G2,N1:N12),"——")</f>
        <v>9.7000000000000003E-2</v>
      </c>
      <c r="G50" s="1000">
        <f>H50</f>
        <v>1.4500000000000001E-2</v>
      </c>
      <c r="H50" s="1003">
        <f t="shared" ref="H50:H58" si="8">IFERROR(ROUNDDOWN($F$50*I50/2,4),"——")</f>
        <v>1.4500000000000001E-2</v>
      </c>
      <c r="I50" s="3069">
        <v>0.3</v>
      </c>
      <c r="J50" s="1001">
        <f t="shared" ref="J50:J58" si="9">K50+$G50</f>
        <v>2.9000000000000001E-2</v>
      </c>
      <c r="K50" s="1001">
        <f t="shared" ref="K50:K58" si="10">$L50+$G50</f>
        <v>1.4500000000000001E-2</v>
      </c>
      <c r="L50" s="1001">
        <v>0</v>
      </c>
      <c r="M50" s="1001">
        <f t="shared" ref="M50:N58" si="11">L50-$G50</f>
        <v>-1.4500000000000001E-2</v>
      </c>
      <c r="N50" s="1001">
        <f t="shared" si="11"/>
        <v>-2.9000000000000001E-2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3477</v>
      </c>
      <c r="D51" s="1002">
        <f t="shared" si="7"/>
        <v>1.06E-2</v>
      </c>
      <c r="E51" s="703"/>
      <c r="F51" s="1675"/>
      <c r="G51" s="1000">
        <f t="shared" ref="G51:G58" si="12">H51</f>
        <v>1.06E-2</v>
      </c>
      <c r="H51" s="1003">
        <f t="shared" si="8"/>
        <v>1.06E-2</v>
      </c>
      <c r="I51" s="3069">
        <v>0.22</v>
      </c>
      <c r="J51" s="1001">
        <f t="shared" si="9"/>
        <v>2.12E-2</v>
      </c>
      <c r="K51" s="1001">
        <f t="shared" si="10"/>
        <v>1.06E-2</v>
      </c>
      <c r="L51" s="1001">
        <v>0</v>
      </c>
      <c r="M51" s="1001">
        <f t="shared" si="11"/>
        <v>-1.06E-2</v>
      </c>
      <c r="N51" s="1001">
        <f t="shared" si="11"/>
        <v>-2.12E-2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3477</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3477</v>
      </c>
      <c r="D53" s="1002">
        <f t="shared" si="7"/>
        <v>2.3999999999999998E-3</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3477</v>
      </c>
      <c r="D54" s="1002">
        <f t="shared" si="7"/>
        <v>3.8E-3</v>
      </c>
      <c r="E54" s="703"/>
      <c r="F54" s="1675"/>
      <c r="G54" s="1000">
        <f t="shared" si="12"/>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3477</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3477</v>
      </c>
      <c r="D56" s="1002">
        <f t="shared" si="7"/>
        <v>2.3999999999999998E-3</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3478</v>
      </c>
      <c r="D57" s="1002">
        <f t="shared" si="7"/>
        <v>7.6E-3</v>
      </c>
      <c r="E57" s="703"/>
      <c r="F57" s="1675"/>
      <c r="G57" s="1000">
        <f t="shared" si="12"/>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3478</v>
      </c>
      <c r="D58" s="1002">
        <f t="shared" si="7"/>
        <v>4.7999999999999996E-3</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3268</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3282</v>
      </c>
      <c r="G92" s="2310" t="s">
        <v>1989</v>
      </c>
      <c r="H92" s="3090" t="s">
        <v>3286</v>
      </c>
      <c r="I92" s="2310" t="s">
        <v>2051</v>
      </c>
      <c r="J92" s="2150" t="s">
        <v>1721</v>
      </c>
      <c r="K92" s="2150" t="s">
        <v>1722</v>
      </c>
      <c r="L92" s="2150" t="s">
        <v>1723</v>
      </c>
      <c r="M92" s="2150" t="s">
        <v>1724</v>
      </c>
      <c r="N92" s="2150" t="s">
        <v>1725</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2053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2054</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2056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2057</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2059</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2060</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2061</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82" t="s">
        <v>3293</v>
      </c>
      <c r="B103" s="3382"/>
      <c r="C103" s="3382"/>
      <c r="D103" s="3382"/>
      <c r="E103" s="3382"/>
      <c r="F103" s="3382"/>
      <c r="G103" s="3382"/>
      <c r="H103" s="3382"/>
      <c r="I103" s="3382"/>
      <c r="J103" s="3382"/>
      <c r="K103" s="1667"/>
      <c r="L103" s="1667"/>
      <c r="M103" s="1667"/>
      <c r="N103" s="1667"/>
    </row>
    <row r="104" spans="1:14">
      <c r="A104" s="3383" t="s">
        <v>3294</v>
      </c>
      <c r="B104" s="3383" t="s">
        <v>3295</v>
      </c>
      <c r="C104" s="3091" t="s">
        <v>3296</v>
      </c>
      <c r="D104" s="3092"/>
      <c r="E104" s="3092"/>
      <c r="F104" s="3092"/>
      <c r="G104" s="3092"/>
      <c r="H104" s="3092"/>
      <c r="I104" s="3092"/>
      <c r="J104" s="3093"/>
      <c r="K104" s="3094"/>
      <c r="L104" s="3094"/>
      <c r="M104" s="3094"/>
      <c r="N104" s="3094"/>
    </row>
    <row r="105" spans="1:14">
      <c r="A105" s="3383"/>
      <c r="B105" s="3383"/>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36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7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72" t="s">
        <v>3310</v>
      </c>
      <c r="B113" s="3372"/>
      <c r="C113" s="3372"/>
      <c r="D113" s="3372"/>
      <c r="E113" s="3372"/>
      <c r="F113" s="3372"/>
      <c r="G113" s="3372"/>
      <c r="H113" s="3372"/>
      <c r="I113" s="3372"/>
      <c r="J113" s="337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5.44</v>
      </c>
      <c r="C116" s="3100" t="s">
        <v>3312</v>
      </c>
      <c r="D116" s="3101">
        <f>SUMPRODUCT((A118:A122=F116)*(B117:M117=H116)*B118:M122)</f>
        <v>0.93700000000000006</v>
      </c>
      <c r="E116" s="162" t="s">
        <v>1936</v>
      </c>
      <c r="F116" s="3102" t="str">
        <f>E2</f>
        <v>商业</v>
      </c>
      <c r="G116" s="162" t="s">
        <v>1937</v>
      </c>
      <c r="H116" s="3102" t="str">
        <f>G2</f>
        <v>一级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1990</v>
      </c>
      <c r="B118" s="3090">
        <f>ROUND(0.9968-0.011*B116,4)</f>
        <v>0.93700000000000006</v>
      </c>
      <c r="C118" s="3090">
        <f>B118</f>
        <v>0.93700000000000006</v>
      </c>
      <c r="D118" s="3090">
        <f>ROUND(0.949-0.014*B116,4)</f>
        <v>0.87280000000000002</v>
      </c>
      <c r="E118" s="3090">
        <f>D118</f>
        <v>0.87280000000000002</v>
      </c>
      <c r="F118" s="3090">
        <f>E118</f>
        <v>0.87280000000000002</v>
      </c>
      <c r="G118" s="3090">
        <f>F118</f>
        <v>0.87280000000000002</v>
      </c>
      <c r="H118" s="3090">
        <f>G118</f>
        <v>0.87280000000000002</v>
      </c>
      <c r="I118" s="3090">
        <f>ROUND(0.8486-0.018*B116,4)</f>
        <v>0.75070000000000003</v>
      </c>
      <c r="J118" s="3090">
        <f t="shared" ref="J118:M122" si="36">I118</f>
        <v>0.75070000000000003</v>
      </c>
      <c r="K118" s="3090">
        <f t="shared" si="36"/>
        <v>0.75070000000000003</v>
      </c>
      <c r="L118" s="3090">
        <f t="shared" si="36"/>
        <v>0.75070000000000003</v>
      </c>
      <c r="M118" s="3110">
        <f t="shared" si="36"/>
        <v>0.75070000000000003</v>
      </c>
      <c r="N118" s="3098"/>
    </row>
    <row r="119" spans="1:14">
      <c r="A119" s="3058" t="s">
        <v>1991</v>
      </c>
      <c r="B119" s="3090">
        <f>ROUND(0.993-0.0112*B116,4)</f>
        <v>0.93210000000000004</v>
      </c>
      <c r="C119" s="3090">
        <f>B119</f>
        <v>0.93210000000000004</v>
      </c>
      <c r="D119" s="3090">
        <f>ROUND(0.9415-0.0142*B116,4)</f>
        <v>0.86429999999999996</v>
      </c>
      <c r="E119" s="3090">
        <f t="shared" ref="E119:H120" si="37">D119</f>
        <v>0.86429999999999996</v>
      </c>
      <c r="F119" s="3090">
        <f t="shared" si="37"/>
        <v>0.86429999999999996</v>
      </c>
      <c r="G119" s="3090">
        <f t="shared" si="37"/>
        <v>0.86429999999999996</v>
      </c>
      <c r="H119" s="3090">
        <f t="shared" si="37"/>
        <v>0.86429999999999996</v>
      </c>
      <c r="I119" s="3090">
        <f>ROUND(0.838-0.0182*B116,4)</f>
        <v>0.73899999999999999</v>
      </c>
      <c r="J119" s="3090">
        <f t="shared" si="36"/>
        <v>0.73899999999999999</v>
      </c>
      <c r="K119" s="3090">
        <f t="shared" si="36"/>
        <v>0.73899999999999999</v>
      </c>
      <c r="L119" s="3090">
        <f t="shared" si="36"/>
        <v>0.73899999999999999</v>
      </c>
      <c r="M119" s="3110">
        <f t="shared" si="36"/>
        <v>0.73899999999999999</v>
      </c>
      <c r="N119" s="3098"/>
    </row>
    <row r="120" spans="1:14">
      <c r="A120" s="3058" t="s">
        <v>1992</v>
      </c>
      <c r="B120" s="3090">
        <f>ROUND(0.9448-0.0115*B116,4)</f>
        <v>0.88219999999999998</v>
      </c>
      <c r="C120" s="3090">
        <f>B120</f>
        <v>0.88219999999999998</v>
      </c>
      <c r="D120" s="3090">
        <f>ROUND(0.937-0.0145*B116,4)</f>
        <v>0.85809999999999997</v>
      </c>
      <c r="E120" s="3090">
        <f t="shared" si="37"/>
        <v>0.85809999999999997</v>
      </c>
      <c r="F120" s="3090">
        <f t="shared" si="37"/>
        <v>0.85809999999999997</v>
      </c>
      <c r="G120" s="3090">
        <f t="shared" si="37"/>
        <v>0.85809999999999997</v>
      </c>
      <c r="H120" s="3090">
        <f t="shared" si="37"/>
        <v>0.85809999999999997</v>
      </c>
      <c r="I120" s="3090">
        <f>ROUND(0.7965-0.0185*B116,4)</f>
        <v>0.69589999999999996</v>
      </c>
      <c r="J120" s="3090">
        <f t="shared" si="36"/>
        <v>0.69589999999999996</v>
      </c>
      <c r="K120" s="3090">
        <f t="shared" si="36"/>
        <v>0.69589999999999996</v>
      </c>
      <c r="L120" s="3090">
        <f t="shared" si="36"/>
        <v>0.69589999999999996</v>
      </c>
      <c r="M120" s="3110">
        <f t="shared" si="36"/>
        <v>0.69589999999999996</v>
      </c>
      <c r="N120" s="3098"/>
    </row>
    <row r="121" spans="1:14" ht="13.5" thickBot="1">
      <c r="A121" s="3111" t="s">
        <v>1993</v>
      </c>
      <c r="B121" s="3112">
        <f>ROUND(0.7836-0.012*B116,4)</f>
        <v>0.71830000000000005</v>
      </c>
      <c r="C121" s="3112">
        <f>B121</f>
        <v>0.71830000000000005</v>
      </c>
      <c r="D121" s="3112">
        <f>ROUND(0.753-0.015*B116,4)</f>
        <v>0.6714</v>
      </c>
      <c r="E121" s="3112">
        <f>D121</f>
        <v>0.6714</v>
      </c>
      <c r="F121" s="3112">
        <f>E121</f>
        <v>0.6714</v>
      </c>
      <c r="G121" s="3112">
        <f>ROUND(0.6612-0.018*B116,4)</f>
        <v>0.56330000000000002</v>
      </c>
      <c r="H121" s="3112">
        <f>G121</f>
        <v>0.56330000000000002</v>
      </c>
      <c r="I121" s="3112">
        <f>ROUND(0.5905-0.019*B116,4)</f>
        <v>0.48709999999999998</v>
      </c>
      <c r="J121" s="3112">
        <f t="shared" si="36"/>
        <v>0.48709999999999998</v>
      </c>
      <c r="K121" s="3112">
        <f t="shared" si="36"/>
        <v>0.48709999999999998</v>
      </c>
      <c r="L121" s="3112">
        <f t="shared" si="36"/>
        <v>0.48709999999999998</v>
      </c>
      <c r="M121" s="3113">
        <f t="shared" si="36"/>
        <v>0.48709999999999998</v>
      </c>
      <c r="N121" s="3098"/>
    </row>
    <row r="122" spans="1:14">
      <c r="A122" s="3114" t="s">
        <v>2611</v>
      </c>
      <c r="B122" s="3090">
        <f>ROUND(0.9404-0.0106*B116,4)</f>
        <v>0.88270000000000004</v>
      </c>
      <c r="C122" s="3090">
        <f>B122</f>
        <v>0.88270000000000004</v>
      </c>
      <c r="D122" s="3090">
        <f>ROUND(0.8955-0.0135*B116,4)</f>
        <v>0.82210000000000005</v>
      </c>
      <c r="E122" s="3090">
        <f t="shared" ref="E122:H122" si="38">D122</f>
        <v>0.82210000000000005</v>
      </c>
      <c r="F122" s="3090">
        <f t="shared" si="38"/>
        <v>0.82210000000000005</v>
      </c>
      <c r="G122" s="3090">
        <f t="shared" si="38"/>
        <v>0.82210000000000005</v>
      </c>
      <c r="H122" s="3090">
        <f t="shared" si="38"/>
        <v>0.82210000000000005</v>
      </c>
      <c r="I122" s="3090">
        <f>ROUND(0.7632-0.0166*B116,4)</f>
        <v>0.67290000000000005</v>
      </c>
      <c r="J122" s="3090">
        <f t="shared" si="36"/>
        <v>0.67290000000000005</v>
      </c>
      <c r="K122" s="3090">
        <f t="shared" si="36"/>
        <v>0.67290000000000005</v>
      </c>
      <c r="L122" s="3090">
        <f t="shared" si="36"/>
        <v>0.67290000000000005</v>
      </c>
      <c r="M122" s="3110">
        <f t="shared" si="36"/>
        <v>0.67290000000000005</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J23" xr:uid="{C4D0D8C6-AE72-41D8-8DC7-93D07B94CD75}">
      <formula1>"不用分区数据,中心城区,中心城区以外"</formula1>
    </dataValidation>
    <dataValidation type="list" allowBlank="1" showInputMessage="1" showErrorMessage="1" sqref="H20:O20" xr:uid="{88657130-810E-4106-9402-5FDC160F3DA7}">
      <formula1>七通一平</formula1>
    </dataValidation>
    <dataValidation type="list" allowBlank="1" showInputMessage="1" showErrorMessage="1" sqref="H23" xr:uid="{0E2E3FDA-E1FD-4AC3-B51E-A30916D52FD9}">
      <formula1>"地价指数,季度增幅（自定义）,按公示增长率计算"</formula1>
    </dataValidation>
    <dataValidation type="list" allowBlank="1" showInputMessage="1" showErrorMessage="1" sqref="C61:C69 C72:C80 C50:C58 C83:C91 C93:C101" xr:uid="{ED086687-3D52-4211-A5BE-718FD82AE687}">
      <formula1>五等判定</formula1>
    </dataValidation>
    <dataValidation type="list" allowBlank="1" showInputMessage="1" showErrorMessage="1" sqref="E3" xr:uid="{60782836-C0D9-4146-AB1C-3DEE2742E1CA}">
      <formula1>二级分类</formula1>
    </dataValidation>
    <dataValidation type="list" allowBlank="1" showInputMessage="1" showErrorMessage="1" sqref="C8" xr:uid="{F129F87B-D451-4896-A586-B0993E8D091A}">
      <formula1>商业街名称</formula1>
    </dataValidation>
    <dataValidation type="list" allowBlank="1" showInputMessage="1" showErrorMessage="1" sqref="F3" xr:uid="{7DF645B0-F848-46B3-B0EB-1B8F07766C75}">
      <formula1>"宗地容积率,估价对象容积率,自定义容积率"</formula1>
    </dataValidation>
    <dataValidation type="list" allowBlank="1" showInputMessage="1" showErrorMessage="1" sqref="E2" xr:uid="{26C78940-87E2-4AEE-84F6-BF1E9B936678}">
      <formula1>"商业,办公,住宅,工业,公共服务"</formula1>
    </dataValidation>
    <dataValidation type="list" allowBlank="1" showInputMessage="1" showErrorMessage="1" sqref="F21" xr:uid="{EF49CF21-E95D-41D0-82D2-31AC5197E3CE}">
      <formula1>"与级别开发程度一致,与级别开发程度不一致"</formula1>
    </dataValidation>
    <dataValidation type="list" allowBlank="1" showInputMessage="1" showErrorMessage="1" sqref="B25" xr:uid="{B26988B5-2F0C-4D1B-BD45-271EE4FD605E}">
      <formula1>"容积率修正,楼层修正"</formula1>
    </dataValidation>
    <dataValidation type="list" allowBlank="1" showInputMessage="1" showErrorMessage="1" sqref="C15:D15" xr:uid="{915966A6-1EDC-4049-9675-9259C5F16242}">
      <formula1>"有,无"</formula1>
    </dataValidation>
    <dataValidation type="list" allowBlank="1" showInputMessage="1" showErrorMessage="1" sqref="E15" xr:uid="{706D2F90-679D-4F01-9535-95430AC33D3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161561</v>
      </c>
      <c r="C2" s="1729" t="s">
        <v>1651</v>
      </c>
      <c r="D2" s="1730" t="s">
        <v>1652</v>
      </c>
      <c r="E2" s="2393">
        <f>SUM(E6:E13)</f>
        <v>46189.05</v>
      </c>
      <c r="F2" s="2480"/>
      <c r="G2" s="459"/>
      <c r="H2" s="459"/>
      <c r="I2" s="459"/>
      <c r="J2" s="459"/>
      <c r="K2" s="459"/>
      <c r="L2" s="459"/>
      <c r="M2" s="459"/>
      <c r="N2" s="459"/>
      <c r="O2" s="459"/>
      <c r="P2" s="459"/>
      <c r="Q2" s="459"/>
      <c r="R2" s="459"/>
      <c r="S2" s="459"/>
    </row>
    <row r="3" spans="1:22" ht="15.75">
      <c r="A3" s="1728" t="s">
        <v>686</v>
      </c>
      <c r="B3" s="2387">
        <f ca="1">ROUND(B2*10000/E2,0)</f>
        <v>34978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2" t="s">
        <v>1654</v>
      </c>
      <c r="C5" s="341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130025</v>
      </c>
      <c r="C6" s="1729" t="s">
        <v>1651</v>
      </c>
      <c r="D6" s="2480"/>
      <c r="E6" s="2392">
        <f>IF(OR(A6=0,F6="否"),0,'数据-取费表'!K6+'数据-取费表'!S6)</f>
        <v>27823.949999999997</v>
      </c>
      <c r="F6" s="1732" t="s">
        <v>1657</v>
      </c>
      <c r="G6" s="459"/>
      <c r="H6" s="459"/>
      <c r="I6" s="459"/>
      <c r="J6" s="459"/>
      <c r="K6" s="459"/>
      <c r="L6" s="459"/>
      <c r="M6" s="459"/>
      <c r="N6" s="459"/>
      <c r="O6" s="459"/>
      <c r="P6" s="459"/>
      <c r="Q6" s="459"/>
      <c r="R6" s="459"/>
      <c r="S6" s="459"/>
    </row>
    <row r="7" spans="1:22">
      <c r="A7" s="2390" t="str">
        <f>'数据-取费表'!AN7</f>
        <v>收益法商业</v>
      </c>
      <c r="B7" s="2388">
        <f ca="1">IF(F7="是",'数据-取费表'!AO7,0)</f>
        <v>26770</v>
      </c>
      <c r="C7" s="1729" t="s">
        <v>1651</v>
      </c>
      <c r="D7" s="2480"/>
      <c r="E7" s="2392">
        <f>IF(OR(A7=0,F7="否"),0,'数据-取费表'!K7+'数据-取费表'!S7)</f>
        <v>7757.51</v>
      </c>
      <c r="F7" s="1732" t="s">
        <v>1657</v>
      </c>
      <c r="G7" s="459"/>
      <c r="H7" s="459"/>
      <c r="I7" s="459"/>
      <c r="J7" s="459"/>
      <c r="K7" s="459"/>
      <c r="L7" s="459"/>
      <c r="M7" s="459"/>
      <c r="N7" s="459"/>
      <c r="O7" s="459"/>
      <c r="P7" s="459"/>
      <c r="Q7" s="459"/>
      <c r="R7" s="459"/>
      <c r="S7" s="459"/>
    </row>
    <row r="8" spans="1:22">
      <c r="A8" s="2390" t="str">
        <f>'数据-取费表'!AN8</f>
        <v>收益法车库</v>
      </c>
      <c r="B8" s="2388">
        <f ca="1">IF(F8="是",'数据-取费表'!AO8,0)</f>
        <v>4766</v>
      </c>
      <c r="C8" s="1729" t="s">
        <v>1651</v>
      </c>
      <c r="D8" s="2480"/>
      <c r="E8" s="2392">
        <f>IF(OR(A8=0,F8="否"),0,'数据-取费表'!K8+'数据-取费表'!S8)</f>
        <v>10607.59</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27.1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130025</v>
      </c>
      <c r="C2" s="1289" t="s">
        <v>805</v>
      </c>
      <c r="D2" s="1289"/>
      <c r="E2" s="1295"/>
      <c r="F2" s="1296"/>
      <c r="G2" s="2479"/>
      <c r="H2" s="2469"/>
      <c r="I2" s="2469"/>
      <c r="J2" s="2469"/>
      <c r="K2" s="2470"/>
      <c r="L2" s="2469"/>
      <c r="M2" s="2469"/>
    </row>
    <row r="3" spans="1:37" ht="18" customHeight="1" thickBot="1">
      <c r="A3" s="1297" t="s">
        <v>806</v>
      </c>
      <c r="B3" s="1298">
        <f ca="1">IF(ISERROR(B2*10000/F43),0,ROUND(B2*10000/F43,0))</f>
        <v>46731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8694</v>
      </c>
      <c r="D5" s="1273" t="s">
        <v>693</v>
      </c>
      <c r="E5" s="1008"/>
      <c r="F5" s="1009"/>
      <c r="G5" s="1292"/>
      <c r="H5" s="291">
        <v>1</v>
      </c>
      <c r="I5" s="292" t="s">
        <v>692</v>
      </c>
      <c r="J5" s="1007">
        <f ca="1">J6+J10+J12</f>
        <v>0</v>
      </c>
      <c r="K5" s="1273" t="s">
        <v>693</v>
      </c>
      <c r="L5" s="1008"/>
      <c r="M5" s="1009"/>
    </row>
    <row r="6" spans="1:37" ht="18" customHeight="1">
      <c r="A6" s="1006" t="s">
        <v>398</v>
      </c>
      <c r="B6" s="3390" t="s">
        <v>694</v>
      </c>
      <c r="C6" s="1011">
        <f ca="1">ROUND(F6*F8*F7*(1-F9)/10000,0)</f>
        <v>8683</v>
      </c>
      <c r="D6" s="147" t="s">
        <v>2108</v>
      </c>
      <c r="E6" s="294" t="s">
        <v>696</v>
      </c>
      <c r="F6" s="295">
        <f ca="1">INDIRECT("'数据-取费表'!u"&amp;$G$1)</f>
        <v>9.5</v>
      </c>
      <c r="G6" s="1292"/>
      <c r="H6" s="1006" t="s">
        <v>398</v>
      </c>
      <c r="I6" s="3390" t="s">
        <v>694</v>
      </c>
      <c r="J6" s="293">
        <f ca="1">ROUND(M6*M8*M7*(1-M9)/10000,0)</f>
        <v>0</v>
      </c>
      <c r="K6" s="147" t="s">
        <v>2107</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27823.949999999997</v>
      </c>
      <c r="G7" s="1292"/>
      <c r="H7" s="296"/>
      <c r="I7" s="3391"/>
      <c r="J7" s="298"/>
      <c r="K7" s="299"/>
      <c r="L7" s="294" t="s">
        <v>697</v>
      </c>
      <c r="M7" s="295">
        <f ca="1">F7</f>
        <v>27823.949999999997</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0.1</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11</v>
      </c>
      <c r="D10" s="150" t="s">
        <v>2116</v>
      </c>
      <c r="E10" s="305" t="s">
        <v>701</v>
      </c>
      <c r="F10" s="1053" t="s">
        <v>3473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18360</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14747</v>
      </c>
      <c r="D14" s="1257" t="s">
        <v>708</v>
      </c>
      <c r="E14" s="1255"/>
      <c r="F14" s="311"/>
      <c r="G14" s="1292"/>
      <c r="H14" s="928" t="s">
        <v>398</v>
      </c>
      <c r="I14" s="294" t="s">
        <v>709</v>
      </c>
      <c r="J14" s="21">
        <f ca="1">C29</f>
        <v>22950</v>
      </c>
      <c r="K14" s="12"/>
      <c r="L14" s="759"/>
      <c r="M14" s="760"/>
    </row>
    <row r="15" spans="1:37" s="1304" customFormat="1" ht="18" customHeight="1" thickBot="1">
      <c r="A15" s="928" t="s">
        <v>399</v>
      </c>
      <c r="B15" s="294" t="s">
        <v>710</v>
      </c>
      <c r="C15" s="21">
        <f ca="1">ROUND(C14*F15,0)</f>
        <v>737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56</v>
      </c>
      <c r="K16" s="1024" t="s">
        <v>715</v>
      </c>
      <c r="L16" s="1025"/>
      <c r="M16" s="1009"/>
    </row>
    <row r="17" spans="1:37" s="1304" customFormat="1" ht="18" customHeight="1">
      <c r="A17" s="928" t="s">
        <v>681</v>
      </c>
      <c r="B17" s="294" t="s">
        <v>716</v>
      </c>
      <c r="C17" s="21">
        <f ca="1">ROUND(F17*(F43+INDIRECT("'数据-取费表'!S"&amp;$G$1))/10000,0)</f>
        <v>556</v>
      </c>
      <c r="D17" s="294" t="s">
        <v>717</v>
      </c>
      <c r="E17" s="294" t="s">
        <v>718</v>
      </c>
      <c r="F17" s="23">
        <f>'数据-取费表'!B35</f>
        <v>200</v>
      </c>
      <c r="G17" s="1303"/>
      <c r="H17" s="928" t="s">
        <v>398</v>
      </c>
      <c r="I17" s="294" t="s">
        <v>719</v>
      </c>
      <c r="J17" s="2140">
        <f ca="1">ROUND(IF(AND(项目基本情况!B11="自然人",项目基本情况!B10="北京市"),J6*M17/(1+'数据-取费表'!C42),J18+J19+J20),2)</f>
        <v>10.39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442</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16482</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494</v>
      </c>
      <c r="D20" s="315" t="s">
        <v>729</v>
      </c>
      <c r="E20" s="294" t="s">
        <v>712</v>
      </c>
      <c r="F20" s="314">
        <f>'数据-取费表'!B37</f>
        <v>0.03</v>
      </c>
      <c r="G20" s="1303"/>
      <c r="H20" s="928" t="s">
        <v>680</v>
      </c>
      <c r="I20" s="147" t="s">
        <v>730</v>
      </c>
      <c r="J20" s="22">
        <f ca="1">ROUND(M20*M21/10000,2)</f>
        <v>10.39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3461.72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45.9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509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-56</v>
      </c>
      <c r="K25" s="1032" t="s">
        <v>753</v>
      </c>
      <c r="L25" s="1033"/>
      <c r="M25" s="1034"/>
    </row>
    <row r="26" spans="1:37">
      <c r="A26" s="928" t="s">
        <v>397</v>
      </c>
      <c r="B26" s="294" t="s">
        <v>754</v>
      </c>
      <c r="C26" s="21">
        <f ca="1">ROUND((C19+C20)*F26,0)</f>
        <v>3395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22950</v>
      </c>
      <c r="D29" s="1029"/>
      <c r="E29" s="1027"/>
      <c r="F29" s="1030"/>
      <c r="G29" s="1303"/>
      <c r="H29" s="325" t="s">
        <v>396</v>
      </c>
      <c r="I29" s="326" t="s">
        <v>768</v>
      </c>
      <c r="J29" s="327">
        <f ca="1">ROUND(J26/(1+F40)^F41,0)</f>
        <v>0</v>
      </c>
      <c r="K29" s="328" t="s">
        <v>769</v>
      </c>
      <c r="L29" s="329"/>
      <c r="M29" s="330">
        <f ca="1">INDIRECT("'数据-取费表'!k"&amp;$G$1)</f>
        <v>27823.949999999997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1574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1465.82</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463.09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992.34</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10.39</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3461.72</v>
      </c>
      <c r="G35" s="1292"/>
      <c r="H35" s="2471"/>
      <c r="I35" s="1305"/>
      <c r="J35" s="1306"/>
      <c r="K35" s="2475"/>
      <c r="L35" s="2474"/>
      <c r="M35" s="2474"/>
    </row>
    <row r="36" spans="1:18" ht="18" customHeight="1">
      <c r="A36" s="1039" t="s">
        <v>402</v>
      </c>
      <c r="B36" s="294" t="s">
        <v>738</v>
      </c>
      <c r="C36" s="21">
        <f ca="1">ROUND(C29*F36,2)</f>
        <v>45.9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18.36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43.47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7120</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128732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27.1</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f ca="1">ROUND(C40*10000/F43,0)</f>
        <v>46267</v>
      </c>
      <c r="D43" s="328" t="s">
        <v>777</v>
      </c>
      <c r="E43" s="329" t="s">
        <v>778</v>
      </c>
      <c r="F43" s="330">
        <f ca="1">INDIRECT("'数据-取费表'!k"&amp;$G$1)</f>
        <v>27823.949999999997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-129762</v>
      </c>
      <c r="D46" s="1313" t="str">
        <f>C2</f>
        <v>万元</v>
      </c>
      <c r="E46" s="1307"/>
      <c r="F46" s="1307"/>
      <c r="I46" s="1314" t="s">
        <v>810</v>
      </c>
      <c r="J46" s="1315"/>
      <c r="K46" s="1316"/>
      <c r="L46" s="1317">
        <f ca="1">IF(M47="住宅",0,IF(L48&gt;J51,L60,J60))</f>
        <v>1293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128732</v>
      </c>
      <c r="R47" s="1327" t="s">
        <v>818</v>
      </c>
    </row>
    <row r="48" spans="1:18" s="1292" customFormat="1" ht="28.5" thickBot="1">
      <c r="A48" s="1047" t="s">
        <v>438</v>
      </c>
      <c r="B48" s="292" t="s">
        <v>692</v>
      </c>
      <c r="C48" s="1268">
        <f ca="1">C49+C53+C55</f>
        <v>0</v>
      </c>
      <c r="D48" s="1049"/>
      <c r="E48" s="1050"/>
      <c r="F48" s="908"/>
      <c r="G48" s="681"/>
      <c r="H48" s="682"/>
      <c r="I48" s="1328" t="s">
        <v>819</v>
      </c>
      <c r="J48" s="1329" t="s">
        <v>3472</v>
      </c>
      <c r="K48" s="1330" t="s">
        <v>820</v>
      </c>
      <c r="L48" s="1331">
        <f ca="1">INDIRECT("'数据-取费表'!f"&amp;$G$1)</f>
        <v>27.1</v>
      </c>
      <c r="O48" s="1325" t="s">
        <v>404</v>
      </c>
      <c r="P48" s="1326" t="s">
        <v>821</v>
      </c>
      <c r="Q48" s="1327">
        <f ca="1">J60</f>
        <v>1293</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f>'数据-取费表'!N18</f>
        <v>2004</v>
      </c>
      <c r="K49" s="1330" t="s">
        <v>824</v>
      </c>
      <c r="L49" s="1333"/>
      <c r="O49" s="1334" t="s">
        <v>405</v>
      </c>
      <c r="P49" s="1326" t="s">
        <v>825</v>
      </c>
      <c r="Q49" s="1327">
        <f ca="1">C29</f>
        <v>22950</v>
      </c>
      <c r="R49" s="1327" t="s">
        <v>818</v>
      </c>
    </row>
    <row r="50" spans="1:18" s="1292" customFormat="1" ht="13.5" thickBot="1">
      <c r="A50" s="922"/>
      <c r="B50" s="925"/>
      <c r="C50" s="1055"/>
      <c r="D50" s="899"/>
      <c r="E50" s="993" t="s">
        <v>697</v>
      </c>
      <c r="F50" s="994">
        <f ca="1">F7</f>
        <v>27823.949999999997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99291</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27.1</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27.1</v>
      </c>
      <c r="K53" s="3388" t="s">
        <v>837</v>
      </c>
      <c r="L53" s="3389"/>
      <c r="O53" s="1325" t="s">
        <v>409</v>
      </c>
      <c r="P53" s="1326" t="s">
        <v>838</v>
      </c>
      <c r="Q53" s="1327">
        <f ca="1">Q47+Q48</f>
        <v>130025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18360</v>
      </c>
      <c r="D56" s="1352"/>
      <c r="E56" s="1353"/>
      <c r="F56" s="1345"/>
      <c r="I56" s="1354" t="s">
        <v>842</v>
      </c>
      <c r="J56" s="1355" t="s">
        <v>3452</v>
      </c>
      <c r="K56" s="1328" t="s">
        <v>843</v>
      </c>
      <c r="L56" s="1331" t="str">
        <f ca="1">IF(L48&lt;J51,"——",L48-J53)</f>
        <v>——</v>
      </c>
      <c r="O56" s="1325" t="s">
        <v>403</v>
      </c>
      <c r="P56" s="1326" t="s">
        <v>817</v>
      </c>
      <c r="Q56" s="1327">
        <f ca="1">C40+J29</f>
        <v>128732</v>
      </c>
      <c r="R56" s="1327" t="s">
        <v>818</v>
      </c>
    </row>
    <row r="57" spans="1:18" s="1292" customFormat="1" ht="24.75" thickBot="1">
      <c r="A57" s="1356"/>
      <c r="B57" s="896" t="s">
        <v>767</v>
      </c>
      <c r="C57" s="230">
        <f ca="1">C29</f>
        <v>22950</v>
      </c>
      <c r="D57" s="1357"/>
      <c r="E57" s="1358"/>
      <c r="F57" s="1359"/>
      <c r="I57" s="1360" t="s">
        <v>844</v>
      </c>
      <c r="J57" s="1361">
        <f ca="1">IF(OR(M47="住宅",J51&lt;L48,J56="是"),"——",J51-L48)</f>
        <v>11.899999999999999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74</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9180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1293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10.39</v>
      </c>
      <c r="D62" s="911" t="s">
        <v>786</v>
      </c>
      <c r="E62" s="896" t="s">
        <v>787</v>
      </c>
      <c r="F62" s="317">
        <f t="shared" si="0"/>
        <v>30</v>
      </c>
      <c r="I62" s="1367" t="s">
        <v>858</v>
      </c>
      <c r="J62" s="610" t="s">
        <v>859</v>
      </c>
      <c r="K62" s="610" t="s">
        <v>860</v>
      </c>
      <c r="L62" s="610" t="s">
        <v>861</v>
      </c>
      <c r="M62" s="1368" t="s">
        <v>862</v>
      </c>
      <c r="O62" s="1325" t="s">
        <v>409</v>
      </c>
      <c r="P62" s="1326" t="s">
        <v>863</v>
      </c>
      <c r="Q62" s="1327">
        <f ca="1">Q56+Q57</f>
        <v>128732</v>
      </c>
      <c r="R62" s="1327" t="s">
        <v>410</v>
      </c>
    </row>
    <row r="63" spans="1:18" s="1292" customFormat="1" ht="13.5" thickBot="1">
      <c r="A63" s="318"/>
      <c r="B63" s="902"/>
      <c r="C63" s="26"/>
      <c r="D63" s="912"/>
      <c r="E63" s="896" t="s">
        <v>788</v>
      </c>
      <c r="F63" s="295">
        <f t="shared" ca="1" si="0"/>
        <v>3461.72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45.9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18.36</v>
      </c>
      <c r="D65" s="910" t="s">
        <v>743</v>
      </c>
      <c r="E65" s="896" t="s">
        <v>744</v>
      </c>
      <c r="F65" s="321">
        <f t="shared" ca="1" si="0"/>
        <v>1E-3</v>
      </c>
      <c r="I65" s="1367" t="s">
        <v>867</v>
      </c>
      <c r="J65" s="610">
        <v>40</v>
      </c>
      <c r="K65" s="610">
        <v>30</v>
      </c>
      <c r="L65" s="610">
        <v>50</v>
      </c>
      <c r="M65" s="1369">
        <v>0.02</v>
      </c>
      <c r="O65" s="1325" t="s">
        <v>403</v>
      </c>
      <c r="P65" s="1326" t="s">
        <v>868</v>
      </c>
      <c r="Q65" s="1327">
        <f ca="1">C40+J29</f>
        <v>128732</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-74</v>
      </c>
      <c r="D67" s="909" t="s">
        <v>753</v>
      </c>
      <c r="E67" s="914"/>
      <c r="F67" s="915"/>
      <c r="O67" s="1334" t="s">
        <v>405</v>
      </c>
      <c r="P67" s="1326" t="s">
        <v>850</v>
      </c>
      <c r="Q67" s="1370">
        <f ca="1">L51</f>
        <v>99291</v>
      </c>
      <c r="R67" s="1327" t="s">
        <v>870</v>
      </c>
    </row>
    <row r="68" spans="1:18" s="1292" customFormat="1" ht="16.5" thickBot="1">
      <c r="A68" s="893" t="s">
        <v>395</v>
      </c>
      <c r="B68" s="894" t="s">
        <v>774</v>
      </c>
      <c r="C68" s="293">
        <f ca="1">ROUND(C67*(1-((1+F70)/(1+F68))^F69)/(F68-F70),0)</f>
        <v>-1030</v>
      </c>
      <c r="D68" s="911" t="s">
        <v>758</v>
      </c>
      <c r="E68" s="896" t="s">
        <v>759</v>
      </c>
      <c r="F68" s="304">
        <f ca="1">F40</f>
        <v>5.5E-2</v>
      </c>
      <c r="O68" s="1334" t="s">
        <v>406</v>
      </c>
      <c r="P68" s="1371" t="s">
        <v>871</v>
      </c>
      <c r="Q68" s="1327">
        <f ca="1">ROUND(Q69-Q70*Q71,0)</f>
        <v>5835</v>
      </c>
      <c r="R68" s="1327" t="s">
        <v>414</v>
      </c>
    </row>
    <row r="69" spans="1:18" s="1292" customFormat="1" ht="13.5" thickBot="1">
      <c r="A69" s="897"/>
      <c r="B69" s="898"/>
      <c r="C69" s="298"/>
      <c r="D69" s="916" t="s">
        <v>762</v>
      </c>
      <c r="E69" s="896" t="s">
        <v>763</v>
      </c>
      <c r="F69" s="324">
        <f ca="1">F41</f>
        <v>27.1</v>
      </c>
      <c r="O69" s="1334" t="s">
        <v>411</v>
      </c>
      <c r="P69" s="1371" t="s">
        <v>872</v>
      </c>
      <c r="Q69" s="1327">
        <f ca="1">C39</f>
        <v>7120</v>
      </c>
      <c r="R69" s="1327" t="s">
        <v>818</v>
      </c>
    </row>
    <row r="70" spans="1:18" s="1292" customFormat="1" ht="13.5" thickBot="1">
      <c r="A70" s="900"/>
      <c r="B70" s="901"/>
      <c r="C70" s="302"/>
      <c r="D70" s="912"/>
      <c r="E70" s="896" t="s">
        <v>766</v>
      </c>
      <c r="F70" s="991"/>
      <c r="O70" s="1334" t="s">
        <v>412</v>
      </c>
      <c r="P70" s="1371" t="s">
        <v>873</v>
      </c>
      <c r="Q70" s="1327">
        <f ca="1">C13</f>
        <v>18360</v>
      </c>
      <c r="R70" s="1327" t="s">
        <v>818</v>
      </c>
    </row>
    <row r="71" spans="1:18" s="1292" customFormat="1" ht="13.5" thickBot="1">
      <c r="A71" s="917" t="s">
        <v>396</v>
      </c>
      <c r="B71" s="918" t="s">
        <v>776</v>
      </c>
      <c r="C71" s="327">
        <f ca="1">ROUND(C68*10000/F71,0)</f>
        <v>-370</v>
      </c>
      <c r="D71" s="919" t="s">
        <v>777</v>
      </c>
      <c r="E71" s="920" t="s">
        <v>778</v>
      </c>
      <c r="F71" s="330">
        <f ca="1">F43</f>
        <v>27823.949999999997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1285</v>
      </c>
      <c r="D75" s="1292"/>
      <c r="E75" s="1292"/>
      <c r="F75" s="1292"/>
      <c r="K75" s="1309"/>
      <c r="L75" s="1292"/>
      <c r="O75" s="1325" t="s">
        <v>409</v>
      </c>
      <c r="P75" s="1326" t="s">
        <v>838</v>
      </c>
      <c r="Q75" s="1327">
        <f ca="1">Q65+Q66</f>
        <v>128732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0.82000000000000006</v>
      </c>
    </row>
    <row r="80" spans="1:18">
      <c r="B80" s="331" t="s">
        <v>800</v>
      </c>
      <c r="C80" s="266">
        <f ca="1">ROUND(C75/C39,3)</f>
        <v>0.18</v>
      </c>
    </row>
    <row r="81" spans="2:3">
      <c r="B81" s="262" t="s">
        <v>801</v>
      </c>
      <c r="C81" s="230"/>
    </row>
    <row r="82" spans="2:3">
      <c r="B82" s="265" t="s">
        <v>802</v>
      </c>
      <c r="C82" s="267">
        <f ca="1">1-C83</f>
        <v>0.85699999999999998</v>
      </c>
    </row>
    <row r="83" spans="2:3">
      <c r="B83" s="265" t="s">
        <v>803</v>
      </c>
      <c r="C83" s="266">
        <f ca="1">ROUND(C13/C40,3)</f>
        <v>0.14299999999999999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0" t="s">
        <v>694</v>
      </c>
      <c r="C6" s="1011">
        <f ca="1">ROUND(F6*F8*F7*(1-F9),0)</f>
        <v>0</v>
      </c>
      <c r="D6" s="147" t="s">
        <v>2105</v>
      </c>
      <c r="E6" s="294" t="s">
        <v>696</v>
      </c>
      <c r="F6" s="295">
        <f ca="1">INDIRECT("'数据-取费表'!u"&amp;$G$1)</f>
        <v>0</v>
      </c>
      <c r="G6" s="1292"/>
      <c r="H6" s="1006" t="s">
        <v>398</v>
      </c>
      <c r="I6" s="3390" t="s">
        <v>694</v>
      </c>
      <c r="J6" s="293">
        <f ca="1">ROUND(M6*M8*M7*(1-M9),0)</f>
        <v>0</v>
      </c>
      <c r="K6" s="1284" t="s">
        <v>2106</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0</v>
      </c>
      <c r="G7" s="1292"/>
      <c r="H7" s="296"/>
      <c r="I7" s="3391"/>
      <c r="J7" s="298"/>
      <c r="K7" s="299"/>
      <c r="L7" s="294" t="s">
        <v>697</v>
      </c>
      <c r="M7" s="295">
        <f ca="1">F7</f>
        <v>0</v>
      </c>
    </row>
    <row r="8" spans="1:37" ht="18" customHeight="1">
      <c r="A8" s="296"/>
      <c r="B8" s="3391"/>
      <c r="C8" s="298"/>
      <c r="D8" s="299"/>
      <c r="E8" s="294" t="s">
        <v>698</v>
      </c>
      <c r="F8" s="295">
        <f ca="1">INDIRECT("'数据-取费表'!ai"&amp;$G$1)</f>
        <v>0</v>
      </c>
      <c r="G8" s="1292"/>
      <c r="H8" s="296"/>
      <c r="I8" s="3391"/>
      <c r="J8" s="298"/>
      <c r="K8" s="299"/>
      <c r="L8" s="294" t="s">
        <v>698</v>
      </c>
      <c r="M8" s="295">
        <f ca="1">INDIRECT("'数据-取费表'!ai"&amp;$G$1)</f>
        <v>0</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0.03</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88" t="s">
        <v>837</v>
      </c>
      <c r="L53" s="338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93" t="s">
        <v>2316</v>
      </c>
      <c r="K2" s="339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95" t="s">
        <v>2326</v>
      </c>
      <c r="K3" s="339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95" t="s">
        <v>2328</v>
      </c>
      <c r="K4" s="339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97" t="s">
        <v>2332</v>
      </c>
      <c r="B6" s="3398"/>
      <c r="C6" s="3399"/>
      <c r="D6" s="2622"/>
      <c r="E6" s="2623"/>
      <c r="F6" s="2624"/>
      <c r="G6" s="2625"/>
      <c r="H6" s="2600"/>
      <c r="I6" s="2601"/>
      <c r="J6" s="3400">
        <v>1</v>
      </c>
      <c r="K6" s="340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400"/>
      <c r="K7" s="340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404" t="s">
        <v>2346</v>
      </c>
      <c r="C8" s="3405"/>
      <c r="D8" s="2641" t="s">
        <v>2347</v>
      </c>
      <c r="E8" s="2642" t="s">
        <v>2348</v>
      </c>
      <c r="F8" s="2643" t="s">
        <v>2349</v>
      </c>
      <c r="G8" s="2644"/>
      <c r="H8" s="2600"/>
      <c r="I8" s="2601"/>
      <c r="J8" s="3400"/>
      <c r="K8" s="340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404" t="s">
        <v>2352</v>
      </c>
      <c r="C9" s="3405"/>
      <c r="D9" s="2641">
        <f>ROUND(D6*E9,0)</f>
        <v>0</v>
      </c>
      <c r="E9" s="2645"/>
      <c r="F9" s="2646" t="s">
        <v>2353</v>
      </c>
      <c r="G9" s="2625"/>
      <c r="H9" s="2600"/>
      <c r="I9" s="2601"/>
      <c r="J9" s="3400"/>
      <c r="K9" s="3402"/>
      <c r="L9" s="2635" t="s">
        <v>2354</v>
      </c>
      <c r="M9" s="2636"/>
      <c r="N9" s="2612"/>
      <c r="O9" s="2637"/>
      <c r="P9" s="2637"/>
      <c r="Q9" s="2638">
        <v>365</v>
      </c>
      <c r="R9" s="2639">
        <f t="shared" si="0"/>
        <v>0</v>
      </c>
      <c r="S9" s="2593"/>
      <c r="T9" s="2593"/>
      <c r="U9" s="2593"/>
      <c r="V9" s="2601"/>
    </row>
    <row r="10" spans="1:22" s="2605" customFormat="1" ht="13.15" customHeight="1">
      <c r="A10" s="2640">
        <v>2</v>
      </c>
      <c r="B10" s="3404" t="s">
        <v>2355</v>
      </c>
      <c r="C10" s="3405"/>
      <c r="D10" s="2641">
        <f>ROUND(D6*E10,0)</f>
        <v>0</v>
      </c>
      <c r="E10" s="2645"/>
      <c r="F10" s="2646" t="s">
        <v>2356</v>
      </c>
      <c r="G10" s="2625"/>
      <c r="H10" s="2600"/>
      <c r="I10" s="2601"/>
      <c r="J10" s="3400"/>
      <c r="K10" s="3402"/>
      <c r="L10" s="2635" t="s">
        <v>2357</v>
      </c>
      <c r="M10" s="2636"/>
      <c r="N10" s="2612"/>
      <c r="O10" s="2637"/>
      <c r="P10" s="2637"/>
      <c r="Q10" s="2638">
        <v>365</v>
      </c>
      <c r="R10" s="2639">
        <f t="shared" si="0"/>
        <v>0</v>
      </c>
      <c r="S10" s="2593"/>
      <c r="T10" s="2593"/>
      <c r="U10" s="2593"/>
      <c r="V10" s="2601"/>
    </row>
    <row r="11" spans="1:22" s="2605" customFormat="1" ht="13.15" customHeight="1">
      <c r="A11" s="2640">
        <v>3</v>
      </c>
      <c r="B11" s="3404" t="s">
        <v>2358</v>
      </c>
      <c r="C11" s="3405"/>
      <c r="D11" s="2641">
        <f>D12+D14+D15+D16</f>
        <v>0</v>
      </c>
      <c r="E11" s="2647" t="e">
        <f>D11/D6</f>
        <v>#DIV/0!</v>
      </c>
      <c r="F11" s="2643"/>
      <c r="G11" s="2644"/>
      <c r="H11" s="2600"/>
      <c r="I11" s="2601"/>
      <c r="J11" s="3400"/>
      <c r="K11" s="340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406" t="s">
        <v>2361</v>
      </c>
      <c r="C12" s="3407"/>
      <c r="D12" s="2649">
        <f>ROUND(D13*1.2%*(1-30%),0)</f>
        <v>0</v>
      </c>
      <c r="E12" s="2650">
        <v>1.2E-2</v>
      </c>
      <c r="F12" s="2643" t="s">
        <v>2362</v>
      </c>
      <c r="G12" s="2644"/>
      <c r="H12" s="2600"/>
      <c r="I12" s="2601"/>
      <c r="J12" s="3400"/>
      <c r="K12" s="340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400"/>
      <c r="K13" s="340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406" t="s">
        <v>2367</v>
      </c>
      <c r="C14" s="3407"/>
      <c r="D14" s="2649">
        <f>ROUND(E14*B5/10000,0)</f>
        <v>0</v>
      </c>
      <c r="E14" s="2638"/>
      <c r="F14" s="2643" t="s">
        <v>2368</v>
      </c>
      <c r="G14" s="2644"/>
      <c r="H14" s="2600"/>
      <c r="I14" s="2601"/>
      <c r="J14" s="3400"/>
      <c r="K14" s="340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406" t="s">
        <v>2371</v>
      </c>
      <c r="C15" s="3407"/>
      <c r="D15" s="2649">
        <f>ROUND(D6*E15,0)</f>
        <v>0</v>
      </c>
      <c r="E15" s="2650">
        <v>5.5E-2</v>
      </c>
      <c r="F15" s="2643" t="s">
        <v>2372</v>
      </c>
      <c r="G15" s="2625"/>
      <c r="H15" s="2600"/>
      <c r="I15" s="2601"/>
      <c r="J15" s="3400">
        <v>2</v>
      </c>
      <c r="K15" s="340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406" t="s">
        <v>2380</v>
      </c>
      <c r="C16" s="3407"/>
      <c r="D16" s="2660">
        <f>D6*E16</f>
        <v>0</v>
      </c>
      <c r="E16" s="2661"/>
      <c r="F16" s="2646" t="s">
        <v>2381</v>
      </c>
      <c r="G16" s="2625"/>
      <c r="H16" s="2600"/>
      <c r="I16" s="2601"/>
      <c r="J16" s="3400"/>
      <c r="K16" s="340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408" t="s">
        <v>2383</v>
      </c>
      <c r="C17" s="3409"/>
      <c r="D17" s="2663">
        <f>ROUND(D6*E17,0)</f>
        <v>0</v>
      </c>
      <c r="E17" s="2664"/>
      <c r="F17" s="2665" t="s">
        <v>2384</v>
      </c>
      <c r="G17" s="2625"/>
      <c r="H17" s="2600"/>
      <c r="I17" s="2601"/>
      <c r="J17" s="3400"/>
      <c r="K17" s="340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400"/>
      <c r="K18" s="340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400"/>
      <c r="K19" s="340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00">
        <v>3</v>
      </c>
      <c r="K20" s="340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400"/>
      <c r="K21" s="340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400"/>
      <c r="K22" s="340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400"/>
      <c r="K23" s="340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400"/>
      <c r="K24" s="340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41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41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93" t="s">
        <v>2316</v>
      </c>
      <c r="K32" s="339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95" t="s">
        <v>2326</v>
      </c>
      <c r="K33" s="339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95" t="s">
        <v>2328</v>
      </c>
      <c r="K34" s="339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400">
        <v>1</v>
      </c>
      <c r="K36" s="340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400"/>
      <c r="K37" s="340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00"/>
      <c r="K38" s="340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400"/>
      <c r="K39" s="340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400"/>
      <c r="K40" s="340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1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41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估价对象为北京市房地产，为所有。根据《国有土地使用证》[]，估价对象（分摊）出让国有建设用地使用权面积为5746.62平方米，建筑面积为46189.05平方米。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估价对象为北京市房地产,属开发建设的，该项目尚在开发建设中。根据《国有土地使用证》[]，估价对象（分摊）出让国有建设用地使用权面积为5746.62平方米，规划建筑面积为46189.05平方米。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1C10F-991E-4C22-AF44-84EA6EA35003}">
  <dimension ref="A1"/>
  <sheetViews>
    <sheetView workbookViewId="0">
      <selection activeCell="J39" sqref="J39"/>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A39AE-40D1-4101-8562-93A1FED5AC89}">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17.09</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26770</v>
      </c>
      <c r="C2" s="1289" t="s">
        <v>805</v>
      </c>
      <c r="D2" s="1289"/>
      <c r="E2" s="1295"/>
      <c r="F2" s="1296"/>
      <c r="G2" s="2479"/>
      <c r="H2" s="2469"/>
      <c r="I2" s="2469"/>
      <c r="J2" s="2469"/>
      <c r="K2" s="2470"/>
      <c r="L2" s="2469"/>
      <c r="M2" s="2469"/>
    </row>
    <row r="3" spans="1:37" ht="18" customHeight="1" thickBot="1">
      <c r="A3" s="1297" t="s">
        <v>806</v>
      </c>
      <c r="B3" s="1298">
        <f ca="1">IF(ISERROR(B2*10000/F43),0,ROUND(B2*10000/F43,0))</f>
        <v>34508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2449</v>
      </c>
      <c r="D5" s="1273" t="s">
        <v>693</v>
      </c>
      <c r="E5" s="1008"/>
      <c r="F5" s="1009"/>
      <c r="G5" s="1292"/>
      <c r="H5" s="291">
        <v>1</v>
      </c>
      <c r="I5" s="292" t="s">
        <v>692</v>
      </c>
      <c r="J5" s="1007">
        <f ca="1">J6+J10+J12</f>
        <v>0</v>
      </c>
      <c r="K5" s="1273" t="s">
        <v>693</v>
      </c>
      <c r="L5" s="1008"/>
      <c r="M5" s="1009"/>
    </row>
    <row r="6" spans="1:37" ht="18" customHeight="1">
      <c r="A6" s="1006" t="s">
        <v>398</v>
      </c>
      <c r="B6" s="3390" t="s">
        <v>694</v>
      </c>
      <c r="C6" s="1011">
        <f ca="1">ROUND(F6*F8*F7*(1-F9)/10000,0)</f>
        <v>2446</v>
      </c>
      <c r="D6" s="147" t="s">
        <v>2108</v>
      </c>
      <c r="E6" s="294" t="s">
        <v>696</v>
      </c>
      <c r="F6" s="295">
        <f ca="1">INDIRECT("'数据-取费表'!u"&amp;$G$1)</f>
        <v>9.6</v>
      </c>
      <c r="G6" s="1292"/>
      <c r="H6" s="1006" t="s">
        <v>398</v>
      </c>
      <c r="I6" s="3390" t="s">
        <v>694</v>
      </c>
      <c r="J6" s="293">
        <f ca="1">ROUND(M6*M8*M7*(1-M9)/10000,0)</f>
        <v>0</v>
      </c>
      <c r="K6" s="147" t="s">
        <v>2107</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7757.51</v>
      </c>
      <c r="G7" s="1292"/>
      <c r="H7" s="296"/>
      <c r="I7" s="3391"/>
      <c r="J7" s="298"/>
      <c r="K7" s="299"/>
      <c r="L7" s="294" t="s">
        <v>697</v>
      </c>
      <c r="M7" s="295">
        <f ca="1">F7</f>
        <v>7757.51</v>
      </c>
    </row>
    <row r="8" spans="1:37" ht="18" customHeight="1">
      <c r="A8" s="296"/>
      <c r="B8" s="3391"/>
      <c r="C8" s="298"/>
      <c r="D8" s="299"/>
      <c r="E8" s="294" t="s">
        <v>698</v>
      </c>
      <c r="F8" s="295">
        <f ca="1">INDIRECT("'数据-取费表'!ai"&amp;$G$1)</f>
        <v>365</v>
      </c>
      <c r="G8" s="1292"/>
      <c r="H8" s="296"/>
      <c r="I8" s="3391"/>
      <c r="J8" s="298"/>
      <c r="K8" s="299"/>
      <c r="L8" s="294" t="s">
        <v>698</v>
      </c>
      <c r="M8" s="295">
        <f ca="1">INDIRECT("'数据-取费表'!ai"&amp;$G$1)</f>
        <v>365</v>
      </c>
    </row>
    <row r="9" spans="1:37" ht="18" customHeight="1">
      <c r="A9" s="296"/>
      <c r="B9" s="3392"/>
      <c r="C9" s="298"/>
      <c r="D9" s="299"/>
      <c r="E9" s="294" t="s">
        <v>699</v>
      </c>
      <c r="F9" s="304">
        <f ca="1">INDIRECT("'数据-取费表'!w"&amp;$G$1)</f>
        <v>0.1</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2115</v>
      </c>
      <c r="E10" s="305" t="s">
        <v>701</v>
      </c>
      <c r="F10" s="1053" t="s">
        <v>3473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5119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4111</v>
      </c>
      <c r="D14" s="1257" t="s">
        <v>708</v>
      </c>
      <c r="E14" s="1255"/>
      <c r="F14" s="311"/>
      <c r="G14" s="1292"/>
      <c r="H14" s="928" t="s">
        <v>398</v>
      </c>
      <c r="I14" s="294" t="s">
        <v>709</v>
      </c>
      <c r="J14" s="21">
        <f ca="1">C29</f>
        <v>6399</v>
      </c>
      <c r="K14" s="12"/>
      <c r="L14" s="759"/>
      <c r="M14" s="760"/>
    </row>
    <row r="15" spans="1:37" s="1304" customFormat="1" ht="18" customHeight="1" thickBot="1">
      <c r="A15" s="928" t="s">
        <v>399</v>
      </c>
      <c r="B15" s="294" t="s">
        <v>710</v>
      </c>
      <c r="C15" s="21">
        <f ca="1">ROUND(C14*F15,0)</f>
        <v>206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16</v>
      </c>
      <c r="K16" s="1024" t="s">
        <v>715</v>
      </c>
      <c r="L16" s="1025"/>
      <c r="M16" s="1009"/>
    </row>
    <row r="17" spans="1:37" s="1304" customFormat="1" ht="18" customHeight="1">
      <c r="A17" s="928" t="s">
        <v>681</v>
      </c>
      <c r="B17" s="294" t="s">
        <v>716</v>
      </c>
      <c r="C17" s="21">
        <f ca="1">ROUND(F17*(F43+INDIRECT("'数据-取费表'!S"&amp;$G$1))/10000,0)</f>
        <v>155</v>
      </c>
      <c r="D17" s="294" t="s">
        <v>717</v>
      </c>
      <c r="E17" s="294" t="s">
        <v>718</v>
      </c>
      <c r="F17" s="23">
        <f>'数据-取费表'!B35</f>
        <v>200</v>
      </c>
      <c r="G17" s="1303"/>
      <c r="H17" s="928" t="s">
        <v>398</v>
      </c>
      <c r="I17" s="294" t="s">
        <v>719</v>
      </c>
      <c r="J17" s="2140">
        <f ca="1">ROUND(IF(AND(项目基本情况!B11="自然人",项目基本情况!B10="北京市"),J6*M17/(1+'数据-取费表'!C42),J18+J19+J20),2)</f>
        <v>2.9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123</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4595</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138</v>
      </c>
      <c r="D20" s="315" t="s">
        <v>729</v>
      </c>
      <c r="E20" s="294" t="s">
        <v>712</v>
      </c>
      <c r="F20" s="314">
        <f>'数据-取费表'!B37</f>
        <v>0.03</v>
      </c>
      <c r="G20" s="1303"/>
      <c r="H20" s="928" t="s">
        <v>680</v>
      </c>
      <c r="I20" s="147" t="s">
        <v>730</v>
      </c>
      <c r="J20" s="22">
        <f ca="1">ROUND(M20*M21/10000,2)</f>
        <v>2.9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965.15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-16</v>
      </c>
      <c r="K25" s="1032" t="s">
        <v>753</v>
      </c>
      <c r="L25" s="1033"/>
      <c r="M25" s="1034"/>
    </row>
    <row r="26" spans="1:37">
      <c r="A26" s="928" t="s">
        <v>397</v>
      </c>
      <c r="B26" s="294" t="s">
        <v>754</v>
      </c>
      <c r="C26" s="21">
        <f ca="1">ROUND((C19+C20)*F26,0)</f>
        <v>947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6399</v>
      </c>
      <c r="D29" s="1029"/>
      <c r="E29" s="1027"/>
      <c r="F29" s="1030"/>
      <c r="G29" s="1303"/>
      <c r="H29" s="325" t="s">
        <v>396</v>
      </c>
      <c r="I29" s="326" t="s">
        <v>768</v>
      </c>
      <c r="J29" s="327">
        <f ca="1">ROUND(J26/(1+F40)^F41,0)</f>
        <v>0</v>
      </c>
      <c r="K29" s="328" t="s">
        <v>769</v>
      </c>
      <c r="L29" s="329"/>
      <c r="M29" s="330">
        <f ca="1">INDIRECT("'数据-取费表'!k"&amp;$G$1)</f>
        <v>7757.51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412.89</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130.44999999999999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279.54000000000002</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2.9</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965.15</v>
      </c>
      <c r="G35" s="1292"/>
      <c r="H35" s="2471"/>
      <c r="I35" s="1305"/>
      <c r="J35" s="1306"/>
      <c r="K35" s="2475"/>
      <c r="L35" s="2474"/>
      <c r="M35" s="2474"/>
    </row>
    <row r="36" spans="1:18" ht="18" customHeight="1">
      <c r="A36" s="1039" t="s">
        <v>402</v>
      </c>
      <c r="B36" s="294" t="s">
        <v>738</v>
      </c>
      <c r="C36" s="21">
        <f ca="1">ROUND(C29*F36,2)</f>
        <v>12.8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5.12</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12.25</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2006</v>
      </c>
      <c r="D39" s="1032" t="s">
        <v>753</v>
      </c>
      <c r="E39" s="1033"/>
      <c r="F39" s="1034"/>
      <c r="G39" s="1292"/>
      <c r="H39" s="2474"/>
      <c r="I39" s="1305"/>
      <c r="J39" s="1306"/>
      <c r="K39" s="2472"/>
      <c r="L39" s="2474"/>
      <c r="M39" s="2474"/>
    </row>
    <row r="40" spans="1:18" ht="18" customHeight="1">
      <c r="A40" s="291" t="s">
        <v>395</v>
      </c>
      <c r="B40" s="292" t="s">
        <v>774</v>
      </c>
      <c r="C40" s="293">
        <f ca="1">ROUND(C39*(1-((1+F42)/(1+F40))^F41)/(F40-F42),0)</f>
        <v>26026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17.09</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f ca="1">ROUND(C40*10000/F43,0)</f>
        <v>33549</v>
      </c>
      <c r="D43" s="328" t="s">
        <v>777</v>
      </c>
      <c r="E43" s="329" t="s">
        <v>778</v>
      </c>
      <c r="F43" s="330">
        <f ca="1">INDIRECT("'数据-取费表'!k"&amp;$G$1)</f>
        <v>7757.51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-26255</v>
      </c>
      <c r="D46" s="1313" t="str">
        <f>C2</f>
        <v>万元</v>
      </c>
      <c r="E46" s="1307"/>
      <c r="F46" s="1307"/>
      <c r="I46" s="1314" t="s">
        <v>810</v>
      </c>
      <c r="J46" s="1315"/>
      <c r="K46" s="1316"/>
      <c r="L46" s="1317">
        <f ca="1">IF(M47="住宅",0,IF(L48&gt;J51,L60,J60))</f>
        <v>744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3471</v>
      </c>
      <c r="K47" s="1323" t="s">
        <v>816</v>
      </c>
      <c r="L47" s="1324">
        <f ca="1">INDIRECT("'数据-取费表'!d"&amp;$G$1)</f>
        <v>40</v>
      </c>
      <c r="M47" s="1288" t="str">
        <f>IF(ISNUMBER(FIND("住宅",C1)),"住宅","非住宅")</f>
        <v>非住宅</v>
      </c>
      <c r="O47" s="1325" t="s">
        <v>403</v>
      </c>
      <c r="P47" s="1326" t="s">
        <v>817</v>
      </c>
      <c r="Q47" s="1327">
        <f ca="1">C40+J29</f>
        <v>26026</v>
      </c>
      <c r="R47" s="1327" t="s">
        <v>818</v>
      </c>
    </row>
    <row r="48" spans="1:18" s="1292" customFormat="1" ht="28.5" thickBot="1">
      <c r="A48" s="1047" t="s">
        <v>438</v>
      </c>
      <c r="B48" s="292" t="s">
        <v>692</v>
      </c>
      <c r="C48" s="1268">
        <f ca="1">C49+C53+C55</f>
        <v>0</v>
      </c>
      <c r="D48" s="1049"/>
      <c r="E48" s="1050"/>
      <c r="F48" s="908"/>
      <c r="G48" s="681"/>
      <c r="H48" s="682"/>
      <c r="I48" s="1328" t="s">
        <v>819</v>
      </c>
      <c r="J48" s="1329" t="s">
        <v>3472</v>
      </c>
      <c r="K48" s="1330" t="s">
        <v>820</v>
      </c>
      <c r="L48" s="1331">
        <f ca="1">INDIRECT("'数据-取费表'!f"&amp;$G$1)</f>
        <v>17.09</v>
      </c>
      <c r="O48" s="1325" t="s">
        <v>404</v>
      </c>
      <c r="P48" s="1326" t="s">
        <v>821</v>
      </c>
      <c r="Q48" s="1327">
        <f ca="1">J60</f>
        <v>744</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f>'数据-取费表'!N18</f>
        <v>2004</v>
      </c>
      <c r="K49" s="1330" t="s">
        <v>824</v>
      </c>
      <c r="L49" s="1333"/>
      <c r="O49" s="1334" t="s">
        <v>405</v>
      </c>
      <c r="P49" s="1326" t="s">
        <v>825</v>
      </c>
      <c r="Q49" s="1327">
        <f ca="1">C29</f>
        <v>6399</v>
      </c>
      <c r="R49" s="1327" t="s">
        <v>818</v>
      </c>
    </row>
    <row r="50" spans="1:18" s="1292" customFormat="1" ht="13.5" thickBot="1">
      <c r="A50" s="922"/>
      <c r="B50" s="925"/>
      <c r="C50" s="1055"/>
      <c r="D50" s="899"/>
      <c r="E50" s="993" t="s">
        <v>697</v>
      </c>
      <c r="F50" s="994">
        <f ca="1">F7</f>
        <v>7757.51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28038</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17.09</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17.09</v>
      </c>
      <c r="K53" s="3388" t="s">
        <v>837</v>
      </c>
      <c r="L53" s="3389"/>
      <c r="O53" s="1325" t="s">
        <v>409</v>
      </c>
      <c r="P53" s="1326" t="s">
        <v>838</v>
      </c>
      <c r="Q53" s="1327">
        <f ca="1">Q47+Q48</f>
        <v>26770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0.36499999999999999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5119</v>
      </c>
      <c r="D56" s="1352"/>
      <c r="E56" s="1353"/>
      <c r="F56" s="1345"/>
      <c r="I56" s="1354" t="s">
        <v>842</v>
      </c>
      <c r="J56" s="1355" t="s">
        <v>3452</v>
      </c>
      <c r="K56" s="1328" t="s">
        <v>843</v>
      </c>
      <c r="L56" s="1331" t="str">
        <f ca="1">IF(L48&lt;J51,"——",L48-J53)</f>
        <v>——</v>
      </c>
      <c r="O56" s="1325" t="s">
        <v>403</v>
      </c>
      <c r="P56" s="1326" t="s">
        <v>817</v>
      </c>
      <c r="Q56" s="1327">
        <f ca="1">C40+J29</f>
        <v>26026</v>
      </c>
      <c r="R56" s="1327" t="s">
        <v>818</v>
      </c>
    </row>
    <row r="57" spans="1:18" s="1292" customFormat="1" ht="24.75" thickBot="1">
      <c r="A57" s="1356"/>
      <c r="B57" s="896" t="s">
        <v>767</v>
      </c>
      <c r="C57" s="230">
        <f ca="1">C29</f>
        <v>6399</v>
      </c>
      <c r="D57" s="1357"/>
      <c r="E57" s="1358"/>
      <c r="F57" s="1359"/>
      <c r="I57" s="1360" t="s">
        <v>844</v>
      </c>
      <c r="J57" s="1361">
        <f ca="1">IF(OR(M47="住宅",J51&lt;L48,J56="是"),"——",J51-L48)</f>
        <v>21.91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2560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744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2.9</v>
      </c>
      <c r="D62" s="911" t="s">
        <v>731</v>
      </c>
      <c r="E62" s="896" t="s">
        <v>732</v>
      </c>
      <c r="F62" s="317">
        <f t="shared" si="0"/>
        <v>30</v>
      </c>
      <c r="I62" s="1367" t="s">
        <v>858</v>
      </c>
      <c r="J62" s="610" t="s">
        <v>859</v>
      </c>
      <c r="K62" s="610" t="s">
        <v>860</v>
      </c>
      <c r="L62" s="610" t="s">
        <v>861</v>
      </c>
      <c r="M62" s="1368" t="s">
        <v>862</v>
      </c>
      <c r="O62" s="1325" t="s">
        <v>409</v>
      </c>
      <c r="P62" s="1326" t="s">
        <v>838</v>
      </c>
      <c r="Q62" s="1327">
        <f ca="1">Q56+Q57</f>
        <v>26026</v>
      </c>
      <c r="R62" s="1327" t="s">
        <v>410</v>
      </c>
    </row>
    <row r="63" spans="1:18" s="1292" customFormat="1" ht="13.5" thickBot="1">
      <c r="A63" s="318"/>
      <c r="B63" s="902"/>
      <c r="C63" s="26"/>
      <c r="D63" s="912"/>
      <c r="E63" s="896" t="s">
        <v>736</v>
      </c>
      <c r="F63" s="295">
        <f t="shared" ca="1" si="0"/>
        <v>965.15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12.8</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5.12</v>
      </c>
      <c r="D65" s="910" t="s">
        <v>743</v>
      </c>
      <c r="E65" s="896" t="s">
        <v>712</v>
      </c>
      <c r="F65" s="321">
        <f t="shared" ca="1" si="0"/>
        <v>1E-3</v>
      </c>
      <c r="I65" s="1367" t="s">
        <v>867</v>
      </c>
      <c r="J65" s="610">
        <v>40</v>
      </c>
      <c r="K65" s="610">
        <v>30</v>
      </c>
      <c r="L65" s="610">
        <v>50</v>
      </c>
      <c r="M65" s="1369">
        <v>0.02</v>
      </c>
      <c r="O65" s="1325" t="s">
        <v>403</v>
      </c>
      <c r="P65" s="1326" t="s">
        <v>817</v>
      </c>
      <c r="Q65" s="1327">
        <f ca="1">C40+J29</f>
        <v>26026</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-21</v>
      </c>
      <c r="D67" s="909" t="s">
        <v>753</v>
      </c>
      <c r="E67" s="914"/>
      <c r="F67" s="915"/>
      <c r="O67" s="1334" t="s">
        <v>405</v>
      </c>
      <c r="P67" s="1326" t="s">
        <v>850</v>
      </c>
      <c r="Q67" s="1370">
        <f ca="1">L51</f>
        <v>28038</v>
      </c>
      <c r="R67" s="1327" t="s">
        <v>870</v>
      </c>
    </row>
    <row r="68" spans="1:18" s="1292" customFormat="1" ht="16.5" thickBot="1">
      <c r="A68" s="893" t="s">
        <v>395</v>
      </c>
      <c r="B68" s="894" t="s">
        <v>774</v>
      </c>
      <c r="C68" s="293">
        <f ca="1">ROUND(C67*(1-((1+F70)/(1+F68))^F69)/(F68-F70),0)</f>
        <v>-229</v>
      </c>
      <c r="D68" s="911" t="s">
        <v>758</v>
      </c>
      <c r="E68" s="896" t="s">
        <v>759</v>
      </c>
      <c r="F68" s="304">
        <f ca="1">F40</f>
        <v>5.5E-2</v>
      </c>
      <c r="O68" s="1334" t="s">
        <v>406</v>
      </c>
      <c r="P68" s="1371" t="s">
        <v>871</v>
      </c>
      <c r="Q68" s="1327">
        <f ca="1">ROUND(Q69-Q70*Q71,0)</f>
        <v>1648</v>
      </c>
      <c r="R68" s="1327" t="s">
        <v>414</v>
      </c>
    </row>
    <row r="69" spans="1:18" s="1292" customFormat="1" ht="13.5" thickBot="1">
      <c r="A69" s="897"/>
      <c r="B69" s="898"/>
      <c r="C69" s="298"/>
      <c r="D69" s="916" t="s">
        <v>762</v>
      </c>
      <c r="E69" s="896" t="s">
        <v>763</v>
      </c>
      <c r="F69" s="324">
        <f ca="1">F41</f>
        <v>17.09</v>
      </c>
      <c r="O69" s="1334" t="s">
        <v>411</v>
      </c>
      <c r="P69" s="1371" t="s">
        <v>872</v>
      </c>
      <c r="Q69" s="1327">
        <f ca="1">C39</f>
        <v>2006</v>
      </c>
      <c r="R69" s="1327" t="s">
        <v>818</v>
      </c>
    </row>
    <row r="70" spans="1:18" s="1292" customFormat="1" ht="13.5" thickBot="1">
      <c r="A70" s="900"/>
      <c r="B70" s="901"/>
      <c r="C70" s="302"/>
      <c r="D70" s="912"/>
      <c r="E70" s="896" t="s">
        <v>766</v>
      </c>
      <c r="F70" s="991"/>
      <c r="O70" s="1334" t="s">
        <v>412</v>
      </c>
      <c r="P70" s="1371" t="s">
        <v>873</v>
      </c>
      <c r="Q70" s="1327">
        <f ca="1">C13</f>
        <v>5119</v>
      </c>
      <c r="R70" s="1327" t="s">
        <v>818</v>
      </c>
    </row>
    <row r="71" spans="1:18" s="1292" customFormat="1" ht="13.5" thickBot="1">
      <c r="A71" s="917" t="s">
        <v>396</v>
      </c>
      <c r="B71" s="918" t="s">
        <v>776</v>
      </c>
      <c r="C71" s="327">
        <f ca="1">ROUND(C68*10000/F71,0)</f>
        <v>-295</v>
      </c>
      <c r="D71" s="919" t="s">
        <v>777</v>
      </c>
      <c r="E71" s="920" t="s">
        <v>778</v>
      </c>
      <c r="F71" s="330">
        <f ca="1">F43</f>
        <v>7757.51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358</v>
      </c>
      <c r="D75" s="1292"/>
      <c r="E75" s="1292"/>
      <c r="F75" s="1292"/>
      <c r="K75" s="1309"/>
      <c r="L75" s="1292"/>
      <c r="O75" s="1325" t="s">
        <v>409</v>
      </c>
      <c r="P75" s="1326" t="s">
        <v>838</v>
      </c>
      <c r="Q75" s="1327">
        <f ca="1">Q65+Q66</f>
        <v>26026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0.82200000000000006</v>
      </c>
    </row>
    <row r="80" spans="1:18">
      <c r="B80" s="331" t="s">
        <v>800</v>
      </c>
      <c r="C80" s="266">
        <f ca="1">ROUND(C75/C39,3)</f>
        <v>0.17799999999999999</v>
      </c>
    </row>
    <row r="81" spans="2:3">
      <c r="B81" s="262" t="s">
        <v>801</v>
      </c>
      <c r="C81" s="230"/>
    </row>
    <row r="82" spans="2:3">
      <c r="B82" s="265" t="s">
        <v>802</v>
      </c>
      <c r="C82" s="267">
        <f ca="1">1-C83</f>
        <v>0.80299999999999994</v>
      </c>
    </row>
    <row r="83" spans="2:3">
      <c r="B83" s="265" t="s">
        <v>803</v>
      </c>
      <c r="C83" s="266">
        <f ca="1">ROUND(C13/C40,3)</f>
        <v>0.19700000000000001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CDA7C912-581C-4386-B633-7FE247661EB4}">
      <formula1>"在建（套用方法）,土地（套用方法）,——"</formula1>
    </dataValidation>
    <dataValidation type="list" allowBlank="1" showInputMessage="1" showErrorMessage="1" sqref="M10 F10 F53" xr:uid="{EE306D95-E576-4598-8ECA-4DB0072306DC}">
      <formula1>"押一,押二,押三,自定义"</formula1>
    </dataValidation>
    <dataValidation type="list" allowBlank="1" showInputMessage="1" showErrorMessage="1" sqref="L55" xr:uid="{F435C88D-1A85-4F76-958B-5834D21EFA2E}">
      <formula1>"比较法,基准地价,收益还原"</formula1>
    </dataValidation>
    <dataValidation type="list" allowBlank="1" showInputMessage="1" showErrorMessage="1" sqref="J56" xr:uid="{ACBDBB61-27EF-4E8F-8801-5056F48A310E}">
      <formula1>估价范围判定</formula1>
    </dataValidation>
    <dataValidation type="list" allowBlank="1" showInputMessage="1" showErrorMessage="1" sqref="J48" xr:uid="{8F64EA60-ABFD-4756-A285-756AC7A23D0A}">
      <formula1>"非生产用房,生产用房,受腐蚀的生产用房"</formula1>
    </dataValidation>
    <dataValidation type="list" allowBlank="1" showInputMessage="1" showErrorMessage="1" sqref="J47" xr:uid="{C105AB8E-8B11-4765-9EBE-1EE989A80A7E}">
      <formula1>"钢,钢混,砖混"</formula1>
    </dataValidation>
    <dataValidation type="list" allowBlank="1" showInputMessage="1" showErrorMessage="1" sqref="C1" xr:uid="{217113C8-5A2A-4C23-99C1-5620FB9CBD0E}">
      <formula1>项目类型</formula1>
    </dataValidation>
    <dataValidation type="list" allowBlank="1" showInputMessage="1" showErrorMessage="1" sqref="D33 D61" xr:uid="{126C7B6C-41B6-4064-99AF-E8462B33675E}">
      <formula1>"按租金收入计税,按房产原值计税,按票据"</formula1>
    </dataValidation>
    <dataValidation type="list" allowBlank="1" showInputMessage="1" showErrorMessage="1" sqref="K19" xr:uid="{FD54652F-5928-411C-95CA-3A67BF88FDB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4743-5CC0-4982-B21D-1F6B84B96B32}">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3332</v>
      </c>
      <c r="D1" s="1271" t="s">
        <v>43</v>
      </c>
      <c r="E1" s="1272" t="s">
        <v>678</v>
      </c>
      <c r="F1" s="999">
        <f ca="1">J53</f>
        <v>27.1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4766</v>
      </c>
      <c r="C2" s="1289" t="s">
        <v>805</v>
      </c>
      <c r="D2" s="1289"/>
      <c r="E2" s="1295"/>
      <c r="F2" s="1296"/>
      <c r="G2" s="2479"/>
      <c r="H2" s="2469"/>
      <c r="I2" s="2469"/>
      <c r="J2" s="2469"/>
      <c r="K2" s="2470"/>
      <c r="L2" s="2469"/>
      <c r="M2" s="2469"/>
    </row>
    <row r="3" spans="1:37" ht="18" customHeight="1" thickBot="1">
      <c r="A3" s="1297" t="s">
        <v>806</v>
      </c>
      <c r="B3" s="1298">
        <f ca="1">IF(ISERROR(B2*10000/F43),0,ROUND(B2*10000/F43,0))</f>
        <v>4493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319</v>
      </c>
      <c r="D5" s="1273" t="s">
        <v>693</v>
      </c>
      <c r="E5" s="1008"/>
      <c r="F5" s="1009"/>
      <c r="G5" s="1292"/>
      <c r="H5" s="291">
        <v>1</v>
      </c>
      <c r="I5" s="292" t="s">
        <v>692</v>
      </c>
      <c r="J5" s="1007">
        <f ca="1">J6+J10+J12</f>
        <v>0</v>
      </c>
      <c r="K5" s="1273" t="s">
        <v>693</v>
      </c>
      <c r="L5" s="1008"/>
      <c r="M5" s="1009"/>
    </row>
    <row r="6" spans="1:37" ht="18" customHeight="1">
      <c r="A6" s="1006" t="s">
        <v>398</v>
      </c>
      <c r="B6" s="3390" t="s">
        <v>694</v>
      </c>
      <c r="C6" s="1011">
        <f ca="1">ROUND(F6*F8*F7*(1-F9)/10000,0)</f>
        <v>319</v>
      </c>
      <c r="D6" s="147" t="s">
        <v>2108</v>
      </c>
      <c r="E6" s="294" t="s">
        <v>696</v>
      </c>
      <c r="F6" s="295">
        <f ca="1">INDIRECT("'数据-取费表'!u"&amp;$G$1)</f>
        <v>1000</v>
      </c>
      <c r="G6" s="1292"/>
      <c r="H6" s="1006" t="s">
        <v>398</v>
      </c>
      <c r="I6" s="3390" t="s">
        <v>694</v>
      </c>
      <c r="J6" s="293">
        <f ca="1">ROUND(M6*M8*M7*(1-M9)/10000,0)</f>
        <v>0</v>
      </c>
      <c r="K6" s="147" t="s">
        <v>2107</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295</v>
      </c>
      <c r="G7" s="1292"/>
      <c r="H7" s="296"/>
      <c r="I7" s="3391"/>
      <c r="J7" s="298"/>
      <c r="K7" s="299"/>
      <c r="L7" s="294" t="s">
        <v>697</v>
      </c>
      <c r="M7" s="295">
        <f ca="1">F7</f>
        <v>295</v>
      </c>
    </row>
    <row r="8" spans="1:37" ht="18" customHeight="1">
      <c r="A8" s="296"/>
      <c r="B8" s="3391"/>
      <c r="C8" s="298"/>
      <c r="D8" s="299"/>
      <c r="E8" s="294" t="s">
        <v>698</v>
      </c>
      <c r="F8" s="295">
        <f ca="1">INDIRECT("'数据-取费表'!ai"&amp;$G$1)</f>
        <v>12</v>
      </c>
      <c r="G8" s="1292"/>
      <c r="H8" s="296"/>
      <c r="I8" s="3391"/>
      <c r="J8" s="298"/>
      <c r="K8" s="299"/>
      <c r="L8" s="294" t="s">
        <v>698</v>
      </c>
      <c r="M8" s="295">
        <f ca="1">INDIRECT("'数据-取费表'!ai"&amp;$G$1)</f>
        <v>12</v>
      </c>
    </row>
    <row r="9" spans="1:37" ht="18" customHeight="1">
      <c r="A9" s="296"/>
      <c r="B9" s="3392"/>
      <c r="C9" s="298"/>
      <c r="D9" s="299"/>
      <c r="E9" s="294" t="s">
        <v>699</v>
      </c>
      <c r="F9" s="304">
        <f ca="1">INDIRECT("'数据-取费表'!w"&amp;$G$1)</f>
        <v>0.1</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3473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6118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5622</v>
      </c>
      <c r="D14" s="1257" t="s">
        <v>708</v>
      </c>
      <c r="E14" s="1255"/>
      <c r="F14" s="311"/>
      <c r="G14" s="1292"/>
      <c r="H14" s="928" t="s">
        <v>398</v>
      </c>
      <c r="I14" s="294" t="s">
        <v>709</v>
      </c>
      <c r="J14" s="21">
        <f ca="1">C29</f>
        <v>7647</v>
      </c>
      <c r="K14" s="12"/>
      <c r="L14" s="759"/>
      <c r="M14" s="760"/>
    </row>
    <row r="15" spans="1:37" s="1304" customFormat="1" ht="18" customHeight="1" thickBot="1">
      <c r="A15" s="928" t="s">
        <v>399</v>
      </c>
      <c r="B15" s="294" t="s">
        <v>710</v>
      </c>
      <c r="C15" s="21">
        <f ca="1">ROUND(C14*F15,0)</f>
        <v>281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212</v>
      </c>
      <c r="D17" s="294" t="s">
        <v>717</v>
      </c>
      <c r="E17" s="294" t="s">
        <v>718</v>
      </c>
      <c r="F17" s="23">
        <f>'数据-取费表'!B35</f>
        <v>200</v>
      </c>
      <c r="G17" s="1303"/>
      <c r="H17" s="928" t="s">
        <v>398</v>
      </c>
      <c r="I17" s="294" t="s">
        <v>719</v>
      </c>
      <c r="J17" s="2140">
        <f ca="1">ROUND(IF(AND(项目基本情况!B11="自然人",项目基本情况!B10="北京市"),J6*M17/(1+'数据-取费表'!C42),J18+J19+J20),2)</f>
        <v>3.96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169</v>
      </c>
      <c r="D18" s="294" t="s">
        <v>711</v>
      </c>
      <c r="E18" s="294" t="s">
        <v>712</v>
      </c>
      <c r="F18" s="314">
        <f>'数据-取费表'!B36</f>
        <v>0.03</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6284</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189</v>
      </c>
      <c r="D20" s="315" t="s">
        <v>729</v>
      </c>
      <c r="E20" s="294" t="s">
        <v>712</v>
      </c>
      <c r="F20" s="314">
        <f>'数据-取费表'!B37</f>
        <v>0.03</v>
      </c>
      <c r="G20" s="1303"/>
      <c r="H20" s="928" t="s">
        <v>680</v>
      </c>
      <c r="I20" s="147" t="s">
        <v>730</v>
      </c>
      <c r="J20" s="22">
        <f ca="1">ROUND(M20*M21/10000,2)</f>
        <v>3.96</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1319.75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15.29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195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324</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7647</v>
      </c>
      <c r="D29" s="1029"/>
      <c r="E29" s="1027"/>
      <c r="F29" s="1030"/>
      <c r="G29" s="1303"/>
      <c r="H29" s="325" t="s">
        <v>396</v>
      </c>
      <c r="I29" s="326" t="s">
        <v>768</v>
      </c>
      <c r="J29" s="327">
        <f ca="1">ROUND(J26/(1+F40)^F41,0)</f>
        <v>0</v>
      </c>
      <c r="K29" s="328" t="s">
        <v>769</v>
      </c>
      <c r="L29" s="329"/>
      <c r="M29" s="330">
        <f ca="1">INDIRECT("'数据-取费表'!k"&amp;$G$1)</f>
        <v>10607.59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57.43</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17.010000000000002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36.46</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3.96</v>
      </c>
      <c r="D34" s="316" t="s">
        <v>731</v>
      </c>
      <c r="E34" s="294" t="s">
        <v>732</v>
      </c>
      <c r="F34" s="317">
        <f>'数据-取费表'!B52</f>
        <v>30</v>
      </c>
      <c r="G34" s="1292"/>
      <c r="H34" s="2471"/>
      <c r="I34" s="1305"/>
      <c r="J34" s="1306"/>
      <c r="K34" s="2476"/>
      <c r="L34" s="2477"/>
      <c r="M34" s="2477"/>
    </row>
    <row r="35" spans="1:18" ht="18" customHeight="1">
      <c r="A35" s="1040"/>
      <c r="B35" s="1038"/>
      <c r="C35" s="26"/>
      <c r="D35" s="319"/>
      <c r="E35" s="294" t="s">
        <v>736</v>
      </c>
      <c r="F35" s="295">
        <f ca="1">INDIRECT("'数据-取费表'!r"&amp;$G$1)</f>
        <v>1319.75</v>
      </c>
      <c r="G35" s="1292"/>
      <c r="H35" s="2471"/>
      <c r="I35" s="1305"/>
      <c r="J35" s="1306"/>
      <c r="K35" s="2475"/>
      <c r="L35" s="2474"/>
      <c r="M35" s="2474"/>
    </row>
    <row r="36" spans="1:18" ht="18" customHeight="1">
      <c r="A36" s="1039" t="s">
        <v>402</v>
      </c>
      <c r="B36" s="294" t="s">
        <v>738</v>
      </c>
      <c r="C36" s="21">
        <f ca="1">ROUND(C29*F36,2)</f>
        <v>15.29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6.12</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1.6</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239</v>
      </c>
      <c r="D39" s="1032" t="s">
        <v>753</v>
      </c>
      <c r="E39" s="1033"/>
      <c r="F39" s="1034"/>
      <c r="G39" s="1292"/>
      <c r="H39" s="2474"/>
      <c r="I39" s="1305"/>
      <c r="J39" s="1306"/>
      <c r="K39" s="2472"/>
      <c r="L39" s="2474"/>
      <c r="M39" s="2474"/>
    </row>
    <row r="40" spans="1:18" ht="18" customHeight="1">
      <c r="A40" s="291" t="s">
        <v>395</v>
      </c>
      <c r="B40" s="292" t="s">
        <v>774</v>
      </c>
      <c r="C40" s="293">
        <f ca="1">ROUND(C39*(1-((1+F42)/(1+F40))^F41)/(F40-F42),0)</f>
        <v>4335</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4087</v>
      </c>
      <c r="D43" s="328" t="s">
        <v>777</v>
      </c>
      <c r="E43" s="329" t="s">
        <v>778</v>
      </c>
      <c r="F43" s="330">
        <f ca="1">INDIRECT("'数据-取费表'!k"&amp;$G$1)</f>
        <v>10607.59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-4702</v>
      </c>
      <c r="D46" s="1313" t="str">
        <f>C2</f>
        <v>万元</v>
      </c>
      <c r="E46" s="1307"/>
      <c r="F46" s="1307"/>
      <c r="I46" s="1314" t="s">
        <v>810</v>
      </c>
      <c r="J46" s="1315"/>
      <c r="K46" s="1316"/>
      <c r="L46" s="1317">
        <f ca="1">IF(M47="住宅",0,IF(L48&gt;J51,L60,J60))</f>
        <v>431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3471</v>
      </c>
      <c r="K47" s="1323" t="s">
        <v>816</v>
      </c>
      <c r="L47" s="1324">
        <f ca="1">INDIRECT("'数据-取费表'!d"&amp;$G$1)</f>
        <v>50</v>
      </c>
      <c r="M47" s="1288" t="str">
        <f>IF(ISNUMBER(FIND("住宅",C1)),"住宅","非住宅")</f>
        <v>非住宅</v>
      </c>
      <c r="O47" s="1325" t="s">
        <v>403</v>
      </c>
      <c r="P47" s="1326" t="s">
        <v>817</v>
      </c>
      <c r="Q47" s="1327">
        <f ca="1">C40+J29</f>
        <v>4335</v>
      </c>
      <c r="R47" s="1327" t="s">
        <v>818</v>
      </c>
    </row>
    <row r="48" spans="1:18" s="1292" customFormat="1" ht="28.5" thickBot="1">
      <c r="A48" s="1047" t="s">
        <v>438</v>
      </c>
      <c r="B48" s="292" t="s">
        <v>692</v>
      </c>
      <c r="C48" s="1268">
        <f ca="1">C49+C53+C55</f>
        <v>0</v>
      </c>
      <c r="D48" s="1049"/>
      <c r="E48" s="1050"/>
      <c r="F48" s="908"/>
      <c r="G48" s="681"/>
      <c r="H48" s="682"/>
      <c r="I48" s="1328" t="s">
        <v>819</v>
      </c>
      <c r="J48" s="1329" t="s">
        <v>3472</v>
      </c>
      <c r="K48" s="1330" t="s">
        <v>820</v>
      </c>
      <c r="L48" s="1331">
        <f ca="1">INDIRECT("'数据-取费表'!f"&amp;$G$1)</f>
        <v>27.1</v>
      </c>
      <c r="O48" s="1325" t="s">
        <v>404</v>
      </c>
      <c r="P48" s="1326" t="s">
        <v>821</v>
      </c>
      <c r="Q48" s="1327">
        <f ca="1">J60</f>
        <v>431</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f>'数据-取费表'!N18</f>
        <v>2004</v>
      </c>
      <c r="K49" s="1330" t="s">
        <v>824</v>
      </c>
      <c r="L49" s="1333"/>
      <c r="O49" s="1334" t="s">
        <v>405</v>
      </c>
      <c r="P49" s="1326" t="s">
        <v>825</v>
      </c>
      <c r="Q49" s="1327">
        <f ca="1">C29</f>
        <v>7647</v>
      </c>
      <c r="R49" s="1327" t="s">
        <v>818</v>
      </c>
    </row>
    <row r="50" spans="1:18" s="1292" customFormat="1" ht="13.5" thickBot="1">
      <c r="A50" s="922"/>
      <c r="B50" s="925"/>
      <c r="C50" s="1055"/>
      <c r="D50" s="899"/>
      <c r="E50" s="993" t="s">
        <v>697</v>
      </c>
      <c r="F50" s="994">
        <f ca="1">F7</f>
        <v>295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39</v>
      </c>
      <c r="K51" s="1339" t="s">
        <v>830</v>
      </c>
      <c r="L51" s="1340">
        <f ca="1">ROUND(-PV(INDIRECT("'数据-取费表'!h"&amp;$G$1),J51,(C39-C13*C76),0),0)</f>
        <v>-3450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27.1</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27.1</v>
      </c>
      <c r="K53" s="3388" t="s">
        <v>837</v>
      </c>
      <c r="L53" s="3389"/>
      <c r="O53" s="1325" t="s">
        <v>409</v>
      </c>
      <c r="P53" s="1326" t="s">
        <v>838</v>
      </c>
      <c r="Q53" s="1327">
        <f ca="1">Q47+Q48</f>
        <v>4766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6118</v>
      </c>
      <c r="D56" s="1352"/>
      <c r="E56" s="1353"/>
      <c r="F56" s="1345"/>
      <c r="I56" s="1354" t="s">
        <v>842</v>
      </c>
      <c r="J56" s="1355" t="s">
        <v>3452</v>
      </c>
      <c r="K56" s="1328" t="s">
        <v>843</v>
      </c>
      <c r="L56" s="1331" t="str">
        <f ca="1">IF(L48&lt;J51,"——",L48-J53)</f>
        <v>——</v>
      </c>
      <c r="O56" s="1325" t="s">
        <v>403</v>
      </c>
      <c r="P56" s="1326" t="s">
        <v>817</v>
      </c>
      <c r="Q56" s="1327">
        <f ca="1">C40+J29</f>
        <v>4335</v>
      </c>
      <c r="R56" s="1327" t="s">
        <v>818</v>
      </c>
    </row>
    <row r="57" spans="1:18" s="1292" customFormat="1" ht="24.75" thickBot="1">
      <c r="A57" s="1356"/>
      <c r="B57" s="896" t="s">
        <v>767</v>
      </c>
      <c r="C57" s="230">
        <f ca="1">C29</f>
        <v>7647</v>
      </c>
      <c r="D57" s="1357"/>
      <c r="E57" s="1358"/>
      <c r="F57" s="1359"/>
      <c r="I57" s="1360" t="s">
        <v>844</v>
      </c>
      <c r="J57" s="1361">
        <f ca="1">IF(OR(M47="住宅",J51&lt;L48,J56="是"),"——",J51-L48)</f>
        <v>11.899999999999999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3059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3335</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3.96</v>
      </c>
      <c r="D62" s="911" t="s">
        <v>731</v>
      </c>
      <c r="E62" s="896" t="s">
        <v>732</v>
      </c>
      <c r="F62" s="317">
        <f t="shared" si="0"/>
        <v>30</v>
      </c>
      <c r="I62" s="1367" t="s">
        <v>858</v>
      </c>
      <c r="J62" s="610" t="s">
        <v>859</v>
      </c>
      <c r="K62" s="610" t="s">
        <v>860</v>
      </c>
      <c r="L62" s="610" t="s">
        <v>861</v>
      </c>
      <c r="M62" s="1368" t="s">
        <v>862</v>
      </c>
      <c r="O62" s="1325" t="s">
        <v>409</v>
      </c>
      <c r="P62" s="1326" t="s">
        <v>838</v>
      </c>
      <c r="Q62" s="1327">
        <f ca="1">Q56+Q57</f>
        <v>4335</v>
      </c>
      <c r="R62" s="1327" t="s">
        <v>410</v>
      </c>
    </row>
    <row r="63" spans="1:18" s="1292" customFormat="1" ht="13.5" thickBot="1">
      <c r="A63" s="318"/>
      <c r="B63" s="902"/>
      <c r="C63" s="26"/>
      <c r="D63" s="912"/>
      <c r="E63" s="896" t="s">
        <v>736</v>
      </c>
      <c r="F63" s="295">
        <f t="shared" ca="1" si="0"/>
        <v>1319.75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15.29</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6.12</v>
      </c>
      <c r="D65" s="910" t="s">
        <v>743</v>
      </c>
      <c r="E65" s="896" t="s">
        <v>712</v>
      </c>
      <c r="F65" s="321">
        <f t="shared" ca="1" si="0"/>
        <v>1E-3</v>
      </c>
      <c r="I65" s="1367" t="s">
        <v>867</v>
      </c>
      <c r="J65" s="610">
        <v>40</v>
      </c>
      <c r="K65" s="610">
        <v>30</v>
      </c>
      <c r="L65" s="610">
        <v>50</v>
      </c>
      <c r="M65" s="1369">
        <v>0.02</v>
      </c>
      <c r="O65" s="1325" t="s">
        <v>403</v>
      </c>
      <c r="P65" s="1326" t="s">
        <v>817</v>
      </c>
      <c r="Q65" s="1327">
        <f ca="1">C40+J29</f>
        <v>4335</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-25</v>
      </c>
      <c r="D67" s="909" t="s">
        <v>753</v>
      </c>
      <c r="E67" s="914"/>
      <c r="F67" s="915"/>
      <c r="O67" s="1334" t="s">
        <v>405</v>
      </c>
      <c r="P67" s="1326" t="s">
        <v>850</v>
      </c>
      <c r="Q67" s="1370">
        <f ca="1">L51</f>
        <v>-3450</v>
      </c>
      <c r="R67" s="1327" t="s">
        <v>870</v>
      </c>
    </row>
    <row r="68" spans="1:18" s="1292" customFormat="1" ht="16.5" thickBot="1">
      <c r="A68" s="893" t="s">
        <v>395</v>
      </c>
      <c r="B68" s="894" t="s">
        <v>774</v>
      </c>
      <c r="C68" s="293">
        <f ca="1">ROUND(C67*(1-((1+F70)/(1+F68))^F69)/(F68-F70),0)</f>
        <v>-367</v>
      </c>
      <c r="D68" s="911" t="s">
        <v>758</v>
      </c>
      <c r="E68" s="896" t="s">
        <v>759</v>
      </c>
      <c r="F68" s="304">
        <f ca="1">F40</f>
        <v>0.05</v>
      </c>
      <c r="O68" s="1334" t="s">
        <v>406</v>
      </c>
      <c r="P68" s="1371" t="s">
        <v>871</v>
      </c>
      <c r="Q68" s="1327">
        <f ca="1">ROUND(Q69-Q70*Q71,0)</f>
        <v>-189</v>
      </c>
      <c r="R68" s="1327" t="s">
        <v>414</v>
      </c>
    </row>
    <row r="69" spans="1:18" s="1292" customFormat="1" ht="13.5" thickBot="1">
      <c r="A69" s="897"/>
      <c r="B69" s="898"/>
      <c r="C69" s="298"/>
      <c r="D69" s="916" t="s">
        <v>762</v>
      </c>
      <c r="E69" s="896" t="s">
        <v>763</v>
      </c>
      <c r="F69" s="324">
        <f ca="1">F41</f>
        <v>27.1</v>
      </c>
      <c r="O69" s="1334" t="s">
        <v>411</v>
      </c>
      <c r="P69" s="1371" t="s">
        <v>872</v>
      </c>
      <c r="Q69" s="1327">
        <f ca="1">C39</f>
        <v>239</v>
      </c>
      <c r="R69" s="1327" t="s">
        <v>818</v>
      </c>
    </row>
    <row r="70" spans="1:18" s="1292" customFormat="1" ht="13.5" thickBot="1">
      <c r="A70" s="900"/>
      <c r="B70" s="901"/>
      <c r="C70" s="302"/>
      <c r="D70" s="912"/>
      <c r="E70" s="896" t="s">
        <v>766</v>
      </c>
      <c r="F70" s="991"/>
      <c r="O70" s="1334" t="s">
        <v>412</v>
      </c>
      <c r="P70" s="1371" t="s">
        <v>873</v>
      </c>
      <c r="Q70" s="1327">
        <f ca="1">C13</f>
        <v>6118</v>
      </c>
      <c r="R70" s="1327" t="s">
        <v>818</v>
      </c>
    </row>
    <row r="71" spans="1:18" s="1292" customFormat="1" ht="13.5" thickBot="1">
      <c r="A71" s="917" t="s">
        <v>396</v>
      </c>
      <c r="B71" s="918" t="s">
        <v>776</v>
      </c>
      <c r="C71" s="327">
        <f ca="1">ROUND(C68*10000/F71,0)</f>
        <v>-346</v>
      </c>
      <c r="D71" s="919" t="s">
        <v>777</v>
      </c>
      <c r="E71" s="920" t="s">
        <v>778</v>
      </c>
      <c r="F71" s="330">
        <f ca="1">F43</f>
        <v>10607.59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428</v>
      </c>
      <c r="D75" s="1292"/>
      <c r="E75" s="1292"/>
      <c r="F75" s="1292"/>
      <c r="K75" s="1309"/>
      <c r="L75" s="1292"/>
      <c r="O75" s="1325" t="s">
        <v>409</v>
      </c>
      <c r="P75" s="1326" t="s">
        <v>838</v>
      </c>
      <c r="Q75" s="1327">
        <f ca="1">Q65+Q66</f>
        <v>4335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-0.79099999999999993</v>
      </c>
    </row>
    <row r="80" spans="1:18">
      <c r="B80" s="331" t="s">
        <v>800</v>
      </c>
      <c r="C80" s="266">
        <f ca="1">ROUND(C75/C39,3)</f>
        <v>1.7909999999999999</v>
      </c>
    </row>
    <row r="81" spans="2:3">
      <c r="B81" s="262" t="s">
        <v>801</v>
      </c>
      <c r="C81" s="230"/>
    </row>
    <row r="82" spans="2:3">
      <c r="B82" s="265" t="s">
        <v>802</v>
      </c>
      <c r="C82" s="267">
        <f ca="1">1-C83</f>
        <v>-0.41100000000000003</v>
      </c>
    </row>
    <row r="83" spans="2:3">
      <c r="B83" s="265" t="s">
        <v>803</v>
      </c>
      <c r="C83" s="266">
        <f ca="1">ROUND(C13/C40,3)</f>
        <v>1.411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K19" xr:uid="{3E94E573-692E-4C2C-B2BC-B18F3EF86699}">
      <formula1>"按租金收入计税,按房产原值计税"</formula1>
    </dataValidation>
    <dataValidation type="list" allowBlank="1" showInputMessage="1" showErrorMessage="1" sqref="D33 D61" xr:uid="{E45ED7EB-9B8F-4CDC-84E7-3ADEA06BD7FB}">
      <formula1>"按租金收入计税,按房产原值计税,按票据"</formula1>
    </dataValidation>
    <dataValidation type="list" allowBlank="1" showInputMessage="1" showErrorMessage="1" sqref="C1" xr:uid="{61541B4B-0079-4E5C-AC0E-45EB1A728B53}">
      <formula1>项目类型</formula1>
    </dataValidation>
    <dataValidation type="list" allowBlank="1" showInputMessage="1" showErrorMessage="1" sqref="J47" xr:uid="{59867CEC-2B1D-4F76-9371-214F12A011F4}">
      <formula1>"钢,钢混,砖混"</formula1>
    </dataValidation>
    <dataValidation type="list" allowBlank="1" showInputMessage="1" showErrorMessage="1" sqref="J48" xr:uid="{42BAF7E4-D10A-45EF-BF65-9FFD367415F4}">
      <formula1>"非生产用房,生产用房,受腐蚀的生产用房"</formula1>
    </dataValidation>
    <dataValidation type="list" allowBlank="1" showInputMessage="1" showErrorMessage="1" sqref="J56" xr:uid="{57FB9C0E-4A5A-433D-8049-1FD3EBB3697B}">
      <formula1>估价范围判定</formula1>
    </dataValidation>
    <dataValidation type="list" allowBlank="1" showInputMessage="1" showErrorMessage="1" sqref="L55" xr:uid="{656DD80C-0EC5-4726-81D3-945CC7BE5019}">
      <formula1>"比较法,基准地价,收益还原"</formula1>
    </dataValidation>
    <dataValidation type="list" allowBlank="1" showInputMessage="1" showErrorMessage="1" sqref="M10 F10 F53" xr:uid="{1110B519-58BF-4591-8275-6571C6AC7592}">
      <formula1>"押一,押二,押三,自定义"</formula1>
    </dataValidation>
    <dataValidation type="list" allowBlank="1" showInputMessage="1" showErrorMessage="1" sqref="D1" xr:uid="{C4665FD0-7CB7-4073-802E-39231CDBAE87}">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46189.05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32" t="s">
        <v>1667</v>
      </c>
      <c r="D4" s="3433"/>
      <c r="E4" s="3434" t="s">
        <v>1668</v>
      </c>
      <c r="F4" s="3435"/>
      <c r="G4" s="3432" t="s">
        <v>1669</v>
      </c>
      <c r="H4" s="3433"/>
      <c r="I4" s="3432" t="s">
        <v>1670</v>
      </c>
      <c r="J4" s="3433"/>
      <c r="K4" s="1744" t="s">
        <v>1671</v>
      </c>
      <c r="L4" s="2487"/>
      <c r="M4" s="2488"/>
      <c r="N4" s="2488"/>
      <c r="O4" s="2488"/>
      <c r="P4" s="3436" t="s">
        <v>1672</v>
      </c>
      <c r="Q4" s="3437"/>
      <c r="R4" s="3419" t="s">
        <v>1668</v>
      </c>
      <c r="S4" s="3420"/>
      <c r="T4" s="3419" t="s">
        <v>1669</v>
      </c>
      <c r="U4" s="3420"/>
      <c r="V4" s="3444" t="s">
        <v>1670</v>
      </c>
      <c r="W4" s="3444"/>
      <c r="X4" s="1265"/>
      <c r="Y4" s="3419" t="s">
        <v>1672</v>
      </c>
      <c r="Z4" s="3420"/>
      <c r="AA4" s="3414" t="s">
        <v>1668</v>
      </c>
      <c r="AB4" s="3414" t="s">
        <v>1669</v>
      </c>
      <c r="AC4" s="3414" t="s">
        <v>1670</v>
      </c>
    </row>
    <row r="5" spans="1:29" ht="15">
      <c r="A5" s="348"/>
      <c r="B5" s="349"/>
      <c r="C5" s="3425" t="s">
        <v>1673</v>
      </c>
      <c r="D5" s="3426"/>
      <c r="E5" s="3423" t="s">
        <v>1674</v>
      </c>
      <c r="F5" s="3424"/>
      <c r="G5" s="3425" t="s">
        <v>1675</v>
      </c>
      <c r="H5" s="3426"/>
      <c r="I5" s="3425" t="s">
        <v>1676</v>
      </c>
      <c r="J5" s="3426"/>
      <c r="K5" s="1745"/>
      <c r="L5" s="2487"/>
      <c r="M5" s="2488"/>
      <c r="N5" s="2488"/>
      <c r="O5" s="2488"/>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1745" t="s">
        <v>1678</v>
      </c>
      <c r="L6" s="2487"/>
      <c r="M6" s="2488"/>
      <c r="N6" s="2488"/>
      <c r="O6" s="2488"/>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7" t="s">
        <v>1680</v>
      </c>
      <c r="Q7" s="3445"/>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31"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31"/>
      <c r="Q11" s="530" t="str">
        <f t="shared" si="6"/>
        <v>容积率</v>
      </c>
      <c r="R11" s="664" t="s">
        <v>18</v>
      </c>
      <c r="S11" s="665" t="e">
        <f t="shared" si="0"/>
        <v>#N/A</v>
      </c>
      <c r="T11" s="664" t="s">
        <v>18</v>
      </c>
      <c r="U11" s="665" t="e">
        <f t="shared" si="1"/>
        <v>#N/A</v>
      </c>
      <c r="V11" s="664" t="s">
        <v>18</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31"/>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31"/>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31"/>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1263" t="str">
        <f t="shared" si="6"/>
        <v>居住社区成熟度</v>
      </c>
      <c r="R15" s="667" t="s">
        <v>18</v>
      </c>
      <c r="S15" s="668">
        <f t="shared" si="0"/>
        <v>100</v>
      </c>
      <c r="T15" s="667" t="s">
        <v>18</v>
      </c>
      <c r="U15" s="668">
        <f t="shared" si="1"/>
        <v>100</v>
      </c>
      <c r="V15" s="667" t="s">
        <v>18</v>
      </c>
      <c r="W15" s="668">
        <f t="shared" si="2"/>
        <v>100</v>
      </c>
      <c r="X15" s="1265"/>
      <c r="Y15" s="34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8"/>
      <c r="Q16" s="1263"/>
      <c r="R16" s="667"/>
      <c r="S16" s="668"/>
      <c r="T16" s="667"/>
      <c r="U16" s="668"/>
      <c r="V16" s="667"/>
      <c r="W16" s="668"/>
      <c r="X16" s="1265"/>
      <c r="Y16" s="345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1263" t="str">
        <f>B17</f>
        <v>交通便捷度</v>
      </c>
      <c r="R17" s="667" t="s">
        <v>18</v>
      </c>
      <c r="S17" s="668">
        <f>F17</f>
        <v>100</v>
      </c>
      <c r="T17" s="667" t="s">
        <v>18</v>
      </c>
      <c r="U17" s="668">
        <f>H17</f>
        <v>100</v>
      </c>
      <c r="V17" s="667" t="s">
        <v>18</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8"/>
      <c r="Q18" s="1263"/>
      <c r="R18" s="667"/>
      <c r="S18" s="668"/>
      <c r="T18" s="667"/>
      <c r="U18" s="668"/>
      <c r="V18" s="667"/>
      <c r="W18" s="668"/>
      <c r="X18" s="1265"/>
      <c r="Y18" s="345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1263" t="str">
        <f>B19</f>
        <v>公共配套设施</v>
      </c>
      <c r="R19" s="667" t="s">
        <v>18</v>
      </c>
      <c r="S19" s="668">
        <f>F19</f>
        <v>100</v>
      </c>
      <c r="T19" s="667" t="s">
        <v>18</v>
      </c>
      <c r="U19" s="668">
        <f>H19</f>
        <v>100</v>
      </c>
      <c r="V19" s="667" t="s">
        <v>18</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8"/>
      <c r="Q20" s="1263"/>
      <c r="R20" s="667"/>
      <c r="S20" s="668"/>
      <c r="T20" s="667"/>
      <c r="U20" s="668"/>
      <c r="V20" s="667"/>
      <c r="W20" s="668"/>
      <c r="X20" s="1265"/>
      <c r="Y20" s="345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8"/>
      <c r="Q22" s="1263"/>
      <c r="R22" s="667"/>
      <c r="S22" s="668"/>
      <c r="T22" s="667"/>
      <c r="U22" s="668"/>
      <c r="V22" s="667"/>
      <c r="W22" s="668"/>
      <c r="X22" s="1265"/>
      <c r="Y22" s="345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1263" t="str">
        <f>B23</f>
        <v>自然及人文环境</v>
      </c>
      <c r="R23" s="667" t="s">
        <v>18</v>
      </c>
      <c r="S23" s="668">
        <f>F23</f>
        <v>100</v>
      </c>
      <c r="T23" s="667" t="s">
        <v>18</v>
      </c>
      <c r="U23" s="668">
        <f>H23</f>
        <v>100</v>
      </c>
      <c r="V23" s="667" t="s">
        <v>18</v>
      </c>
      <c r="W23" s="668">
        <f>J23</f>
        <v>100</v>
      </c>
      <c r="X23" s="1265"/>
      <c r="Y23" s="34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8"/>
      <c r="Q24" s="1263"/>
      <c r="R24" s="667"/>
      <c r="S24" s="668"/>
      <c r="T24" s="667"/>
      <c r="U24" s="668"/>
      <c r="V24" s="667"/>
      <c r="W24" s="668"/>
      <c r="X24" s="1265"/>
      <c r="Y24" s="345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8"/>
      <c r="Q26" s="1263" t="str">
        <f t="shared" si="11"/>
        <v>朝向</v>
      </c>
      <c r="R26" s="667" t="s">
        <v>18</v>
      </c>
      <c r="S26" s="668">
        <f t="shared" si="12"/>
        <v>100</v>
      </c>
      <c r="T26" s="667" t="s">
        <v>18</v>
      </c>
      <c r="U26" s="668">
        <f t="shared" si="13"/>
        <v>100</v>
      </c>
      <c r="V26" s="667" t="s">
        <v>18</v>
      </c>
      <c r="W26" s="668">
        <f t="shared" si="14"/>
        <v>100</v>
      </c>
      <c r="X26" s="1265"/>
      <c r="Y26" s="345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8"/>
      <c r="Q27" s="530">
        <f t="shared" si="11"/>
        <v>111</v>
      </c>
      <c r="R27" s="664" t="s">
        <v>18</v>
      </c>
      <c r="S27" s="665">
        <f t="shared" si="12"/>
        <v>100</v>
      </c>
      <c r="T27" s="664" t="s">
        <v>18</v>
      </c>
      <c r="U27" s="665">
        <f t="shared" si="13"/>
        <v>100</v>
      </c>
      <c r="V27" s="664" t="s">
        <v>18</v>
      </c>
      <c r="W27" s="665">
        <f t="shared" si="14"/>
        <v>100</v>
      </c>
      <c r="X27" s="666"/>
      <c r="Y27" s="345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1263">
        <f t="shared" si="11"/>
        <v>111</v>
      </c>
      <c r="R28" s="667" t="s">
        <v>18</v>
      </c>
      <c r="S28" s="668">
        <f t="shared" si="12"/>
        <v>100</v>
      </c>
      <c r="T28" s="667" t="s">
        <v>18</v>
      </c>
      <c r="U28" s="668">
        <f t="shared" si="13"/>
        <v>100</v>
      </c>
      <c r="V28" s="667" t="s">
        <v>18</v>
      </c>
      <c r="W28" s="668">
        <f t="shared" si="14"/>
        <v>100</v>
      </c>
      <c r="X28" s="1265"/>
      <c r="Y28" s="345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1263">
        <f t="shared" si="11"/>
        <v>111</v>
      </c>
      <c r="R29" s="667" t="s">
        <v>18</v>
      </c>
      <c r="S29" s="668">
        <f t="shared" si="12"/>
        <v>100</v>
      </c>
      <c r="T29" s="667" t="s">
        <v>18</v>
      </c>
      <c r="U29" s="668">
        <f t="shared" si="13"/>
        <v>100</v>
      </c>
      <c r="V29" s="667" t="s">
        <v>18</v>
      </c>
      <c r="W29" s="668">
        <f t="shared" si="14"/>
        <v>100</v>
      </c>
      <c r="X29" s="1265"/>
      <c r="Y29" s="345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1263">
        <f t="shared" si="11"/>
        <v>111</v>
      </c>
      <c r="R30" s="667" t="s">
        <v>18</v>
      </c>
      <c r="S30" s="668">
        <f t="shared" si="12"/>
        <v>100</v>
      </c>
      <c r="T30" s="667" t="s">
        <v>18</v>
      </c>
      <c r="U30" s="668">
        <f t="shared" si="13"/>
        <v>100</v>
      </c>
      <c r="V30" s="667" t="s">
        <v>18</v>
      </c>
      <c r="W30" s="668">
        <f t="shared" si="14"/>
        <v>100</v>
      </c>
      <c r="X30" s="1265"/>
      <c r="Y30" s="345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1263">
        <f t="shared" si="11"/>
        <v>111</v>
      </c>
      <c r="R31" s="667" t="s">
        <v>18</v>
      </c>
      <c r="S31" s="668">
        <f t="shared" si="12"/>
        <v>100</v>
      </c>
      <c r="T31" s="667" t="s">
        <v>18</v>
      </c>
      <c r="U31" s="668">
        <f t="shared" si="13"/>
        <v>100</v>
      </c>
      <c r="V31" s="667" t="s">
        <v>18</v>
      </c>
      <c r="W31" s="668">
        <f t="shared" si="14"/>
        <v>100</v>
      </c>
      <c r="X31" s="1265"/>
      <c r="Y31" s="345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2" t="s">
        <v>1696</v>
      </c>
      <c r="Q32" s="1263" t="str">
        <f t="shared" si="11"/>
        <v>建筑类型</v>
      </c>
      <c r="R32" s="667" t="s">
        <v>18</v>
      </c>
      <c r="S32" s="668">
        <f t="shared" si="12"/>
        <v>100</v>
      </c>
      <c r="T32" s="667" t="s">
        <v>18</v>
      </c>
      <c r="U32" s="668">
        <f t="shared" si="13"/>
        <v>100</v>
      </c>
      <c r="V32" s="667" t="s">
        <v>18</v>
      </c>
      <c r="W32" s="668">
        <f t="shared" si="14"/>
        <v>100</v>
      </c>
      <c r="X32" s="1265"/>
      <c r="Y32" s="345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3"/>
      <c r="Q33" s="531" t="str">
        <f t="shared" si="11"/>
        <v>项目建筑规模</v>
      </c>
      <c r="R33" s="669" t="s">
        <v>18</v>
      </c>
      <c r="S33" s="670" t="e">
        <f t="shared" si="12"/>
        <v>#N/A</v>
      </c>
      <c r="T33" s="669" t="s">
        <v>18</v>
      </c>
      <c r="U33" s="670" t="e">
        <f t="shared" si="13"/>
        <v>#N/A</v>
      </c>
      <c r="V33" s="669" t="s">
        <v>18</v>
      </c>
      <c r="W33" s="670" t="e">
        <f t="shared" si="14"/>
        <v>#N/A</v>
      </c>
      <c r="X33" s="671"/>
      <c r="Y33" s="345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3"/>
      <c r="Q34" s="1263" t="str">
        <f t="shared" si="11"/>
        <v>建筑结构</v>
      </c>
      <c r="R34" s="667" t="s">
        <v>18</v>
      </c>
      <c r="S34" s="668">
        <f t="shared" si="12"/>
        <v>100</v>
      </c>
      <c r="T34" s="667" t="s">
        <v>18</v>
      </c>
      <c r="U34" s="668">
        <f t="shared" si="13"/>
        <v>100</v>
      </c>
      <c r="V34" s="667" t="s">
        <v>18</v>
      </c>
      <c r="W34" s="668">
        <f t="shared" si="14"/>
        <v>100</v>
      </c>
      <c r="X34" s="1265"/>
      <c r="Y34" s="34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3"/>
      <c r="Q35" s="1263" t="str">
        <f t="shared" si="11"/>
        <v>建筑品质</v>
      </c>
      <c r="R35" s="667" t="s">
        <v>18</v>
      </c>
      <c r="S35" s="668">
        <f t="shared" si="12"/>
        <v>100</v>
      </c>
      <c r="T35" s="667" t="s">
        <v>18</v>
      </c>
      <c r="U35" s="668">
        <f t="shared" si="13"/>
        <v>100</v>
      </c>
      <c r="V35" s="667" t="s">
        <v>18</v>
      </c>
      <c r="W35" s="668">
        <f t="shared" si="14"/>
        <v>100</v>
      </c>
      <c r="X35" s="1265"/>
      <c r="Y35" s="34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3"/>
      <c r="Q36" s="1263" t="str">
        <f t="shared" si="11"/>
        <v>公共部分装修</v>
      </c>
      <c r="R36" s="667" t="s">
        <v>18</v>
      </c>
      <c r="S36" s="668">
        <f t="shared" si="12"/>
        <v>100</v>
      </c>
      <c r="T36" s="667" t="s">
        <v>18</v>
      </c>
      <c r="U36" s="668">
        <f t="shared" si="13"/>
        <v>100</v>
      </c>
      <c r="V36" s="667" t="s">
        <v>18</v>
      </c>
      <c r="W36" s="668">
        <f t="shared" si="14"/>
        <v>100</v>
      </c>
      <c r="X36" s="1265"/>
      <c r="Y36" s="345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3"/>
      <c r="Q37" s="530" t="str">
        <f t="shared" si="11"/>
        <v>成新度</v>
      </c>
      <c r="R37" s="664" t="s">
        <v>18</v>
      </c>
      <c r="S37" s="665" t="e">
        <f t="shared" si="12"/>
        <v>#N/A</v>
      </c>
      <c r="T37" s="664" t="s">
        <v>18</v>
      </c>
      <c r="U37" s="665" t="e">
        <f t="shared" si="13"/>
        <v>#N/A</v>
      </c>
      <c r="V37" s="664" t="s">
        <v>18</v>
      </c>
      <c r="W37" s="665" t="e">
        <f t="shared" si="14"/>
        <v>#N/A</v>
      </c>
      <c r="X37" s="666"/>
      <c r="Y37" s="345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3" t="s">
        <v>1696</v>
      </c>
      <c r="Q38" s="1263" t="str">
        <f t="shared" si="11"/>
        <v>物业管理</v>
      </c>
      <c r="R38" s="667" t="s">
        <v>18</v>
      </c>
      <c r="S38" s="668">
        <f t="shared" si="12"/>
        <v>100</v>
      </c>
      <c r="T38" s="667" t="s">
        <v>18</v>
      </c>
      <c r="U38" s="668">
        <f t="shared" si="13"/>
        <v>100</v>
      </c>
      <c r="V38" s="667" t="s">
        <v>18</v>
      </c>
      <c r="W38" s="668">
        <f t="shared" si="14"/>
        <v>100</v>
      </c>
      <c r="X38" s="1265"/>
      <c r="Y38" s="34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3"/>
      <c r="Q39" s="1263" t="str">
        <f t="shared" si="11"/>
        <v>市政基础设施</v>
      </c>
      <c r="R39" s="667" t="s">
        <v>18</v>
      </c>
      <c r="S39" s="668">
        <f t="shared" si="12"/>
        <v>100</v>
      </c>
      <c r="T39" s="667" t="s">
        <v>18</v>
      </c>
      <c r="U39" s="668">
        <f t="shared" si="13"/>
        <v>100</v>
      </c>
      <c r="V39" s="667" t="s">
        <v>18</v>
      </c>
      <c r="W39" s="668">
        <f t="shared" si="14"/>
        <v>100</v>
      </c>
      <c r="X39" s="1265"/>
      <c r="Y39" s="34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3"/>
      <c r="Q40" s="1263" t="str">
        <f t="shared" si="11"/>
        <v>房型</v>
      </c>
      <c r="R40" s="667" t="s">
        <v>18</v>
      </c>
      <c r="S40" s="668">
        <f t="shared" si="12"/>
        <v>100</v>
      </c>
      <c r="T40" s="667" t="s">
        <v>18</v>
      </c>
      <c r="U40" s="668">
        <f t="shared" si="13"/>
        <v>100</v>
      </c>
      <c r="V40" s="667" t="s">
        <v>18</v>
      </c>
      <c r="W40" s="668">
        <f t="shared" si="14"/>
        <v>100</v>
      </c>
      <c r="X40" s="1265"/>
      <c r="Y40" s="345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3"/>
      <c r="Q41" s="531" t="str">
        <f t="shared" si="11"/>
        <v>单套/主力户型建筑面积</v>
      </c>
      <c r="R41" s="669" t="s">
        <v>18</v>
      </c>
      <c r="S41" s="670">
        <f t="shared" si="12"/>
        <v>100</v>
      </c>
      <c r="T41" s="669" t="s">
        <v>18</v>
      </c>
      <c r="U41" s="670">
        <f t="shared" si="13"/>
        <v>100</v>
      </c>
      <c r="V41" s="669" t="s">
        <v>18</v>
      </c>
      <c r="W41" s="670">
        <f t="shared" si="14"/>
        <v>100</v>
      </c>
      <c r="X41" s="671"/>
      <c r="Y41" s="345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3"/>
      <c r="Q42" s="1263" t="str">
        <f t="shared" si="11"/>
        <v>内部装修</v>
      </c>
      <c r="R42" s="667" t="s">
        <v>18</v>
      </c>
      <c r="S42" s="668">
        <f t="shared" si="12"/>
        <v>100</v>
      </c>
      <c r="T42" s="667" t="s">
        <v>18</v>
      </c>
      <c r="U42" s="668">
        <f t="shared" si="13"/>
        <v>100</v>
      </c>
      <c r="V42" s="667" t="s">
        <v>18</v>
      </c>
      <c r="W42" s="668">
        <f t="shared" si="14"/>
        <v>100</v>
      </c>
      <c r="X42" s="1265"/>
      <c r="Y42" s="345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3"/>
      <c r="Q43" s="1263" t="str">
        <f t="shared" si="11"/>
        <v>内部装修维护情况</v>
      </c>
      <c r="R43" s="667" t="s">
        <v>18</v>
      </c>
      <c r="S43" s="668">
        <f t="shared" si="12"/>
        <v>100</v>
      </c>
      <c r="T43" s="667" t="s">
        <v>18</v>
      </c>
      <c r="U43" s="668">
        <f t="shared" si="13"/>
        <v>100</v>
      </c>
      <c r="V43" s="667" t="s">
        <v>18</v>
      </c>
      <c r="W43" s="668">
        <f t="shared" si="14"/>
        <v>100</v>
      </c>
      <c r="X43" s="1265"/>
      <c r="Y43" s="34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3"/>
      <c r="Q44" s="530">
        <f t="shared" si="11"/>
        <v>111</v>
      </c>
      <c r="R44" s="664" t="s">
        <v>18</v>
      </c>
      <c r="S44" s="665">
        <f t="shared" si="12"/>
        <v>100</v>
      </c>
      <c r="T44" s="664" t="s">
        <v>18</v>
      </c>
      <c r="U44" s="665">
        <f t="shared" si="13"/>
        <v>100</v>
      </c>
      <c r="V44" s="664" t="s">
        <v>18</v>
      </c>
      <c r="W44" s="665">
        <f t="shared" si="14"/>
        <v>100</v>
      </c>
      <c r="X44" s="666"/>
      <c r="Y44" s="34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3"/>
      <c r="Q45" s="1263">
        <f t="shared" si="11"/>
        <v>111</v>
      </c>
      <c r="R45" s="667" t="s">
        <v>18</v>
      </c>
      <c r="S45" s="668">
        <f t="shared" si="12"/>
        <v>100</v>
      </c>
      <c r="T45" s="667" t="s">
        <v>18</v>
      </c>
      <c r="U45" s="668">
        <f t="shared" si="13"/>
        <v>100</v>
      </c>
      <c r="V45" s="667" t="s">
        <v>18</v>
      </c>
      <c r="W45" s="668">
        <f t="shared" si="14"/>
        <v>100</v>
      </c>
      <c r="X45" s="1265"/>
      <c r="Y45" s="345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4"/>
      <c r="Q46" s="1263">
        <f t="shared" si="11"/>
        <v>111</v>
      </c>
      <c r="R46" s="667" t="s">
        <v>17</v>
      </c>
      <c r="S46" s="668">
        <f t="shared" si="12"/>
        <v>100</v>
      </c>
      <c r="T46" s="667" t="s">
        <v>17</v>
      </c>
      <c r="U46" s="668">
        <f t="shared" si="13"/>
        <v>100</v>
      </c>
      <c r="V46" s="667" t="s">
        <v>17</v>
      </c>
      <c r="W46" s="668">
        <f t="shared" si="14"/>
        <v>100</v>
      </c>
      <c r="X46" s="1265"/>
      <c r="Y46" s="345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49" t="str">
        <f>A47</f>
        <v>成交单价（元/平方米）</v>
      </c>
      <c r="Q47" s="3449"/>
      <c r="R47" s="3444">
        <f>E47</f>
        <v>0</v>
      </c>
      <c r="S47" s="3444"/>
      <c r="T47" s="3444">
        <f>G47</f>
        <v>0</v>
      </c>
      <c r="U47" s="3444"/>
      <c r="V47" s="3444">
        <f>I47</f>
        <v>0</v>
      </c>
      <c r="W47" s="344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49" t="str">
        <f>A48</f>
        <v>比较价值（元/平方米）</v>
      </c>
      <c r="Q48" s="3449"/>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46189.05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19" t="s">
        <v>1771</v>
      </c>
      <c r="S4" s="3420"/>
      <c r="T4" s="3419" t="s">
        <v>1772</v>
      </c>
      <c r="U4" s="3420"/>
      <c r="V4" s="3444" t="s">
        <v>1773</v>
      </c>
      <c r="W4" s="3444"/>
      <c r="X4" s="1265"/>
      <c r="Y4" s="3419" t="s">
        <v>1775</v>
      </c>
      <c r="Z4" s="3420"/>
      <c r="AA4" s="3414" t="s">
        <v>1771</v>
      </c>
      <c r="AB4" s="3444" t="s">
        <v>1772</v>
      </c>
      <c r="AC4" s="3414" t="s">
        <v>1773</v>
      </c>
    </row>
    <row r="5" spans="1:29" ht="15">
      <c r="A5" s="348"/>
      <c r="B5" s="349"/>
      <c r="C5" s="3425" t="s">
        <v>1673</v>
      </c>
      <c r="D5" s="3426"/>
      <c r="E5" s="3423" t="s">
        <v>1674</v>
      </c>
      <c r="F5" s="3424"/>
      <c r="G5" s="3425" t="s">
        <v>1675</v>
      </c>
      <c r="H5" s="3426"/>
      <c r="I5" s="3425" t="s">
        <v>1676</v>
      </c>
      <c r="J5" s="3426"/>
      <c r="K5" s="537"/>
      <c r="L5" s="2487"/>
      <c r="M5" s="2488"/>
      <c r="N5" s="2488"/>
      <c r="O5" s="2488"/>
      <c r="P5" s="3438"/>
      <c r="Q5" s="3439"/>
      <c r="R5" s="3421"/>
      <c r="S5" s="3422"/>
      <c r="T5" s="3421"/>
      <c r="U5" s="3422"/>
      <c r="V5" s="3444"/>
      <c r="W5" s="3444"/>
      <c r="X5" s="1265"/>
      <c r="Y5" s="3421"/>
      <c r="Z5" s="3422"/>
      <c r="AA5" s="3415"/>
      <c r="AB5" s="3444"/>
      <c r="AC5" s="3415"/>
    </row>
    <row r="6" spans="1:29" ht="15.75" thickBot="1">
      <c r="A6" s="350"/>
      <c r="B6" s="351"/>
      <c r="C6" s="3427" t="s">
        <v>1677</v>
      </c>
      <c r="D6" s="3428"/>
      <c r="E6" s="3429" t="s">
        <v>1677</v>
      </c>
      <c r="F6" s="3430"/>
      <c r="G6" s="3427" t="s">
        <v>1677</v>
      </c>
      <c r="H6" s="3428"/>
      <c r="I6" s="3427" t="s">
        <v>1677</v>
      </c>
      <c r="J6" s="3428"/>
      <c r="K6" s="537" t="s">
        <v>1678</v>
      </c>
      <c r="L6" s="2487"/>
      <c r="M6" s="2488"/>
      <c r="N6" s="2488"/>
      <c r="O6" s="2488"/>
      <c r="P6" s="3440"/>
      <c r="Q6" s="3441"/>
      <c r="R6" s="3421"/>
      <c r="S6" s="3422"/>
      <c r="T6" s="3442"/>
      <c r="U6" s="3443"/>
      <c r="V6" s="3444"/>
      <c r="W6" s="3444"/>
      <c r="X6" s="1265"/>
      <c r="Y6" s="3442"/>
      <c r="Z6" s="3443"/>
      <c r="AA6" s="3416"/>
      <c r="AB6" s="3444"/>
      <c r="AC6" s="3416"/>
    </row>
    <row r="7" spans="1:29" s="102" customFormat="1" ht="15.7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31"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31"/>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31"/>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31"/>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31"/>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7" t="s">
        <v>1691</v>
      </c>
      <c r="Q15" s="1263" t="str">
        <f t="shared" si="6"/>
        <v>商业繁华度</v>
      </c>
      <c r="R15" s="667" t="s">
        <v>14</v>
      </c>
      <c r="S15" s="668">
        <f t="shared" si="0"/>
        <v>100</v>
      </c>
      <c r="T15" s="667" t="s">
        <v>14</v>
      </c>
      <c r="U15" s="668">
        <f t="shared" si="1"/>
        <v>100</v>
      </c>
      <c r="V15" s="667" t="s">
        <v>14</v>
      </c>
      <c r="W15" s="668">
        <f t="shared" si="2"/>
        <v>100</v>
      </c>
      <c r="X15" s="1265"/>
      <c r="Y15" s="345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8"/>
      <c r="Q16" s="1263"/>
      <c r="R16" s="667"/>
      <c r="S16" s="668"/>
      <c r="T16" s="667"/>
      <c r="U16" s="668"/>
      <c r="V16" s="667"/>
      <c r="W16" s="668"/>
      <c r="X16" s="1265"/>
      <c r="Y16" s="345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8"/>
      <c r="Q18" s="1263"/>
      <c r="R18" s="667"/>
      <c r="S18" s="668"/>
      <c r="T18" s="667"/>
      <c r="U18" s="668"/>
      <c r="V18" s="667"/>
      <c r="W18" s="668"/>
      <c r="X18" s="1265"/>
      <c r="Y18" s="345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8"/>
      <c r="Q20" s="1263"/>
      <c r="R20" s="667"/>
      <c r="S20" s="668"/>
      <c r="T20" s="667"/>
      <c r="U20" s="668"/>
      <c r="V20" s="667"/>
      <c r="W20" s="668"/>
      <c r="X20" s="1265"/>
      <c r="Y20" s="345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8"/>
      <c r="Q22" s="1263"/>
      <c r="R22" s="667"/>
      <c r="S22" s="668"/>
      <c r="T22" s="667"/>
      <c r="U22" s="668"/>
      <c r="V22" s="667"/>
      <c r="W22" s="668"/>
      <c r="X22" s="1265"/>
      <c r="Y22" s="345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8"/>
      <c r="Q23" s="1263" t="str">
        <f>B23</f>
        <v>自然及人文环境</v>
      </c>
      <c r="R23" s="667" t="s">
        <v>14</v>
      </c>
      <c r="S23" s="668">
        <f>F23</f>
        <v>100</v>
      </c>
      <c r="T23" s="667" t="s">
        <v>14</v>
      </c>
      <c r="U23" s="668">
        <f>H23</f>
        <v>100</v>
      </c>
      <c r="V23" s="667" t="s">
        <v>14</v>
      </c>
      <c r="W23" s="668">
        <f>J23</f>
        <v>100</v>
      </c>
      <c r="X23" s="1265"/>
      <c r="Y23" s="345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8"/>
      <c r="Q24" s="1263"/>
      <c r="R24" s="667"/>
      <c r="S24" s="668"/>
      <c r="T24" s="667"/>
      <c r="U24" s="668"/>
      <c r="V24" s="667"/>
      <c r="W24" s="668"/>
      <c r="X24" s="1265"/>
      <c r="Y24" s="34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8"/>
      <c r="Q25" s="1263" t="str">
        <f t="shared" ref="Q25:Q46" si="11">B25</f>
        <v>临街状况</v>
      </c>
      <c r="R25" s="667" t="s">
        <v>14</v>
      </c>
      <c r="S25" s="668">
        <f>F25</f>
        <v>100</v>
      </c>
      <c r="T25" s="667" t="s">
        <v>14</v>
      </c>
      <c r="U25" s="668">
        <f>H25</f>
        <v>100</v>
      </c>
      <c r="V25" s="667" t="s">
        <v>14</v>
      </c>
      <c r="W25" s="668">
        <f>J25</f>
        <v>100</v>
      </c>
      <c r="X25" s="1265"/>
      <c r="Y25" s="345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8"/>
      <c r="Q26" s="1263" t="str">
        <f t="shared" si="11"/>
        <v>平面位置/可视性</v>
      </c>
      <c r="R26" s="667" t="s">
        <v>14</v>
      </c>
      <c r="S26" s="668">
        <f>F26</f>
        <v>100</v>
      </c>
      <c r="T26" s="667" t="s">
        <v>14</v>
      </c>
      <c r="U26" s="668">
        <f>H26</f>
        <v>100</v>
      </c>
      <c r="V26" s="667" t="s">
        <v>14</v>
      </c>
      <c r="W26" s="668">
        <f>J26</f>
        <v>100</v>
      </c>
      <c r="X26" s="1265"/>
      <c r="Y26" s="345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8"/>
      <c r="Q27" s="530" t="str">
        <f t="shared" si="11"/>
        <v>人流量</v>
      </c>
      <c r="R27" s="664" t="s">
        <v>14</v>
      </c>
      <c r="S27" s="665">
        <f>F27</f>
        <v>100</v>
      </c>
      <c r="T27" s="664" t="s">
        <v>14</v>
      </c>
      <c r="U27" s="665">
        <f>H27</f>
        <v>100</v>
      </c>
      <c r="V27" s="664" t="s">
        <v>14</v>
      </c>
      <c r="W27" s="665">
        <f>J27</f>
        <v>100</v>
      </c>
      <c r="X27" s="666"/>
      <c r="Y27" s="345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8"/>
      <c r="Q29" s="1263">
        <f t="shared" si="11"/>
        <v>111</v>
      </c>
      <c r="R29" s="667" t="s">
        <v>14</v>
      </c>
      <c r="S29" s="668">
        <f t="shared" si="12"/>
        <v>100</v>
      </c>
      <c r="T29" s="667" t="s">
        <v>14</v>
      </c>
      <c r="U29" s="668">
        <f t="shared" si="13"/>
        <v>100</v>
      </c>
      <c r="V29" s="667" t="s">
        <v>14</v>
      </c>
      <c r="W29" s="668">
        <f t="shared" si="14"/>
        <v>100</v>
      </c>
      <c r="X29" s="1265"/>
      <c r="Y29" s="345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45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45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2" t="s">
        <v>1696</v>
      </c>
      <c r="Q32" s="1263" t="str">
        <f t="shared" si="11"/>
        <v>商业类型</v>
      </c>
      <c r="R32" s="667" t="s">
        <v>14</v>
      </c>
      <c r="S32" s="668">
        <f t="shared" si="12"/>
        <v>100</v>
      </c>
      <c r="T32" s="667" t="s">
        <v>14</v>
      </c>
      <c r="U32" s="668">
        <f t="shared" si="13"/>
        <v>100</v>
      </c>
      <c r="V32" s="667" t="s">
        <v>14</v>
      </c>
      <c r="W32" s="668">
        <f t="shared" si="14"/>
        <v>100</v>
      </c>
      <c r="X32" s="1265"/>
      <c r="Y32" s="345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3"/>
      <c r="Q33" s="531" t="str">
        <f t="shared" si="11"/>
        <v>项目建筑规模</v>
      </c>
      <c r="R33" s="669" t="s">
        <v>14</v>
      </c>
      <c r="S33" s="670" t="e">
        <f t="shared" si="12"/>
        <v>#N/A</v>
      </c>
      <c r="T33" s="669" t="s">
        <v>14</v>
      </c>
      <c r="U33" s="670" t="e">
        <f t="shared" si="13"/>
        <v>#N/A</v>
      </c>
      <c r="V33" s="669" t="s">
        <v>14</v>
      </c>
      <c r="W33" s="670" t="e">
        <f t="shared" si="14"/>
        <v>#N/A</v>
      </c>
      <c r="X33" s="671"/>
      <c r="Y33" s="345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3"/>
      <c r="Q34" s="1263" t="str">
        <f t="shared" si="11"/>
        <v>建筑结构</v>
      </c>
      <c r="R34" s="667" t="s">
        <v>14</v>
      </c>
      <c r="S34" s="668">
        <f t="shared" si="12"/>
        <v>100</v>
      </c>
      <c r="T34" s="667" t="s">
        <v>14</v>
      </c>
      <c r="U34" s="668">
        <f t="shared" si="13"/>
        <v>100</v>
      </c>
      <c r="V34" s="667" t="s">
        <v>14</v>
      </c>
      <c r="W34" s="668">
        <f t="shared" si="14"/>
        <v>100</v>
      </c>
      <c r="X34" s="1265"/>
      <c r="Y34" s="345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3"/>
      <c r="Q35" s="1263" t="str">
        <f t="shared" si="11"/>
        <v>公共部分装修</v>
      </c>
      <c r="R35" s="667" t="s">
        <v>14</v>
      </c>
      <c r="S35" s="668">
        <f t="shared" si="12"/>
        <v>100</v>
      </c>
      <c r="T35" s="667" t="s">
        <v>14</v>
      </c>
      <c r="U35" s="668">
        <f t="shared" si="13"/>
        <v>100</v>
      </c>
      <c r="V35" s="667" t="s">
        <v>14</v>
      </c>
      <c r="W35" s="668">
        <f t="shared" si="14"/>
        <v>100</v>
      </c>
      <c r="X35" s="1265"/>
      <c r="Y35" s="345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3"/>
      <c r="Q36" s="1263" t="str">
        <f t="shared" si="11"/>
        <v>成新度</v>
      </c>
      <c r="R36" s="667" t="s">
        <v>14</v>
      </c>
      <c r="S36" s="668" t="e">
        <f t="shared" si="12"/>
        <v>#N/A</v>
      </c>
      <c r="T36" s="667" t="s">
        <v>14</v>
      </c>
      <c r="U36" s="668" t="e">
        <f t="shared" si="13"/>
        <v>#N/A</v>
      </c>
      <c r="V36" s="667" t="s">
        <v>14</v>
      </c>
      <c r="W36" s="668" t="e">
        <f t="shared" si="14"/>
        <v>#N/A</v>
      </c>
      <c r="X36" s="1265"/>
      <c r="Y36" s="345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3"/>
      <c r="Q37" s="530" t="str">
        <f t="shared" si="11"/>
        <v>市政基础设施</v>
      </c>
      <c r="R37" s="664" t="s">
        <v>14</v>
      </c>
      <c r="S37" s="665">
        <f t="shared" si="12"/>
        <v>100</v>
      </c>
      <c r="T37" s="664" t="s">
        <v>14</v>
      </c>
      <c r="U37" s="665">
        <f t="shared" si="13"/>
        <v>100</v>
      </c>
      <c r="V37" s="664" t="s">
        <v>14</v>
      </c>
      <c r="W37" s="665">
        <f t="shared" si="14"/>
        <v>100</v>
      </c>
      <c r="X37" s="666"/>
      <c r="Y37" s="34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3" t="s">
        <v>1696</v>
      </c>
      <c r="Q38" s="1263" t="str">
        <f t="shared" si="11"/>
        <v>业态</v>
      </c>
      <c r="R38" s="667" t="s">
        <v>14</v>
      </c>
      <c r="S38" s="668">
        <f t="shared" si="12"/>
        <v>100</v>
      </c>
      <c r="T38" s="667" t="s">
        <v>14</v>
      </c>
      <c r="U38" s="668">
        <f t="shared" si="13"/>
        <v>100</v>
      </c>
      <c r="V38" s="667" t="s">
        <v>14</v>
      </c>
      <c r="W38" s="668">
        <f t="shared" si="14"/>
        <v>100</v>
      </c>
      <c r="X38" s="1265"/>
      <c r="Y38" s="34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3"/>
      <c r="Q39" s="1263" t="str">
        <f t="shared" si="11"/>
        <v>层高</v>
      </c>
      <c r="R39" s="667" t="s">
        <v>14</v>
      </c>
      <c r="S39" s="668">
        <f t="shared" si="12"/>
        <v>100</v>
      </c>
      <c r="T39" s="667" t="s">
        <v>14</v>
      </c>
      <c r="U39" s="668">
        <f t="shared" si="13"/>
        <v>100</v>
      </c>
      <c r="V39" s="667" t="s">
        <v>14</v>
      </c>
      <c r="W39" s="668">
        <f t="shared" si="14"/>
        <v>100</v>
      </c>
      <c r="X39" s="1265"/>
      <c r="Y39" s="34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3"/>
      <c r="Q40" s="1263" t="str">
        <f t="shared" si="11"/>
        <v>单套建筑面积</v>
      </c>
      <c r="R40" s="667" t="s">
        <v>14</v>
      </c>
      <c r="S40" s="668">
        <f t="shared" si="12"/>
        <v>100</v>
      </c>
      <c r="T40" s="667" t="s">
        <v>14</v>
      </c>
      <c r="U40" s="668">
        <f t="shared" si="13"/>
        <v>100</v>
      </c>
      <c r="V40" s="667" t="s">
        <v>14</v>
      </c>
      <c r="W40" s="668">
        <f t="shared" si="14"/>
        <v>100</v>
      </c>
      <c r="X40" s="1265"/>
      <c r="Y40" s="34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3"/>
      <c r="Q41" s="531" t="str">
        <f t="shared" si="11"/>
        <v>进深比</v>
      </c>
      <c r="R41" s="669" t="s">
        <v>14</v>
      </c>
      <c r="S41" s="670">
        <f t="shared" si="12"/>
        <v>100</v>
      </c>
      <c r="T41" s="669" t="s">
        <v>14</v>
      </c>
      <c r="U41" s="670">
        <f t="shared" si="13"/>
        <v>100</v>
      </c>
      <c r="V41" s="669" t="s">
        <v>14</v>
      </c>
      <c r="W41" s="670">
        <f t="shared" si="14"/>
        <v>100</v>
      </c>
      <c r="X41" s="671"/>
      <c r="Y41" s="345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3"/>
      <c r="Q42" s="1263" t="str">
        <f t="shared" si="11"/>
        <v>内部装修</v>
      </c>
      <c r="R42" s="667" t="s">
        <v>14</v>
      </c>
      <c r="S42" s="668">
        <f t="shared" si="12"/>
        <v>100</v>
      </c>
      <c r="T42" s="667" t="s">
        <v>14</v>
      </c>
      <c r="U42" s="668">
        <f t="shared" si="13"/>
        <v>100</v>
      </c>
      <c r="V42" s="667" t="s">
        <v>14</v>
      </c>
      <c r="W42" s="668">
        <f t="shared" si="14"/>
        <v>100</v>
      </c>
      <c r="X42" s="1265"/>
      <c r="Y42" s="345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3"/>
      <c r="Q43" s="1263" t="str">
        <f t="shared" si="11"/>
        <v>内部装修维护情况</v>
      </c>
      <c r="R43" s="667" t="s">
        <v>14</v>
      </c>
      <c r="S43" s="668">
        <f t="shared" si="12"/>
        <v>100</v>
      </c>
      <c r="T43" s="667" t="s">
        <v>14</v>
      </c>
      <c r="U43" s="668">
        <f t="shared" si="13"/>
        <v>100</v>
      </c>
      <c r="V43" s="667" t="s">
        <v>14</v>
      </c>
      <c r="W43" s="668">
        <f t="shared" si="14"/>
        <v>100</v>
      </c>
      <c r="X43" s="1265"/>
      <c r="Y43" s="345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3"/>
      <c r="Q44" s="530">
        <f t="shared" si="11"/>
        <v>111</v>
      </c>
      <c r="R44" s="664" t="s">
        <v>14</v>
      </c>
      <c r="S44" s="665">
        <f t="shared" si="12"/>
        <v>100</v>
      </c>
      <c r="T44" s="664" t="s">
        <v>14</v>
      </c>
      <c r="U44" s="665">
        <f t="shared" si="13"/>
        <v>100</v>
      </c>
      <c r="V44" s="664" t="s">
        <v>14</v>
      </c>
      <c r="W44" s="665">
        <f t="shared" si="14"/>
        <v>100</v>
      </c>
      <c r="X44" s="666"/>
      <c r="Y44" s="34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3"/>
      <c r="Q45" s="1263">
        <f t="shared" si="11"/>
        <v>111</v>
      </c>
      <c r="R45" s="667" t="s">
        <v>14</v>
      </c>
      <c r="S45" s="668">
        <f t="shared" si="12"/>
        <v>100</v>
      </c>
      <c r="T45" s="667" t="s">
        <v>14</v>
      </c>
      <c r="U45" s="668">
        <f t="shared" si="13"/>
        <v>100</v>
      </c>
      <c r="V45" s="667" t="s">
        <v>14</v>
      </c>
      <c r="W45" s="668">
        <f t="shared" si="14"/>
        <v>100</v>
      </c>
      <c r="X45" s="1265"/>
      <c r="Y45" s="345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49" t="str">
        <f>A47</f>
        <v>成交单价（元/平方米）</v>
      </c>
      <c r="Q47" s="3449"/>
      <c r="R47" s="3444">
        <f>E47</f>
        <v>0</v>
      </c>
      <c r="S47" s="3444"/>
      <c r="T47" s="3444">
        <f>G47</f>
        <v>0</v>
      </c>
      <c r="U47" s="3444"/>
      <c r="V47" s="3444">
        <f>I47</f>
        <v>0</v>
      </c>
      <c r="W47" s="344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49" t="str">
        <f>A48</f>
        <v>比较价值（元/平方米）</v>
      </c>
      <c r="Q48" s="3449"/>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46189.05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65" t="s">
        <v>1775</v>
      </c>
      <c r="Q4" s="3466"/>
      <c r="R4" s="3460" t="s">
        <v>1771</v>
      </c>
      <c r="S4" s="3461"/>
      <c r="T4" s="3460" t="s">
        <v>1772</v>
      </c>
      <c r="U4" s="3461"/>
      <c r="V4" s="3469" t="s">
        <v>1773</v>
      </c>
      <c r="W4" s="3469"/>
      <c r="X4" s="1809"/>
      <c r="Y4" s="3460" t="s">
        <v>1775</v>
      </c>
      <c r="Z4" s="3461"/>
      <c r="AA4" s="3459" t="s">
        <v>1771</v>
      </c>
      <c r="AB4" s="3459" t="s">
        <v>1772</v>
      </c>
      <c r="AC4" s="3462" t="s">
        <v>1773</v>
      </c>
    </row>
    <row r="5" spans="1:29" ht="15">
      <c r="A5" s="348"/>
      <c r="B5" s="349"/>
      <c r="C5" s="3425" t="s">
        <v>1673</v>
      </c>
      <c r="D5" s="3426"/>
      <c r="E5" s="3423" t="s">
        <v>1674</v>
      </c>
      <c r="F5" s="3424"/>
      <c r="G5" s="3425" t="s">
        <v>1675</v>
      </c>
      <c r="H5" s="3426"/>
      <c r="I5" s="3425" t="s">
        <v>1676</v>
      </c>
      <c r="J5" s="3426"/>
      <c r="K5" s="537"/>
      <c r="L5" s="2487"/>
      <c r="M5" s="2488"/>
      <c r="N5" s="2488"/>
      <c r="O5" s="2488"/>
      <c r="P5" s="3467"/>
      <c r="Q5" s="3439"/>
      <c r="R5" s="3421"/>
      <c r="S5" s="3422"/>
      <c r="T5" s="3421"/>
      <c r="U5" s="3422"/>
      <c r="V5" s="3444"/>
      <c r="W5" s="3444"/>
      <c r="X5" s="1265"/>
      <c r="Y5" s="3421"/>
      <c r="Z5" s="3422"/>
      <c r="AA5" s="3415"/>
      <c r="AB5" s="3415"/>
      <c r="AC5" s="3463"/>
    </row>
    <row r="6" spans="1:29" ht="15.75" thickBot="1">
      <c r="A6" s="350"/>
      <c r="B6" s="351"/>
      <c r="C6" s="3427" t="s">
        <v>1677</v>
      </c>
      <c r="D6" s="3428"/>
      <c r="E6" s="3429" t="s">
        <v>1677</v>
      </c>
      <c r="F6" s="3430"/>
      <c r="G6" s="3427" t="s">
        <v>1677</v>
      </c>
      <c r="H6" s="3428"/>
      <c r="I6" s="3427" t="s">
        <v>1677</v>
      </c>
      <c r="J6" s="3428"/>
      <c r="K6" s="537" t="s">
        <v>1678</v>
      </c>
      <c r="L6" s="2487"/>
      <c r="M6" s="2488"/>
      <c r="N6" s="2488"/>
      <c r="O6" s="2488"/>
      <c r="P6" s="3468"/>
      <c r="Q6" s="3441"/>
      <c r="R6" s="3421"/>
      <c r="S6" s="3422"/>
      <c r="T6" s="3442"/>
      <c r="U6" s="3443"/>
      <c r="V6" s="3444"/>
      <c r="W6" s="3444"/>
      <c r="X6" s="1265"/>
      <c r="Y6" s="3442"/>
      <c r="Z6" s="3443"/>
      <c r="AA6" s="3416"/>
      <c r="AB6" s="3416"/>
      <c r="AC6" s="3464"/>
    </row>
    <row r="7" spans="1:29" s="102" customFormat="1" ht="15.75" thickBot="1">
      <c r="A7" s="352" t="s">
        <v>1679</v>
      </c>
      <c r="B7" s="353"/>
      <c r="C7" s="354">
        <f>'数据-取费表'!B2</f>
        <v>45826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0"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0"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31"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31"/>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31"/>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31"/>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31"/>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7" t="s">
        <v>1691</v>
      </c>
      <c r="Q15" s="1263" t="str">
        <f t="shared" si="6"/>
        <v>办公集聚程度</v>
      </c>
      <c r="R15" s="667" t="s">
        <v>14</v>
      </c>
      <c r="S15" s="668">
        <f t="shared" si="0"/>
        <v>100</v>
      </c>
      <c r="T15" s="667" t="s">
        <v>14</v>
      </c>
      <c r="U15" s="668">
        <f t="shared" si="1"/>
        <v>100</v>
      </c>
      <c r="V15" s="667" t="s">
        <v>14</v>
      </c>
      <c r="W15" s="668">
        <f t="shared" si="2"/>
        <v>100</v>
      </c>
      <c r="X15" s="1265"/>
      <c r="Y15" s="345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8"/>
      <c r="Q16" s="1263"/>
      <c r="R16" s="667"/>
      <c r="S16" s="668"/>
      <c r="T16" s="667"/>
      <c r="U16" s="668"/>
      <c r="V16" s="667"/>
      <c r="W16" s="668"/>
      <c r="X16" s="1265"/>
      <c r="Y16" s="345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8"/>
      <c r="Q18" s="1263"/>
      <c r="R18" s="667"/>
      <c r="S18" s="668"/>
      <c r="T18" s="667"/>
      <c r="U18" s="668"/>
      <c r="V18" s="667"/>
      <c r="W18" s="668"/>
      <c r="X18" s="1265"/>
      <c r="Y18" s="345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8"/>
      <c r="Q20" s="1263"/>
      <c r="R20" s="667"/>
      <c r="S20" s="668"/>
      <c r="T20" s="667"/>
      <c r="U20" s="668"/>
      <c r="V20" s="667"/>
      <c r="W20" s="668"/>
      <c r="X20" s="1265"/>
      <c r="Y20" s="345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8"/>
      <c r="Q22" s="1263"/>
      <c r="R22" s="667"/>
      <c r="S22" s="668"/>
      <c r="T22" s="667"/>
      <c r="U22" s="668"/>
      <c r="V22" s="667"/>
      <c r="W22" s="668"/>
      <c r="X22" s="1265"/>
      <c r="Y22" s="345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8"/>
      <c r="Q23" s="1263" t="str">
        <f>B23</f>
        <v>环境质量</v>
      </c>
      <c r="R23" s="667" t="s">
        <v>14</v>
      </c>
      <c r="S23" s="668">
        <f>F23</f>
        <v>100</v>
      </c>
      <c r="T23" s="667" t="s">
        <v>14</v>
      </c>
      <c r="U23" s="668">
        <f>H23</f>
        <v>100</v>
      </c>
      <c r="V23" s="667" t="s">
        <v>14</v>
      </c>
      <c r="W23" s="668">
        <f>J23</f>
        <v>100</v>
      </c>
      <c r="X23" s="1265"/>
      <c r="Y23" s="345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8"/>
      <c r="Q24" s="1263"/>
      <c r="R24" s="667"/>
      <c r="S24" s="668"/>
      <c r="T24" s="667"/>
      <c r="U24" s="668"/>
      <c r="V24" s="667"/>
      <c r="W24" s="668"/>
      <c r="X24" s="1265"/>
      <c r="Y24" s="345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8"/>
      <c r="Q25" s="1263" t="str">
        <f>B25</f>
        <v>毗邻道路的类型与等级</v>
      </c>
      <c r="R25" s="667" t="s">
        <v>14</v>
      </c>
      <c r="S25" s="668">
        <f>F25</f>
        <v>100</v>
      </c>
      <c r="T25" s="667" t="s">
        <v>14</v>
      </c>
      <c r="U25" s="668">
        <f>H25</f>
        <v>100</v>
      </c>
      <c r="V25" s="667" t="s">
        <v>14</v>
      </c>
      <c r="W25" s="668">
        <f>J25</f>
        <v>100</v>
      </c>
      <c r="X25" s="1265"/>
      <c r="Y25" s="345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8"/>
      <c r="Q26" s="1263"/>
      <c r="R26" s="667"/>
      <c r="S26" s="668"/>
      <c r="T26" s="667"/>
      <c r="U26" s="668"/>
      <c r="V26" s="667"/>
      <c r="W26" s="668"/>
      <c r="X26" s="1265"/>
      <c r="Y26" s="34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8"/>
      <c r="Q27" s="1263" t="str">
        <f t="shared" ref="Q27:Q47" si="11">B27</f>
        <v>楼层</v>
      </c>
      <c r="R27" s="667" t="s">
        <v>14</v>
      </c>
      <c r="S27" s="668">
        <f>F27</f>
        <v>100</v>
      </c>
      <c r="T27" s="667" t="s">
        <v>14</v>
      </c>
      <c r="U27" s="668">
        <f>H27</f>
        <v>100</v>
      </c>
      <c r="V27" s="667" t="s">
        <v>14</v>
      </c>
      <c r="W27" s="668">
        <f>J27</f>
        <v>100</v>
      </c>
      <c r="X27" s="1265"/>
      <c r="Y27" s="34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8"/>
      <c r="Q28" s="530" t="str">
        <f t="shared" si="11"/>
        <v>朝向</v>
      </c>
      <c r="R28" s="664" t="s">
        <v>14</v>
      </c>
      <c r="S28" s="665">
        <f>F28</f>
        <v>100</v>
      </c>
      <c r="T28" s="664" t="s">
        <v>14</v>
      </c>
      <c r="U28" s="665">
        <f>H28</f>
        <v>100</v>
      </c>
      <c r="V28" s="664" t="s">
        <v>14</v>
      </c>
      <c r="W28" s="665">
        <f>J28</f>
        <v>100</v>
      </c>
      <c r="X28" s="666"/>
      <c r="Y28" s="34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4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4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45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8"/>
      <c r="Q32" s="1263">
        <f t="shared" si="11"/>
        <v>111</v>
      </c>
      <c r="R32" s="667" t="s">
        <v>14</v>
      </c>
      <c r="S32" s="668">
        <f t="shared" si="12"/>
        <v>100</v>
      </c>
      <c r="T32" s="667" t="s">
        <v>14</v>
      </c>
      <c r="U32" s="668">
        <f t="shared" si="13"/>
        <v>100</v>
      </c>
      <c r="V32" s="667" t="s">
        <v>14</v>
      </c>
      <c r="W32" s="668">
        <f t="shared" si="14"/>
        <v>100</v>
      </c>
      <c r="X32" s="1265"/>
      <c r="Y32" s="345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2" t="s">
        <v>1696</v>
      </c>
      <c r="Q33" s="1263" t="str">
        <f t="shared" si="11"/>
        <v>建筑类型</v>
      </c>
      <c r="R33" s="667" t="s">
        <v>14</v>
      </c>
      <c r="S33" s="668">
        <f t="shared" si="12"/>
        <v>100</v>
      </c>
      <c r="T33" s="667" t="s">
        <v>14</v>
      </c>
      <c r="U33" s="668">
        <f t="shared" si="13"/>
        <v>100</v>
      </c>
      <c r="V33" s="667" t="s">
        <v>14</v>
      </c>
      <c r="W33" s="668">
        <f t="shared" si="14"/>
        <v>100</v>
      </c>
      <c r="X33" s="1265"/>
      <c r="Y33" s="345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3"/>
      <c r="Q34" s="531" t="str">
        <f t="shared" si="11"/>
        <v>项目建筑规模</v>
      </c>
      <c r="R34" s="669" t="s">
        <v>14</v>
      </c>
      <c r="S34" s="670" t="e">
        <f t="shared" si="12"/>
        <v>#N/A</v>
      </c>
      <c r="T34" s="669" t="s">
        <v>14</v>
      </c>
      <c r="U34" s="670" t="e">
        <f t="shared" si="13"/>
        <v>#N/A</v>
      </c>
      <c r="V34" s="669" t="s">
        <v>14</v>
      </c>
      <c r="W34" s="670" t="e">
        <f t="shared" si="14"/>
        <v>#N/A</v>
      </c>
      <c r="X34" s="671"/>
      <c r="Y34" s="345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3"/>
      <c r="Q35" s="1263" t="str">
        <f t="shared" si="11"/>
        <v>建筑结构</v>
      </c>
      <c r="R35" s="667" t="s">
        <v>14</v>
      </c>
      <c r="S35" s="668">
        <f t="shared" si="12"/>
        <v>100</v>
      </c>
      <c r="T35" s="667" t="s">
        <v>14</v>
      </c>
      <c r="U35" s="668">
        <f t="shared" si="13"/>
        <v>100</v>
      </c>
      <c r="V35" s="667" t="s">
        <v>14</v>
      </c>
      <c r="W35" s="668">
        <f t="shared" si="14"/>
        <v>100</v>
      </c>
      <c r="X35" s="1265"/>
      <c r="Y35" s="345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3"/>
      <c r="Q36" s="1263" t="str">
        <f t="shared" si="11"/>
        <v>公共部分装修</v>
      </c>
      <c r="R36" s="667" t="s">
        <v>14</v>
      </c>
      <c r="S36" s="668">
        <f t="shared" si="12"/>
        <v>100</v>
      </c>
      <c r="T36" s="667" t="s">
        <v>14</v>
      </c>
      <c r="U36" s="668">
        <f t="shared" si="13"/>
        <v>100</v>
      </c>
      <c r="V36" s="667" t="s">
        <v>14</v>
      </c>
      <c r="W36" s="668">
        <f t="shared" si="14"/>
        <v>100</v>
      </c>
      <c r="X36" s="1265"/>
      <c r="Y36" s="345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3"/>
      <c r="Q37" s="1263" t="str">
        <f t="shared" si="11"/>
        <v>成新度</v>
      </c>
      <c r="R37" s="667" t="s">
        <v>14</v>
      </c>
      <c r="S37" s="668" t="e">
        <f t="shared" si="12"/>
        <v>#N/A</v>
      </c>
      <c r="T37" s="667" t="s">
        <v>14</v>
      </c>
      <c r="U37" s="668" t="e">
        <f t="shared" si="13"/>
        <v>#N/A</v>
      </c>
      <c r="V37" s="667" t="s">
        <v>14</v>
      </c>
      <c r="W37" s="668" t="e">
        <f t="shared" si="14"/>
        <v>#N/A</v>
      </c>
      <c r="X37" s="1265"/>
      <c r="Y37" s="345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3"/>
      <c r="Q38" s="530" t="str">
        <f t="shared" si="11"/>
        <v>写字楼等级</v>
      </c>
      <c r="R38" s="664" t="s">
        <v>14</v>
      </c>
      <c r="S38" s="665">
        <f t="shared" si="12"/>
        <v>100</v>
      </c>
      <c r="T38" s="664" t="s">
        <v>14</v>
      </c>
      <c r="U38" s="665">
        <f t="shared" si="13"/>
        <v>100</v>
      </c>
      <c r="V38" s="664" t="s">
        <v>14</v>
      </c>
      <c r="W38" s="665">
        <f t="shared" si="14"/>
        <v>100</v>
      </c>
      <c r="X38" s="666"/>
      <c r="Y38" s="345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3" t="s">
        <v>1696</v>
      </c>
      <c r="Q39" s="1263" t="str">
        <f t="shared" si="11"/>
        <v>物业管理</v>
      </c>
      <c r="R39" s="667" t="s">
        <v>14</v>
      </c>
      <c r="S39" s="668">
        <f t="shared" si="12"/>
        <v>100</v>
      </c>
      <c r="T39" s="667" t="s">
        <v>14</v>
      </c>
      <c r="U39" s="668">
        <f t="shared" si="13"/>
        <v>100</v>
      </c>
      <c r="V39" s="667" t="s">
        <v>14</v>
      </c>
      <c r="W39" s="668">
        <f t="shared" si="14"/>
        <v>100</v>
      </c>
      <c r="X39" s="1265"/>
      <c r="Y39" s="345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3"/>
      <c r="Q40" s="1263" t="str">
        <f t="shared" si="11"/>
        <v>市政基础设施</v>
      </c>
      <c r="R40" s="667" t="s">
        <v>14</v>
      </c>
      <c r="S40" s="668">
        <f t="shared" si="12"/>
        <v>100</v>
      </c>
      <c r="T40" s="667" t="s">
        <v>14</v>
      </c>
      <c r="U40" s="668">
        <f t="shared" si="13"/>
        <v>100</v>
      </c>
      <c r="V40" s="667" t="s">
        <v>14</v>
      </c>
      <c r="W40" s="668">
        <f t="shared" si="14"/>
        <v>100</v>
      </c>
      <c r="X40" s="1265"/>
      <c r="Y40" s="345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3"/>
      <c r="Q41" s="1263" t="str">
        <f t="shared" si="11"/>
        <v>层高</v>
      </c>
      <c r="R41" s="667" t="s">
        <v>14</v>
      </c>
      <c r="S41" s="668">
        <f t="shared" si="12"/>
        <v>100</v>
      </c>
      <c r="T41" s="667" t="s">
        <v>14</v>
      </c>
      <c r="U41" s="668">
        <f t="shared" si="13"/>
        <v>100</v>
      </c>
      <c r="V41" s="667" t="s">
        <v>14</v>
      </c>
      <c r="W41" s="668">
        <f t="shared" si="14"/>
        <v>100</v>
      </c>
      <c r="X41" s="1265"/>
      <c r="Y41" s="34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3"/>
      <c r="Q42" s="531" t="str">
        <f t="shared" si="11"/>
        <v>单套建筑面积</v>
      </c>
      <c r="R42" s="669" t="s">
        <v>14</v>
      </c>
      <c r="S42" s="670">
        <f t="shared" si="12"/>
        <v>100</v>
      </c>
      <c r="T42" s="669" t="s">
        <v>14</v>
      </c>
      <c r="U42" s="670">
        <f t="shared" si="13"/>
        <v>100</v>
      </c>
      <c r="V42" s="669" t="s">
        <v>14</v>
      </c>
      <c r="W42" s="670">
        <f t="shared" si="14"/>
        <v>100</v>
      </c>
      <c r="X42" s="671"/>
      <c r="Y42" s="345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3"/>
      <c r="Q43" s="1263" t="str">
        <f t="shared" si="11"/>
        <v>内部装修</v>
      </c>
      <c r="R43" s="667" t="s">
        <v>14</v>
      </c>
      <c r="S43" s="668">
        <f t="shared" si="12"/>
        <v>100</v>
      </c>
      <c r="T43" s="667" t="s">
        <v>14</v>
      </c>
      <c r="U43" s="668">
        <f t="shared" si="13"/>
        <v>100</v>
      </c>
      <c r="V43" s="667" t="s">
        <v>14</v>
      </c>
      <c r="W43" s="668">
        <f t="shared" si="14"/>
        <v>100</v>
      </c>
      <c r="X43" s="1265"/>
      <c r="Y43" s="345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3"/>
      <c r="Q44" s="1263" t="str">
        <f t="shared" si="11"/>
        <v>内部装修维护情况</v>
      </c>
      <c r="R44" s="667" t="s">
        <v>14</v>
      </c>
      <c r="S44" s="668">
        <f t="shared" si="12"/>
        <v>100</v>
      </c>
      <c r="T44" s="667" t="s">
        <v>14</v>
      </c>
      <c r="U44" s="668">
        <f t="shared" si="13"/>
        <v>100</v>
      </c>
      <c r="V44" s="667" t="s">
        <v>14</v>
      </c>
      <c r="W44" s="668">
        <f t="shared" si="14"/>
        <v>100</v>
      </c>
      <c r="X44" s="1265"/>
      <c r="Y44" s="345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3"/>
      <c r="Q45" s="530">
        <f t="shared" si="11"/>
        <v>111</v>
      </c>
      <c r="R45" s="664" t="s">
        <v>14</v>
      </c>
      <c r="S45" s="665">
        <f t="shared" si="12"/>
        <v>100</v>
      </c>
      <c r="T45" s="664" t="s">
        <v>14</v>
      </c>
      <c r="U45" s="665">
        <f t="shared" si="13"/>
        <v>100</v>
      </c>
      <c r="V45" s="664" t="s">
        <v>14</v>
      </c>
      <c r="W45" s="665">
        <f t="shared" si="14"/>
        <v>100</v>
      </c>
      <c r="X45" s="666"/>
      <c r="Y45" s="345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3"/>
      <c r="Q46" s="1263">
        <f t="shared" si="11"/>
        <v>111</v>
      </c>
      <c r="R46" s="667" t="s">
        <v>14</v>
      </c>
      <c r="S46" s="668">
        <f t="shared" si="12"/>
        <v>100</v>
      </c>
      <c r="T46" s="667" t="s">
        <v>14</v>
      </c>
      <c r="U46" s="668">
        <f t="shared" si="13"/>
        <v>100</v>
      </c>
      <c r="V46" s="667" t="s">
        <v>14</v>
      </c>
      <c r="W46" s="668">
        <f t="shared" si="14"/>
        <v>100</v>
      </c>
      <c r="X46" s="1265"/>
      <c r="Y46" s="345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4"/>
      <c r="Q47" s="1263">
        <f t="shared" si="11"/>
        <v>111</v>
      </c>
      <c r="R47" s="667" t="s">
        <v>14</v>
      </c>
      <c r="S47" s="668">
        <f t="shared" si="12"/>
        <v>100</v>
      </c>
      <c r="T47" s="667" t="s">
        <v>14</v>
      </c>
      <c r="U47" s="668">
        <f t="shared" si="13"/>
        <v>100</v>
      </c>
      <c r="V47" s="667" t="s">
        <v>14</v>
      </c>
      <c r="W47" s="668">
        <f t="shared" si="14"/>
        <v>100</v>
      </c>
      <c r="X47" s="1265"/>
      <c r="Y47" s="345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31" t="str">
        <f>A48</f>
        <v>成交单价（元/平方米）</v>
      </c>
      <c r="Q48" s="3449"/>
      <c r="R48" s="3444">
        <f>E48</f>
        <v>0</v>
      </c>
      <c r="S48" s="3444"/>
      <c r="T48" s="3444">
        <f>G48</f>
        <v>0</v>
      </c>
      <c r="U48" s="3444"/>
      <c r="V48" s="3444">
        <f>I48</f>
        <v>0</v>
      </c>
      <c r="W48" s="344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431" t="str">
        <f>A49</f>
        <v>比较价值（元/平方米）</v>
      </c>
      <c r="Q49" s="3449"/>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46189.05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860"/>
      <c r="M4" s="861"/>
      <c r="N4" s="861"/>
      <c r="O4" s="861"/>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860"/>
      <c r="M5" s="861"/>
      <c r="N5" s="861"/>
      <c r="O5" s="861"/>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860"/>
      <c r="M6" s="861"/>
      <c r="N6" s="861"/>
      <c r="O6" s="861"/>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45826</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9"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49"/>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9"/>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9"/>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9"/>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9"/>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0" t="s">
        <v>1691</v>
      </c>
      <c r="Q15" s="1263" t="str">
        <f t="shared" si="6"/>
        <v>产业集聚程度</v>
      </c>
      <c r="R15" s="667" t="s">
        <v>14</v>
      </c>
      <c r="S15" s="668">
        <f t="shared" si="0"/>
        <v>100</v>
      </c>
      <c r="T15" s="667" t="s">
        <v>14</v>
      </c>
      <c r="U15" s="668">
        <f t="shared" si="1"/>
        <v>100</v>
      </c>
      <c r="V15" s="667" t="s">
        <v>14</v>
      </c>
      <c r="W15" s="668">
        <f t="shared" si="2"/>
        <v>100</v>
      </c>
      <c r="X15" s="1265"/>
      <c r="Y15" s="34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1"/>
      <c r="Q16" s="1263"/>
      <c r="R16" s="667"/>
      <c r="S16" s="668"/>
      <c r="T16" s="667"/>
      <c r="U16" s="668"/>
      <c r="V16" s="667"/>
      <c r="W16" s="668"/>
      <c r="X16" s="1265"/>
      <c r="Y16" s="345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1"/>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1"/>
      <c r="Q18" s="1263"/>
      <c r="R18" s="667"/>
      <c r="S18" s="668"/>
      <c r="T18" s="667"/>
      <c r="U18" s="668"/>
      <c r="V18" s="667"/>
      <c r="W18" s="668"/>
      <c r="X18" s="1265"/>
      <c r="Y18" s="345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1"/>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1"/>
      <c r="Q20" s="1263"/>
      <c r="R20" s="667"/>
      <c r="S20" s="668"/>
      <c r="T20" s="667"/>
      <c r="U20" s="668"/>
      <c r="V20" s="667"/>
      <c r="W20" s="668"/>
      <c r="X20" s="1265"/>
      <c r="Y20" s="345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1"/>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1"/>
      <c r="Q22" s="1263"/>
      <c r="R22" s="667"/>
      <c r="S22" s="668"/>
      <c r="T22" s="667"/>
      <c r="U22" s="668"/>
      <c r="V22" s="667"/>
      <c r="W22" s="668"/>
      <c r="X22" s="1265"/>
      <c r="Y22" s="345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1"/>
      <c r="Q23" s="1263" t="str">
        <f>B23</f>
        <v>环境质量</v>
      </c>
      <c r="R23" s="667" t="s">
        <v>14</v>
      </c>
      <c r="S23" s="668">
        <f>F23</f>
        <v>100</v>
      </c>
      <c r="T23" s="667" t="s">
        <v>14</v>
      </c>
      <c r="U23" s="668">
        <f>H23</f>
        <v>100</v>
      </c>
      <c r="V23" s="667" t="s">
        <v>14</v>
      </c>
      <c r="W23" s="668">
        <f>J23</f>
        <v>100</v>
      </c>
      <c r="X23" s="1265"/>
      <c r="Y23" s="34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1"/>
      <c r="Q24" s="1263"/>
      <c r="R24" s="667"/>
      <c r="S24" s="668"/>
      <c r="T24" s="667"/>
      <c r="U24" s="668"/>
      <c r="V24" s="667"/>
      <c r="W24" s="668"/>
      <c r="X24" s="1265"/>
      <c r="Y24" s="34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1"/>
      <c r="Q25" s="1263">
        <f>B25</f>
        <v>111</v>
      </c>
      <c r="R25" s="667" t="s">
        <v>14</v>
      </c>
      <c r="S25" s="668">
        <f>F25</f>
        <v>100</v>
      </c>
      <c r="T25" s="667" t="s">
        <v>14</v>
      </c>
      <c r="U25" s="668">
        <f>H25</f>
        <v>100</v>
      </c>
      <c r="V25" s="667" t="s">
        <v>14</v>
      </c>
      <c r="W25" s="668">
        <f>J25</f>
        <v>100</v>
      </c>
      <c r="X25" s="1265"/>
      <c r="Y25" s="34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1"/>
      <c r="Q26" s="1263">
        <f t="shared" ref="Q26:Q40" si="11">B26</f>
        <v>111</v>
      </c>
      <c r="R26" s="667" t="s">
        <v>14</v>
      </c>
      <c r="S26" s="668">
        <f>F26</f>
        <v>100</v>
      </c>
      <c r="T26" s="667" t="s">
        <v>14</v>
      </c>
      <c r="U26" s="668">
        <f>H26</f>
        <v>100</v>
      </c>
      <c r="V26" s="667" t="s">
        <v>14</v>
      </c>
      <c r="W26" s="668">
        <f>J26</f>
        <v>100</v>
      </c>
      <c r="X26" s="1265"/>
      <c r="Y26" s="34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1"/>
      <c r="Q27" s="530">
        <f t="shared" si="11"/>
        <v>111</v>
      </c>
      <c r="R27" s="664" t="s">
        <v>14</v>
      </c>
      <c r="S27" s="665">
        <f>F27</f>
        <v>100</v>
      </c>
      <c r="T27" s="664" t="s">
        <v>14</v>
      </c>
      <c r="U27" s="665">
        <f>H27</f>
        <v>100</v>
      </c>
      <c r="V27" s="664" t="s">
        <v>14</v>
      </c>
      <c r="W27" s="665">
        <f>J27</f>
        <v>100</v>
      </c>
      <c r="X27" s="666"/>
      <c r="Y27" s="345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1"/>
      <c r="Q28" s="1263">
        <f t="shared" si="11"/>
        <v>111</v>
      </c>
      <c r="R28" s="667" t="s">
        <v>14</v>
      </c>
      <c r="S28" s="668">
        <f t="shared" ref="S28:S40" si="12">F28</f>
        <v>100</v>
      </c>
      <c r="T28" s="667" t="s">
        <v>14</v>
      </c>
      <c r="U28" s="668">
        <f t="shared" ref="U28:U40" si="13">H28</f>
        <v>100</v>
      </c>
      <c r="V28" s="667" t="s">
        <v>14</v>
      </c>
      <c r="W28" s="668">
        <f t="shared" ref="W28:W40" si="14">J28</f>
        <v>100</v>
      </c>
      <c r="X28" s="1265"/>
      <c r="Y28" s="345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4" t="s">
        <v>1696</v>
      </c>
      <c r="Q29" s="1263" t="str">
        <f t="shared" si="11"/>
        <v>建筑类型</v>
      </c>
      <c r="R29" s="667" t="s">
        <v>14</v>
      </c>
      <c r="S29" s="668">
        <f t="shared" si="12"/>
        <v>100</v>
      </c>
      <c r="T29" s="667" t="s">
        <v>14</v>
      </c>
      <c r="U29" s="668">
        <f t="shared" si="13"/>
        <v>100</v>
      </c>
      <c r="V29" s="667" t="s">
        <v>14</v>
      </c>
      <c r="W29" s="668">
        <f t="shared" si="14"/>
        <v>100</v>
      </c>
      <c r="X29" s="1265"/>
      <c r="Y29" s="34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5"/>
      <c r="Q30" s="531" t="str">
        <f t="shared" si="11"/>
        <v>项目建筑规模</v>
      </c>
      <c r="R30" s="669" t="s">
        <v>14</v>
      </c>
      <c r="S30" s="670" t="e">
        <f t="shared" si="12"/>
        <v>#N/A</v>
      </c>
      <c r="T30" s="669" t="s">
        <v>14</v>
      </c>
      <c r="U30" s="670" t="e">
        <f t="shared" si="13"/>
        <v>#N/A</v>
      </c>
      <c r="V30" s="669" t="s">
        <v>14</v>
      </c>
      <c r="W30" s="670" t="e">
        <f t="shared" si="14"/>
        <v>#N/A</v>
      </c>
      <c r="X30" s="671"/>
      <c r="Y30" s="34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5"/>
      <c r="Q31" s="1263" t="str">
        <f t="shared" si="11"/>
        <v>建筑结构</v>
      </c>
      <c r="R31" s="667" t="s">
        <v>14</v>
      </c>
      <c r="S31" s="668">
        <f t="shared" si="12"/>
        <v>100</v>
      </c>
      <c r="T31" s="667" t="s">
        <v>14</v>
      </c>
      <c r="U31" s="668">
        <f t="shared" si="13"/>
        <v>100</v>
      </c>
      <c r="V31" s="667" t="s">
        <v>14</v>
      </c>
      <c r="W31" s="668">
        <f t="shared" si="14"/>
        <v>100</v>
      </c>
      <c r="X31" s="1265"/>
      <c r="Y31" s="34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5"/>
      <c r="Q32" s="1263" t="str">
        <f t="shared" si="11"/>
        <v>公共部分装修</v>
      </c>
      <c r="R32" s="667" t="s">
        <v>14</v>
      </c>
      <c r="S32" s="668">
        <f t="shared" si="12"/>
        <v>100</v>
      </c>
      <c r="T32" s="667" t="s">
        <v>14</v>
      </c>
      <c r="U32" s="668">
        <f t="shared" si="13"/>
        <v>100</v>
      </c>
      <c r="V32" s="667" t="s">
        <v>14</v>
      </c>
      <c r="W32" s="668">
        <f t="shared" si="14"/>
        <v>100</v>
      </c>
      <c r="X32" s="1265"/>
      <c r="Y32" s="34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5"/>
      <c r="Q33" s="1263" t="str">
        <f t="shared" si="11"/>
        <v>成新度</v>
      </c>
      <c r="R33" s="667" t="s">
        <v>14</v>
      </c>
      <c r="S33" s="668" t="e">
        <f t="shared" si="12"/>
        <v>#N/A</v>
      </c>
      <c r="T33" s="667" t="s">
        <v>14</v>
      </c>
      <c r="U33" s="668" t="e">
        <f t="shared" si="13"/>
        <v>#N/A</v>
      </c>
      <c r="V33" s="667" t="s">
        <v>14</v>
      </c>
      <c r="W33" s="668" t="e">
        <f t="shared" si="14"/>
        <v>#N/A</v>
      </c>
      <c r="X33" s="1265"/>
      <c r="Y33" s="34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5"/>
      <c r="Q34" s="530" t="str">
        <f t="shared" si="11"/>
        <v>物业管理</v>
      </c>
      <c r="R34" s="664" t="s">
        <v>14</v>
      </c>
      <c r="S34" s="665">
        <f t="shared" si="12"/>
        <v>100</v>
      </c>
      <c r="T34" s="664" t="s">
        <v>14</v>
      </c>
      <c r="U34" s="665">
        <f t="shared" si="13"/>
        <v>100</v>
      </c>
      <c r="V34" s="664" t="s">
        <v>14</v>
      </c>
      <c r="W34" s="665">
        <f t="shared" si="14"/>
        <v>100</v>
      </c>
      <c r="X34" s="666"/>
      <c r="Y34" s="34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5" t="s">
        <v>1696</v>
      </c>
      <c r="Q35" s="1263" t="str">
        <f t="shared" si="11"/>
        <v>市政基础设施</v>
      </c>
      <c r="R35" s="667" t="s">
        <v>14</v>
      </c>
      <c r="S35" s="668">
        <f t="shared" si="12"/>
        <v>100</v>
      </c>
      <c r="T35" s="667" t="s">
        <v>14</v>
      </c>
      <c r="U35" s="668">
        <f t="shared" si="13"/>
        <v>100</v>
      </c>
      <c r="V35" s="667" t="s">
        <v>14</v>
      </c>
      <c r="W35" s="668">
        <f t="shared" si="14"/>
        <v>100</v>
      </c>
      <c r="X35" s="1265"/>
      <c r="Y35" s="34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5"/>
      <c r="Q36" s="1263" t="str">
        <f t="shared" si="11"/>
        <v>内部装修</v>
      </c>
      <c r="R36" s="667" t="s">
        <v>14</v>
      </c>
      <c r="S36" s="668">
        <f t="shared" si="12"/>
        <v>100</v>
      </c>
      <c r="T36" s="667" t="s">
        <v>14</v>
      </c>
      <c r="U36" s="668">
        <f t="shared" si="13"/>
        <v>100</v>
      </c>
      <c r="V36" s="667" t="s">
        <v>14</v>
      </c>
      <c r="W36" s="668">
        <f t="shared" si="14"/>
        <v>100</v>
      </c>
      <c r="X36" s="1265"/>
      <c r="Y36" s="34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5"/>
      <c r="Q37" s="1263" t="str">
        <f t="shared" si="11"/>
        <v>内部装修状况</v>
      </c>
      <c r="R37" s="667" t="s">
        <v>14</v>
      </c>
      <c r="S37" s="668">
        <f t="shared" si="12"/>
        <v>100</v>
      </c>
      <c r="T37" s="667" t="s">
        <v>14</v>
      </c>
      <c r="U37" s="668">
        <f t="shared" si="13"/>
        <v>100</v>
      </c>
      <c r="V37" s="667" t="s">
        <v>14</v>
      </c>
      <c r="W37" s="668">
        <f t="shared" si="14"/>
        <v>100</v>
      </c>
      <c r="X37" s="1265"/>
      <c r="Y37" s="34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5"/>
      <c r="Q38" s="531">
        <f t="shared" si="11"/>
        <v>111</v>
      </c>
      <c r="R38" s="669" t="s">
        <v>14</v>
      </c>
      <c r="S38" s="670">
        <f t="shared" si="12"/>
        <v>100</v>
      </c>
      <c r="T38" s="669" t="s">
        <v>14</v>
      </c>
      <c r="U38" s="670">
        <f t="shared" si="13"/>
        <v>100</v>
      </c>
      <c r="V38" s="669" t="s">
        <v>14</v>
      </c>
      <c r="W38" s="670">
        <f t="shared" si="14"/>
        <v>100</v>
      </c>
      <c r="X38" s="671"/>
      <c r="Y38" s="34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5"/>
      <c r="Q39" s="1263">
        <f t="shared" si="11"/>
        <v>111</v>
      </c>
      <c r="R39" s="667" t="s">
        <v>14</v>
      </c>
      <c r="S39" s="668">
        <f t="shared" si="12"/>
        <v>100</v>
      </c>
      <c r="T39" s="667" t="s">
        <v>14</v>
      </c>
      <c r="U39" s="668">
        <f t="shared" si="13"/>
        <v>100</v>
      </c>
      <c r="V39" s="667" t="s">
        <v>14</v>
      </c>
      <c r="W39" s="668">
        <f t="shared" si="14"/>
        <v>100</v>
      </c>
      <c r="X39" s="1265"/>
      <c r="Y39" s="345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6"/>
      <c r="Q40" s="1263">
        <f t="shared" si="11"/>
        <v>111</v>
      </c>
      <c r="R40" s="667" t="s">
        <v>14</v>
      </c>
      <c r="S40" s="668">
        <f t="shared" si="12"/>
        <v>100</v>
      </c>
      <c r="T40" s="667" t="s">
        <v>14</v>
      </c>
      <c r="U40" s="668">
        <f t="shared" si="13"/>
        <v>100</v>
      </c>
      <c r="V40" s="667" t="s">
        <v>14</v>
      </c>
      <c r="W40" s="668">
        <f t="shared" si="14"/>
        <v>100</v>
      </c>
      <c r="X40" s="1265"/>
      <c r="Y40" s="345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9" t="str">
        <f>A41</f>
        <v>成交单价（元/平方米）</v>
      </c>
      <c r="Q41" s="3449"/>
      <c r="R41" s="3444">
        <f>E41</f>
        <v>0</v>
      </c>
      <c r="S41" s="3444"/>
      <c r="T41" s="3444">
        <f>G41</f>
        <v>0</v>
      </c>
      <c r="U41" s="3444"/>
      <c r="V41" s="3444">
        <f>I41</f>
        <v>0</v>
      </c>
      <c r="W41" s="344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49" t="str">
        <f>A42</f>
        <v>比较价值（元/平方米）</v>
      </c>
      <c r="Q42" s="3449"/>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7"/>
      <c r="M5" s="2488"/>
      <c r="N5" s="2488"/>
      <c r="O5" s="2488"/>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2487"/>
      <c r="M6" s="2488"/>
      <c r="N6" s="2488"/>
      <c r="O6" s="2488"/>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45826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7" t="s">
        <v>1680</v>
      </c>
      <c r="Q7" s="3445"/>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9"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49"/>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9"/>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9"/>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9"/>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50" t="s">
        <v>1691</v>
      </c>
      <c r="Q14" s="1263" t="str">
        <f t="shared" si="6"/>
        <v>交通便捷度</v>
      </c>
      <c r="R14" s="667" t="s">
        <v>14</v>
      </c>
      <c r="S14" s="668">
        <f t="shared" si="0"/>
        <v>100</v>
      </c>
      <c r="T14" s="667" t="s">
        <v>14</v>
      </c>
      <c r="U14" s="668">
        <f t="shared" si="1"/>
        <v>100</v>
      </c>
      <c r="V14" s="667" t="s">
        <v>14</v>
      </c>
      <c r="W14" s="668">
        <f t="shared" si="2"/>
        <v>100</v>
      </c>
      <c r="X14" s="1265"/>
      <c r="Y14" s="34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51"/>
      <c r="Q15" s="1263"/>
      <c r="R15" s="667"/>
      <c r="S15" s="668"/>
      <c r="T15" s="667"/>
      <c r="U15" s="668"/>
      <c r="V15" s="667"/>
      <c r="W15" s="668"/>
      <c r="X15" s="1265"/>
      <c r="Y15" s="345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51"/>
      <c r="Q16" s="1263" t="str">
        <f>B16</f>
        <v>公共配套设施</v>
      </c>
      <c r="R16" s="667" t="s">
        <v>14</v>
      </c>
      <c r="S16" s="668">
        <f>F16</f>
        <v>100</v>
      </c>
      <c r="T16" s="667" t="s">
        <v>14</v>
      </c>
      <c r="U16" s="668">
        <f>H16</f>
        <v>100</v>
      </c>
      <c r="V16" s="667" t="s">
        <v>14</v>
      </c>
      <c r="W16" s="668">
        <f>J16</f>
        <v>100</v>
      </c>
      <c r="X16" s="1265"/>
      <c r="Y16" s="34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51"/>
      <c r="Q17" s="1263"/>
      <c r="R17" s="667"/>
      <c r="S17" s="668"/>
      <c r="T17" s="667"/>
      <c r="U17" s="668"/>
      <c r="V17" s="667"/>
      <c r="W17" s="668"/>
      <c r="X17" s="1265"/>
      <c r="Y17" s="345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51"/>
      <c r="Q18" s="1263" t="str">
        <f>B18</f>
        <v>基础设施水平</v>
      </c>
      <c r="R18" s="667" t="s">
        <v>14</v>
      </c>
      <c r="S18" s="668">
        <f>F18</f>
        <v>100</v>
      </c>
      <c r="T18" s="667" t="s">
        <v>14</v>
      </c>
      <c r="U18" s="668">
        <f>H18</f>
        <v>100</v>
      </c>
      <c r="V18" s="667" t="s">
        <v>14</v>
      </c>
      <c r="W18" s="668">
        <f>J18</f>
        <v>100</v>
      </c>
      <c r="X18" s="1265"/>
      <c r="Y18" s="34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51"/>
      <c r="Q19" s="1263"/>
      <c r="R19" s="667"/>
      <c r="S19" s="668"/>
      <c r="T19" s="667"/>
      <c r="U19" s="668"/>
      <c r="V19" s="667"/>
      <c r="W19" s="668"/>
      <c r="X19" s="1265"/>
      <c r="Y19" s="345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51"/>
      <c r="Q20" s="1263" t="str">
        <f>B20</f>
        <v>自然及人文环境</v>
      </c>
      <c r="R20" s="667" t="s">
        <v>14</v>
      </c>
      <c r="S20" s="668">
        <f>F20</f>
        <v>100</v>
      </c>
      <c r="T20" s="667" t="s">
        <v>14</v>
      </c>
      <c r="U20" s="668">
        <f>H20</f>
        <v>100</v>
      </c>
      <c r="V20" s="667" t="s">
        <v>14</v>
      </c>
      <c r="W20" s="668">
        <f>J20</f>
        <v>100</v>
      </c>
      <c r="X20" s="1265"/>
      <c r="Y20" s="34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51"/>
      <c r="Q21" s="1263"/>
      <c r="R21" s="667"/>
      <c r="S21" s="668"/>
      <c r="T21" s="667"/>
      <c r="U21" s="668"/>
      <c r="V21" s="667"/>
      <c r="W21" s="668"/>
      <c r="X21" s="1265"/>
      <c r="Y21" s="34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51"/>
      <c r="Q22" s="1263" t="str">
        <f>B22</f>
        <v>楼层</v>
      </c>
      <c r="R22" s="667" t="s">
        <v>14</v>
      </c>
      <c r="S22" s="668">
        <f>F22</f>
        <v>100</v>
      </c>
      <c r="T22" s="667" t="s">
        <v>14</v>
      </c>
      <c r="U22" s="668">
        <f>H22</f>
        <v>100</v>
      </c>
      <c r="V22" s="667" t="s">
        <v>14</v>
      </c>
      <c r="W22" s="668">
        <f>J22</f>
        <v>100</v>
      </c>
      <c r="X22" s="1265"/>
      <c r="Y22" s="34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51"/>
      <c r="Q23" s="1263">
        <f>B23</f>
        <v>111</v>
      </c>
      <c r="R23" s="667" t="s">
        <v>14</v>
      </c>
      <c r="S23" s="668">
        <f>F23</f>
        <v>100</v>
      </c>
      <c r="T23" s="667" t="s">
        <v>14</v>
      </c>
      <c r="U23" s="668">
        <f>H23</f>
        <v>100</v>
      </c>
      <c r="V23" s="667" t="s">
        <v>14</v>
      </c>
      <c r="W23" s="668">
        <f>J23</f>
        <v>100</v>
      </c>
      <c r="X23" s="1265"/>
      <c r="Y23" s="34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51"/>
      <c r="Q24" s="1263">
        <f t="shared" ref="Q24:Q36" si="11">B24</f>
        <v>111</v>
      </c>
      <c r="R24" s="667" t="s">
        <v>14</v>
      </c>
      <c r="S24" s="668">
        <f>F24</f>
        <v>100</v>
      </c>
      <c r="T24" s="667" t="s">
        <v>14</v>
      </c>
      <c r="U24" s="668">
        <f>H24</f>
        <v>100</v>
      </c>
      <c r="V24" s="667" t="s">
        <v>14</v>
      </c>
      <c r="W24" s="668">
        <f>J24</f>
        <v>100</v>
      </c>
      <c r="X24" s="1265"/>
      <c r="Y24" s="345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51"/>
      <c r="Q25" s="530">
        <f t="shared" si="11"/>
        <v>111</v>
      </c>
      <c r="R25" s="664" t="s">
        <v>14</v>
      </c>
      <c r="S25" s="665">
        <f>F25</f>
        <v>100</v>
      </c>
      <c r="T25" s="664" t="s">
        <v>14</v>
      </c>
      <c r="U25" s="665">
        <f>H25</f>
        <v>100</v>
      </c>
      <c r="V25" s="664" t="s">
        <v>14</v>
      </c>
      <c r="W25" s="665">
        <f>J25</f>
        <v>100</v>
      </c>
      <c r="X25" s="666"/>
      <c r="Y25" s="345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5"/>
      <c r="Q27" s="531" t="str">
        <f t="shared" si="11"/>
        <v>项目停车位配比</v>
      </c>
      <c r="R27" s="669" t="s">
        <v>14</v>
      </c>
      <c r="S27" s="670">
        <f t="shared" si="12"/>
        <v>100</v>
      </c>
      <c r="T27" s="669" t="s">
        <v>14</v>
      </c>
      <c r="U27" s="670">
        <f t="shared" si="13"/>
        <v>100</v>
      </c>
      <c r="V27" s="669" t="s">
        <v>14</v>
      </c>
      <c r="W27" s="670">
        <f t="shared" si="14"/>
        <v>100</v>
      </c>
      <c r="X27" s="671"/>
      <c r="Y27" s="34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5"/>
      <c r="Q28" s="1263" t="str">
        <f t="shared" si="11"/>
        <v>公共部分装修</v>
      </c>
      <c r="R28" s="667" t="s">
        <v>14</v>
      </c>
      <c r="S28" s="668">
        <f t="shared" si="12"/>
        <v>100</v>
      </c>
      <c r="T28" s="667" t="s">
        <v>14</v>
      </c>
      <c r="U28" s="668">
        <f t="shared" si="13"/>
        <v>100</v>
      </c>
      <c r="V28" s="667" t="s">
        <v>14</v>
      </c>
      <c r="W28" s="668">
        <f t="shared" si="14"/>
        <v>100</v>
      </c>
      <c r="X28" s="1265"/>
      <c r="Y28" s="34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55"/>
      <c r="Q29" s="1263" t="str">
        <f t="shared" si="11"/>
        <v>成新率</v>
      </c>
      <c r="R29" s="667" t="s">
        <v>14</v>
      </c>
      <c r="S29" s="668" t="e">
        <f t="shared" si="12"/>
        <v>#N/A</v>
      </c>
      <c r="T29" s="667" t="s">
        <v>14</v>
      </c>
      <c r="U29" s="668" t="e">
        <f t="shared" si="13"/>
        <v>#N/A</v>
      </c>
      <c r="V29" s="667" t="s">
        <v>14</v>
      </c>
      <c r="W29" s="668" t="e">
        <f t="shared" si="14"/>
        <v>#N/A</v>
      </c>
      <c r="X29" s="1265"/>
      <c r="Y29" s="34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5"/>
      <c r="Q30" s="1263" t="str">
        <f t="shared" si="11"/>
        <v>物业等级</v>
      </c>
      <c r="R30" s="667" t="s">
        <v>14</v>
      </c>
      <c r="S30" s="668">
        <f t="shared" si="12"/>
        <v>100</v>
      </c>
      <c r="T30" s="667" t="s">
        <v>14</v>
      </c>
      <c r="U30" s="668">
        <f t="shared" si="13"/>
        <v>100</v>
      </c>
      <c r="V30" s="667" t="s">
        <v>14</v>
      </c>
      <c r="W30" s="668">
        <f t="shared" si="14"/>
        <v>100</v>
      </c>
      <c r="X30" s="1265"/>
      <c r="Y30" s="34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55"/>
      <c r="Q31" s="530" t="str">
        <f t="shared" si="11"/>
        <v>停车位面积</v>
      </c>
      <c r="R31" s="664" t="s">
        <v>14</v>
      </c>
      <c r="S31" s="665" t="e">
        <f t="shared" si="12"/>
        <v>#N/A</v>
      </c>
      <c r="T31" s="664" t="s">
        <v>14</v>
      </c>
      <c r="U31" s="665" t="e">
        <f t="shared" si="13"/>
        <v>#N/A</v>
      </c>
      <c r="V31" s="664" t="s">
        <v>14</v>
      </c>
      <c r="W31" s="665" t="e">
        <f t="shared" si="14"/>
        <v>#N/A</v>
      </c>
      <c r="X31" s="666"/>
      <c r="Y31" s="34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5" t="s">
        <v>1696</v>
      </c>
      <c r="Q32" s="1263" t="str">
        <f t="shared" si="11"/>
        <v>车位类型</v>
      </c>
      <c r="R32" s="667" t="s">
        <v>14</v>
      </c>
      <c r="S32" s="668">
        <f t="shared" si="12"/>
        <v>100</v>
      </c>
      <c r="T32" s="667" t="s">
        <v>14</v>
      </c>
      <c r="U32" s="668">
        <f t="shared" si="13"/>
        <v>100</v>
      </c>
      <c r="V32" s="667" t="s">
        <v>14</v>
      </c>
      <c r="W32" s="668">
        <f t="shared" si="14"/>
        <v>100</v>
      </c>
      <c r="X32" s="1265"/>
      <c r="Y32" s="34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5"/>
      <c r="Q33" s="1263" t="str">
        <f t="shared" si="11"/>
        <v>是否直接入户</v>
      </c>
      <c r="R33" s="667" t="s">
        <v>14</v>
      </c>
      <c r="S33" s="668">
        <f t="shared" si="12"/>
        <v>100</v>
      </c>
      <c r="T33" s="667" t="s">
        <v>14</v>
      </c>
      <c r="U33" s="668">
        <f t="shared" si="13"/>
        <v>100</v>
      </c>
      <c r="V33" s="667" t="s">
        <v>14</v>
      </c>
      <c r="W33" s="668">
        <f t="shared" si="14"/>
        <v>100</v>
      </c>
      <c r="X33" s="1265"/>
      <c r="Y33" s="34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5"/>
      <c r="Q34" s="1263">
        <f t="shared" si="11"/>
        <v>111</v>
      </c>
      <c r="R34" s="667" t="s">
        <v>14</v>
      </c>
      <c r="S34" s="668">
        <f t="shared" si="12"/>
        <v>100</v>
      </c>
      <c r="T34" s="667" t="s">
        <v>14</v>
      </c>
      <c r="U34" s="668">
        <f t="shared" si="13"/>
        <v>100</v>
      </c>
      <c r="V34" s="667" t="s">
        <v>14</v>
      </c>
      <c r="W34" s="668">
        <f t="shared" si="14"/>
        <v>100</v>
      </c>
      <c r="X34" s="1265"/>
      <c r="Y34" s="34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5"/>
      <c r="Q35" s="531">
        <f t="shared" si="11"/>
        <v>111</v>
      </c>
      <c r="R35" s="669" t="s">
        <v>14</v>
      </c>
      <c r="S35" s="670">
        <f t="shared" si="12"/>
        <v>100</v>
      </c>
      <c r="T35" s="669" t="s">
        <v>14</v>
      </c>
      <c r="U35" s="670">
        <f t="shared" si="13"/>
        <v>100</v>
      </c>
      <c r="V35" s="669" t="s">
        <v>14</v>
      </c>
      <c r="W35" s="670">
        <f t="shared" si="14"/>
        <v>100</v>
      </c>
      <c r="X35" s="671"/>
      <c r="Y35" s="345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5"/>
      <c r="Q36" s="1263">
        <f t="shared" si="11"/>
        <v>111</v>
      </c>
      <c r="R36" s="667" t="s">
        <v>14</v>
      </c>
      <c r="S36" s="668">
        <f t="shared" si="12"/>
        <v>100</v>
      </c>
      <c r="T36" s="667" t="s">
        <v>14</v>
      </c>
      <c r="U36" s="668">
        <f t="shared" si="13"/>
        <v>100</v>
      </c>
      <c r="V36" s="667" t="s">
        <v>14</v>
      </c>
      <c r="W36" s="668">
        <f t="shared" si="14"/>
        <v>100</v>
      </c>
      <c r="X36" s="1265"/>
      <c r="Y36" s="345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49" t="str">
        <f>A37</f>
        <v>成交单价</v>
      </c>
      <c r="Q37" s="3449"/>
      <c r="R37" s="3444">
        <f>E37</f>
        <v>0</v>
      </c>
      <c r="S37" s="3444"/>
      <c r="T37" s="3444">
        <f>G37</f>
        <v>0</v>
      </c>
      <c r="U37" s="3444"/>
      <c r="V37" s="3444">
        <f>I37</f>
        <v>0</v>
      </c>
      <c r="W37" s="344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49" t="str">
        <f>A38</f>
        <v>比较价值（元/平方米）</v>
      </c>
      <c r="Q38" s="3449"/>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6" t="str">
        <f>A39</f>
        <v>估价对象XX用房的比较价值（楼面单价，元/平方米）</v>
      </c>
      <c r="Q39" s="3447"/>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7"/>
      <c r="M5" s="2488"/>
      <c r="N5" s="2488"/>
      <c r="O5" s="2488"/>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2487"/>
      <c r="M6" s="2488"/>
      <c r="N6" s="2488"/>
      <c r="O6" s="2488"/>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45826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7" t="s">
        <v>1680</v>
      </c>
      <c r="Q7" s="3445"/>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49"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49"/>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49"/>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49"/>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49"/>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50" t="s">
        <v>1691</v>
      </c>
      <c r="Q14" s="1263" t="str">
        <f t="shared" si="6"/>
        <v>交通便捷度</v>
      </c>
      <c r="R14" s="667" t="s">
        <v>14</v>
      </c>
      <c r="S14" s="668">
        <f t="shared" si="0"/>
        <v>100</v>
      </c>
      <c r="T14" s="667" t="s">
        <v>14</v>
      </c>
      <c r="U14" s="668">
        <f t="shared" si="1"/>
        <v>100</v>
      </c>
      <c r="V14" s="667" t="s">
        <v>14</v>
      </c>
      <c r="W14" s="668">
        <f t="shared" si="2"/>
        <v>100</v>
      </c>
      <c r="X14" s="1265"/>
      <c r="Y14" s="345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51"/>
      <c r="Q15" s="1263"/>
      <c r="R15" s="667"/>
      <c r="S15" s="668"/>
      <c r="T15" s="667"/>
      <c r="U15" s="668"/>
      <c r="V15" s="667"/>
      <c r="W15" s="668"/>
      <c r="X15" s="1265"/>
      <c r="Y15" s="345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51"/>
      <c r="Q16" s="1263" t="str">
        <f>B16</f>
        <v>公共配套设施</v>
      </c>
      <c r="R16" s="667" t="s">
        <v>14</v>
      </c>
      <c r="S16" s="668">
        <f>F16</f>
        <v>100</v>
      </c>
      <c r="T16" s="667" t="s">
        <v>14</v>
      </c>
      <c r="U16" s="668">
        <f>H16</f>
        <v>100</v>
      </c>
      <c r="V16" s="667" t="s">
        <v>14</v>
      </c>
      <c r="W16" s="668">
        <f>J16</f>
        <v>100</v>
      </c>
      <c r="X16" s="1265"/>
      <c r="Y16" s="345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51"/>
      <c r="Q17" s="1263"/>
      <c r="R17" s="667"/>
      <c r="S17" s="668"/>
      <c r="T17" s="667"/>
      <c r="U17" s="668"/>
      <c r="V17" s="667"/>
      <c r="W17" s="668"/>
      <c r="X17" s="1265"/>
      <c r="Y17" s="345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51"/>
      <c r="Q18" s="1263" t="str">
        <f>B18</f>
        <v>基础设施水平</v>
      </c>
      <c r="R18" s="667" t="s">
        <v>14</v>
      </c>
      <c r="S18" s="668">
        <f>F18</f>
        <v>100</v>
      </c>
      <c r="T18" s="667" t="s">
        <v>14</v>
      </c>
      <c r="U18" s="668">
        <f>H18</f>
        <v>100</v>
      </c>
      <c r="V18" s="667" t="s">
        <v>14</v>
      </c>
      <c r="W18" s="668">
        <f>J18</f>
        <v>100</v>
      </c>
      <c r="X18" s="1265"/>
      <c r="Y18" s="345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51"/>
      <c r="Q19" s="1263"/>
      <c r="R19" s="667"/>
      <c r="S19" s="668"/>
      <c r="T19" s="667"/>
      <c r="U19" s="668"/>
      <c r="V19" s="667"/>
      <c r="W19" s="668"/>
      <c r="X19" s="1265"/>
      <c r="Y19" s="345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51"/>
      <c r="Q20" s="1263" t="str">
        <f>B20</f>
        <v>自然及人文环境</v>
      </c>
      <c r="R20" s="667" t="s">
        <v>14</v>
      </c>
      <c r="S20" s="668">
        <f>F20</f>
        <v>100</v>
      </c>
      <c r="T20" s="667" t="s">
        <v>14</v>
      </c>
      <c r="U20" s="668">
        <f>H20</f>
        <v>100</v>
      </c>
      <c r="V20" s="667" t="s">
        <v>14</v>
      </c>
      <c r="W20" s="668">
        <f>J20</f>
        <v>100</v>
      </c>
      <c r="X20" s="1265"/>
      <c r="Y20" s="345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51"/>
      <c r="Q21" s="1263"/>
      <c r="R21" s="667"/>
      <c r="S21" s="668"/>
      <c r="T21" s="667"/>
      <c r="U21" s="668"/>
      <c r="V21" s="667"/>
      <c r="W21" s="668"/>
      <c r="X21" s="1265"/>
      <c r="Y21" s="34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51"/>
      <c r="Q22" s="1263" t="str">
        <f>B22</f>
        <v>楼层</v>
      </c>
      <c r="R22" s="667" t="s">
        <v>14</v>
      </c>
      <c r="S22" s="668">
        <f>F22</f>
        <v>100</v>
      </c>
      <c r="T22" s="667" t="s">
        <v>14</v>
      </c>
      <c r="U22" s="668">
        <f>H22</f>
        <v>100</v>
      </c>
      <c r="V22" s="667" t="s">
        <v>14</v>
      </c>
      <c r="W22" s="668">
        <f>J22</f>
        <v>100</v>
      </c>
      <c r="X22" s="1265"/>
      <c r="Y22" s="345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51"/>
      <c r="Q23" s="1263">
        <f>B23</f>
        <v>111</v>
      </c>
      <c r="R23" s="667" t="s">
        <v>14</v>
      </c>
      <c r="S23" s="668">
        <f>F23</f>
        <v>100</v>
      </c>
      <c r="T23" s="667" t="s">
        <v>14</v>
      </c>
      <c r="U23" s="668">
        <f>H23</f>
        <v>100</v>
      </c>
      <c r="V23" s="667" t="s">
        <v>14</v>
      </c>
      <c r="W23" s="668">
        <f>J23</f>
        <v>100</v>
      </c>
      <c r="X23" s="1265"/>
      <c r="Y23" s="345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51"/>
      <c r="Q24" s="1263">
        <f t="shared" ref="Q24:Q34" si="11">B24</f>
        <v>111</v>
      </c>
      <c r="R24" s="667" t="s">
        <v>14</v>
      </c>
      <c r="S24" s="668">
        <f>F24</f>
        <v>100</v>
      </c>
      <c r="T24" s="667" t="s">
        <v>14</v>
      </c>
      <c r="U24" s="668">
        <f>H24</f>
        <v>100</v>
      </c>
      <c r="V24" s="667" t="s">
        <v>14</v>
      </c>
      <c r="W24" s="668">
        <f>J24</f>
        <v>100</v>
      </c>
      <c r="X24" s="1265"/>
      <c r="Y24" s="345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51"/>
      <c r="Q25" s="530">
        <f t="shared" si="11"/>
        <v>111</v>
      </c>
      <c r="R25" s="664" t="s">
        <v>14</v>
      </c>
      <c r="S25" s="665">
        <f>F25</f>
        <v>100</v>
      </c>
      <c r="T25" s="664" t="s">
        <v>14</v>
      </c>
      <c r="U25" s="665">
        <f>H25</f>
        <v>100</v>
      </c>
      <c r="V25" s="664" t="s">
        <v>14</v>
      </c>
      <c r="W25" s="665">
        <f>J25</f>
        <v>100</v>
      </c>
      <c r="X25" s="666"/>
      <c r="Y25" s="345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55"/>
      <c r="Q27" s="531" t="str">
        <f t="shared" si="11"/>
        <v>成新率</v>
      </c>
      <c r="R27" s="669" t="s">
        <v>14</v>
      </c>
      <c r="S27" s="670" t="e">
        <f t="shared" si="12"/>
        <v>#N/A</v>
      </c>
      <c r="T27" s="669" t="s">
        <v>14</v>
      </c>
      <c r="U27" s="670" t="e">
        <f t="shared" si="13"/>
        <v>#N/A</v>
      </c>
      <c r="V27" s="669" t="s">
        <v>14</v>
      </c>
      <c r="W27" s="670" t="e">
        <f t="shared" si="14"/>
        <v>#N/A</v>
      </c>
      <c r="X27" s="671"/>
      <c r="Y27" s="345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55"/>
      <c r="Q28" s="1263" t="str">
        <f t="shared" si="11"/>
        <v>物业等级</v>
      </c>
      <c r="R28" s="667" t="s">
        <v>14</v>
      </c>
      <c r="S28" s="668">
        <f t="shared" si="12"/>
        <v>100</v>
      </c>
      <c r="T28" s="667" t="s">
        <v>14</v>
      </c>
      <c r="U28" s="668">
        <f t="shared" si="13"/>
        <v>100</v>
      </c>
      <c r="V28" s="667" t="s">
        <v>14</v>
      </c>
      <c r="W28" s="668">
        <f t="shared" si="14"/>
        <v>100</v>
      </c>
      <c r="X28" s="1265"/>
      <c r="Y28" s="345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55"/>
      <c r="Q29" s="1263" t="str">
        <f t="shared" si="11"/>
        <v>有无电梯</v>
      </c>
      <c r="R29" s="667" t="s">
        <v>14</v>
      </c>
      <c r="S29" s="668">
        <f t="shared" si="12"/>
        <v>100</v>
      </c>
      <c r="T29" s="667" t="s">
        <v>14</v>
      </c>
      <c r="U29" s="668">
        <f t="shared" si="13"/>
        <v>100</v>
      </c>
      <c r="V29" s="667" t="s">
        <v>14</v>
      </c>
      <c r="W29" s="668">
        <f t="shared" si="14"/>
        <v>100</v>
      </c>
      <c r="X29" s="1265"/>
      <c r="Y29" s="345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55"/>
      <c r="Q30" s="1263" t="str">
        <f t="shared" si="11"/>
        <v>建筑面积</v>
      </c>
      <c r="R30" s="667" t="s">
        <v>14</v>
      </c>
      <c r="S30" s="668" t="e">
        <f t="shared" si="12"/>
        <v>#N/A</v>
      </c>
      <c r="T30" s="667" t="s">
        <v>14</v>
      </c>
      <c r="U30" s="668" t="e">
        <f t="shared" si="13"/>
        <v>#N/A</v>
      </c>
      <c r="V30" s="667" t="s">
        <v>14</v>
      </c>
      <c r="W30" s="668" t="e">
        <f t="shared" si="14"/>
        <v>#N/A</v>
      </c>
      <c r="X30" s="1265"/>
      <c r="Y30" s="345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55"/>
      <c r="Q31" s="530" t="str">
        <f t="shared" si="11"/>
        <v>是否封闭</v>
      </c>
      <c r="R31" s="664" t="s">
        <v>14</v>
      </c>
      <c r="S31" s="665">
        <f t="shared" si="12"/>
        <v>100</v>
      </c>
      <c r="T31" s="664" t="s">
        <v>14</v>
      </c>
      <c r="U31" s="665">
        <f t="shared" si="13"/>
        <v>100</v>
      </c>
      <c r="V31" s="664" t="s">
        <v>14</v>
      </c>
      <c r="W31" s="665">
        <f t="shared" si="14"/>
        <v>100</v>
      </c>
      <c r="X31" s="666"/>
      <c r="Y31" s="345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55" t="s">
        <v>1696</v>
      </c>
      <c r="Q32" s="1263">
        <f t="shared" si="11"/>
        <v>111</v>
      </c>
      <c r="R32" s="667" t="s">
        <v>14</v>
      </c>
      <c r="S32" s="668">
        <f t="shared" si="12"/>
        <v>100</v>
      </c>
      <c r="T32" s="667" t="s">
        <v>14</v>
      </c>
      <c r="U32" s="668">
        <f t="shared" si="13"/>
        <v>100</v>
      </c>
      <c r="V32" s="667" t="s">
        <v>14</v>
      </c>
      <c r="W32" s="668">
        <f t="shared" si="14"/>
        <v>100</v>
      </c>
      <c r="X32" s="1265"/>
      <c r="Y32" s="345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55"/>
      <c r="Q33" s="1263">
        <f t="shared" si="11"/>
        <v>111</v>
      </c>
      <c r="R33" s="667" t="s">
        <v>14</v>
      </c>
      <c r="S33" s="668">
        <f t="shared" si="12"/>
        <v>100</v>
      </c>
      <c r="T33" s="667" t="s">
        <v>14</v>
      </c>
      <c r="U33" s="668">
        <f t="shared" si="13"/>
        <v>100</v>
      </c>
      <c r="V33" s="667" t="s">
        <v>14</v>
      </c>
      <c r="W33" s="668">
        <f t="shared" si="14"/>
        <v>100</v>
      </c>
      <c r="X33" s="1265"/>
      <c r="Y33" s="345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55"/>
      <c r="Q34" s="1263">
        <f t="shared" si="11"/>
        <v>111</v>
      </c>
      <c r="R34" s="667" t="s">
        <v>14</v>
      </c>
      <c r="S34" s="668">
        <f t="shared" si="12"/>
        <v>100</v>
      </c>
      <c r="T34" s="667" t="s">
        <v>14</v>
      </c>
      <c r="U34" s="668">
        <f t="shared" si="13"/>
        <v>100</v>
      </c>
      <c r="V34" s="667" t="s">
        <v>14</v>
      </c>
      <c r="W34" s="668">
        <f t="shared" si="14"/>
        <v>100</v>
      </c>
      <c r="X34" s="1265"/>
      <c r="Y34" s="345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49" t="str">
        <f>A35</f>
        <v>成交单价（元/平方米）</v>
      </c>
      <c r="Q35" s="3449"/>
      <c r="R35" s="3444">
        <f>E35</f>
        <v>0</v>
      </c>
      <c r="S35" s="3444"/>
      <c r="T35" s="3444">
        <f>G35</f>
        <v>0</v>
      </c>
      <c r="U35" s="3444"/>
      <c r="V35" s="3444">
        <f>I35</f>
        <v>0</v>
      </c>
      <c r="W35" s="344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49" t="str">
        <f>A36</f>
        <v>比较价值（元/平方米）</v>
      </c>
      <c r="Q36" s="3449"/>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46" t="str">
        <f>A37</f>
        <v>估价对象XX用房的比较价值（楼面单价，元/平方米）</v>
      </c>
      <c r="Q37" s="3447"/>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7"/>
      <c r="M5" s="2488"/>
      <c r="N5" s="2488"/>
      <c r="O5" s="2488"/>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2487"/>
      <c r="M6" s="2488"/>
      <c r="N6" s="2488"/>
      <c r="O6" s="2488"/>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45826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49"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129</v>
      </c>
      <c r="G10" s="402"/>
      <c r="H10" s="119">
        <f>ROUND(100/'数据-取费表'!G16,0)</f>
        <v>129</v>
      </c>
      <c r="I10" s="402"/>
      <c r="J10" s="119">
        <f>ROUND(100/'数据-取费表'!G16,0)</f>
        <v>129</v>
      </c>
      <c r="K10" s="592"/>
      <c r="L10" s="2490"/>
      <c r="M10" s="2491"/>
      <c r="N10" s="2491"/>
      <c r="O10" s="2542"/>
      <c r="P10" s="3449"/>
      <c r="Q10" s="530" t="str">
        <f t="shared" si="6"/>
        <v>土地使用年限（年）</v>
      </c>
      <c r="R10" s="664" t="s">
        <v>14</v>
      </c>
      <c r="S10" s="665">
        <f t="shared" si="0"/>
        <v>129</v>
      </c>
      <c r="T10" s="664" t="s">
        <v>14</v>
      </c>
      <c r="U10" s="665">
        <f t="shared" si="1"/>
        <v>129</v>
      </c>
      <c r="V10" s="664" t="s">
        <v>14</v>
      </c>
      <c r="W10" s="665">
        <f t="shared" si="2"/>
        <v>129</v>
      </c>
      <c r="X10" s="666"/>
      <c r="Y10" s="3342"/>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49"/>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49"/>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49"/>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49"/>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50" t="s">
        <v>1691</v>
      </c>
      <c r="Q15" s="1263" t="str">
        <f t="shared" si="6"/>
        <v>居住社区成熟度</v>
      </c>
      <c r="R15" s="667" t="s">
        <v>14</v>
      </c>
      <c r="S15" s="668">
        <f t="shared" si="0"/>
        <v>100</v>
      </c>
      <c r="T15" s="667" t="s">
        <v>14</v>
      </c>
      <c r="U15" s="668">
        <f t="shared" si="1"/>
        <v>100</v>
      </c>
      <c r="V15" s="667" t="s">
        <v>14</v>
      </c>
      <c r="W15" s="668">
        <f t="shared" si="2"/>
        <v>100</v>
      </c>
      <c r="X15" s="1265"/>
      <c r="Y15" s="34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51"/>
      <c r="Q16" s="1263"/>
      <c r="R16" s="667"/>
      <c r="S16" s="668"/>
      <c r="T16" s="667"/>
      <c r="U16" s="668"/>
      <c r="V16" s="667"/>
      <c r="W16" s="668"/>
      <c r="X16" s="1265"/>
      <c r="Y16" s="345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51"/>
      <c r="Q17" s="1263" t="str">
        <f>B17</f>
        <v>商业繁华度</v>
      </c>
      <c r="R17" s="667" t="s">
        <v>14</v>
      </c>
      <c r="S17" s="668">
        <f>F17</f>
        <v>100</v>
      </c>
      <c r="T17" s="667" t="s">
        <v>14</v>
      </c>
      <c r="U17" s="668">
        <f>H17</f>
        <v>100</v>
      </c>
      <c r="V17" s="667" t="s">
        <v>14</v>
      </c>
      <c r="W17" s="668">
        <f>J17</f>
        <v>100</v>
      </c>
      <c r="X17" s="1265"/>
      <c r="Y17" s="34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51"/>
      <c r="Q18" s="1263"/>
      <c r="R18" s="667"/>
      <c r="S18" s="668"/>
      <c r="T18" s="667"/>
      <c r="U18" s="668"/>
      <c r="V18" s="667"/>
      <c r="W18" s="668"/>
      <c r="X18" s="1265"/>
      <c r="Y18" s="345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51"/>
      <c r="Q19" s="1263" t="str">
        <f>B19</f>
        <v>办公集聚程度</v>
      </c>
      <c r="R19" s="667" t="s">
        <v>14</v>
      </c>
      <c r="S19" s="668">
        <f>F19</f>
        <v>100</v>
      </c>
      <c r="T19" s="667" t="s">
        <v>14</v>
      </c>
      <c r="U19" s="668">
        <f>H19</f>
        <v>100</v>
      </c>
      <c r="V19" s="667" t="s">
        <v>14</v>
      </c>
      <c r="W19" s="668">
        <f>J19</f>
        <v>100</v>
      </c>
      <c r="X19" s="1265"/>
      <c r="Y19" s="34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51"/>
      <c r="Q20" s="1263"/>
      <c r="R20" s="667"/>
      <c r="S20" s="668"/>
      <c r="T20" s="667"/>
      <c r="U20" s="668"/>
      <c r="V20" s="667"/>
      <c r="W20" s="668"/>
      <c r="X20" s="1265"/>
      <c r="Y20" s="345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51"/>
      <c r="Q21" s="1263" t="str">
        <f>B21</f>
        <v>交通便捷度</v>
      </c>
      <c r="R21" s="667" t="s">
        <v>14</v>
      </c>
      <c r="S21" s="668">
        <f>F21</f>
        <v>100</v>
      </c>
      <c r="T21" s="667" t="s">
        <v>14</v>
      </c>
      <c r="U21" s="668">
        <f>H21</f>
        <v>100</v>
      </c>
      <c r="V21" s="667" t="s">
        <v>14</v>
      </c>
      <c r="W21" s="668">
        <f>J21</f>
        <v>100</v>
      </c>
      <c r="X21" s="1265"/>
      <c r="Y21" s="34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51"/>
      <c r="Q22" s="1263"/>
      <c r="R22" s="667"/>
      <c r="S22" s="668"/>
      <c r="T22" s="667"/>
      <c r="U22" s="668"/>
      <c r="V22" s="667"/>
      <c r="W22" s="668"/>
      <c r="X22" s="1265"/>
      <c r="Y22" s="345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51"/>
      <c r="Q23" s="1263" t="str">
        <f t="shared" ref="Q23:Q37" si="8">B23</f>
        <v>区域土地利用方向</v>
      </c>
      <c r="R23" s="667" t="s">
        <v>14</v>
      </c>
      <c r="S23" s="668">
        <f>F23</f>
        <v>100</v>
      </c>
      <c r="T23" s="667" t="s">
        <v>14</v>
      </c>
      <c r="U23" s="668">
        <f>H23</f>
        <v>100</v>
      </c>
      <c r="V23" s="667" t="s">
        <v>14</v>
      </c>
      <c r="W23" s="668">
        <f>J23</f>
        <v>100</v>
      </c>
      <c r="X23" s="1265"/>
      <c r="Y23" s="34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51"/>
      <c r="Q24" s="1263"/>
      <c r="R24" s="667"/>
      <c r="S24" s="668"/>
      <c r="T24" s="667"/>
      <c r="U24" s="668"/>
      <c r="V24" s="667"/>
      <c r="W24" s="668"/>
      <c r="X24" s="1265"/>
      <c r="Y24" s="345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51"/>
      <c r="Q25" s="1263" t="str">
        <f t="shared" si="8"/>
        <v>自然及人文环境状况</v>
      </c>
      <c r="R25" s="667" t="s">
        <v>14</v>
      </c>
      <c r="S25" s="668">
        <f>F25</f>
        <v>100</v>
      </c>
      <c r="T25" s="667" t="s">
        <v>14</v>
      </c>
      <c r="U25" s="668">
        <f>H25</f>
        <v>100</v>
      </c>
      <c r="V25" s="667" t="s">
        <v>14</v>
      </c>
      <c r="W25" s="668">
        <f>J25</f>
        <v>100</v>
      </c>
      <c r="X25" s="1265"/>
      <c r="Y25" s="34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51"/>
      <c r="Q26" s="1263"/>
      <c r="R26" s="667"/>
      <c r="S26" s="668"/>
      <c r="T26" s="667"/>
      <c r="U26" s="668"/>
      <c r="V26" s="667"/>
      <c r="W26" s="668"/>
      <c r="X26" s="1265"/>
      <c r="Y26" s="345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51"/>
      <c r="Q27" s="530" t="str">
        <f t="shared" si="8"/>
        <v>公共配套设施</v>
      </c>
      <c r="R27" s="664" t="s">
        <v>14</v>
      </c>
      <c r="S27" s="665">
        <f>F27</f>
        <v>100</v>
      </c>
      <c r="T27" s="664" t="s">
        <v>14</v>
      </c>
      <c r="U27" s="665">
        <f>H27</f>
        <v>100</v>
      </c>
      <c r="V27" s="664" t="s">
        <v>14</v>
      </c>
      <c r="W27" s="665">
        <f>J27</f>
        <v>100</v>
      </c>
      <c r="X27" s="666"/>
      <c r="Y27" s="34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51"/>
      <c r="Q28" s="530"/>
      <c r="R28" s="664"/>
      <c r="S28" s="665"/>
      <c r="T28" s="664"/>
      <c r="U28" s="665"/>
      <c r="V28" s="664"/>
      <c r="W28" s="665"/>
      <c r="X28" s="666"/>
      <c r="Y28" s="345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51"/>
      <c r="Q29" s="530" t="str">
        <f t="shared" ref="Q29" si="9">B29</f>
        <v>基础设施水平</v>
      </c>
      <c r="R29" s="664" t="s">
        <v>14</v>
      </c>
      <c r="S29" s="665">
        <f>F29</f>
        <v>100</v>
      </c>
      <c r="T29" s="664" t="s">
        <v>14</v>
      </c>
      <c r="U29" s="665">
        <f>H29</f>
        <v>100</v>
      </c>
      <c r="V29" s="664" t="s">
        <v>14</v>
      </c>
      <c r="W29" s="665">
        <f>J29</f>
        <v>100</v>
      </c>
      <c r="X29" s="666"/>
      <c r="Y29" s="34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51"/>
      <c r="Q30" s="530"/>
      <c r="R30" s="664"/>
      <c r="S30" s="665"/>
      <c r="T30" s="664"/>
      <c r="U30" s="665"/>
      <c r="V30" s="664"/>
      <c r="W30" s="665"/>
      <c r="X30" s="666"/>
      <c r="Y30" s="34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51"/>
      <c r="Q32" s="1263" t="str">
        <f t="shared" si="8"/>
        <v>毗邻道路的类型与等级</v>
      </c>
      <c r="R32" s="667" t="s">
        <v>14</v>
      </c>
      <c r="S32" s="668">
        <f t="shared" si="10"/>
        <v>100</v>
      </c>
      <c r="T32" s="667" t="s">
        <v>14</v>
      </c>
      <c r="U32" s="668">
        <f t="shared" si="11"/>
        <v>100</v>
      </c>
      <c r="V32" s="667" t="s">
        <v>14</v>
      </c>
      <c r="W32" s="668">
        <f t="shared" si="12"/>
        <v>100</v>
      </c>
      <c r="X32" s="1265"/>
      <c r="Y32" s="34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51"/>
      <c r="Q33" s="1263"/>
      <c r="R33" s="667"/>
      <c r="S33" s="668"/>
      <c r="T33" s="667"/>
      <c r="U33" s="668"/>
      <c r="V33" s="667"/>
      <c r="W33" s="668"/>
      <c r="X33" s="1265"/>
      <c r="Y33" s="34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51"/>
      <c r="Q34" s="1263" t="str">
        <f t="shared" si="8"/>
        <v>土地级别</v>
      </c>
      <c r="R34" s="667" t="s">
        <v>14</v>
      </c>
      <c r="S34" s="668">
        <f t="shared" si="10"/>
        <v>100</v>
      </c>
      <c r="T34" s="667" t="s">
        <v>14</v>
      </c>
      <c r="U34" s="668">
        <f t="shared" si="11"/>
        <v>100</v>
      </c>
      <c r="V34" s="667" t="s">
        <v>14</v>
      </c>
      <c r="W34" s="668">
        <f t="shared" si="12"/>
        <v>100</v>
      </c>
      <c r="X34" s="1265"/>
      <c r="Y34" s="34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51"/>
      <c r="Q35" s="1263">
        <f t="shared" si="8"/>
        <v>111</v>
      </c>
      <c r="R35" s="667" t="s">
        <v>14</v>
      </c>
      <c r="S35" s="668">
        <f t="shared" si="10"/>
        <v>100</v>
      </c>
      <c r="T35" s="667" t="s">
        <v>14</v>
      </c>
      <c r="U35" s="668">
        <f t="shared" si="11"/>
        <v>100</v>
      </c>
      <c r="V35" s="667" t="s">
        <v>14</v>
      </c>
      <c r="W35" s="668">
        <f t="shared" si="12"/>
        <v>100</v>
      </c>
      <c r="X35" s="1265"/>
      <c r="Y35" s="34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4" t="s">
        <v>1696</v>
      </c>
      <c r="Q36" s="1263">
        <f t="shared" si="8"/>
        <v>111</v>
      </c>
      <c r="R36" s="667" t="s">
        <v>14</v>
      </c>
      <c r="S36" s="668">
        <f t="shared" si="10"/>
        <v>100</v>
      </c>
      <c r="T36" s="667" t="s">
        <v>14</v>
      </c>
      <c r="U36" s="668">
        <f t="shared" si="11"/>
        <v>100</v>
      </c>
      <c r="V36" s="667" t="s">
        <v>14</v>
      </c>
      <c r="W36" s="668">
        <f t="shared" si="12"/>
        <v>100</v>
      </c>
      <c r="X36" s="1265"/>
      <c r="Y36" s="345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55"/>
      <c r="Q37" s="1263">
        <f t="shared" si="8"/>
        <v>111</v>
      </c>
      <c r="R37" s="669" t="s">
        <v>14</v>
      </c>
      <c r="S37" s="670">
        <f t="shared" si="10"/>
        <v>100</v>
      </c>
      <c r="T37" s="669" t="s">
        <v>14</v>
      </c>
      <c r="U37" s="670">
        <f t="shared" si="11"/>
        <v>100</v>
      </c>
      <c r="V37" s="669" t="s">
        <v>14</v>
      </c>
      <c r="W37" s="670">
        <f t="shared" si="12"/>
        <v>100</v>
      </c>
      <c r="X37" s="671"/>
      <c r="Y37" s="345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55"/>
      <c r="Q38" s="1263" t="str">
        <f>B38</f>
        <v>宗地面积</v>
      </c>
      <c r="R38" s="667" t="s">
        <v>14</v>
      </c>
      <c r="S38" s="668" t="e">
        <f t="shared" si="10"/>
        <v>#N/A</v>
      </c>
      <c r="T38" s="667" t="s">
        <v>14</v>
      </c>
      <c r="U38" s="668" t="e">
        <f t="shared" si="11"/>
        <v>#N/A</v>
      </c>
      <c r="V38" s="667" t="s">
        <v>14</v>
      </c>
      <c r="W38" s="668" t="e">
        <f t="shared" si="12"/>
        <v>#N/A</v>
      </c>
      <c r="X38" s="1265"/>
      <c r="Y38" s="34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55"/>
      <c r="Q39" s="1263" t="str">
        <f t="shared" ref="Q39:Q45" si="14">B39</f>
        <v>宗地形状</v>
      </c>
      <c r="R39" s="667" t="s">
        <v>14</v>
      </c>
      <c r="S39" s="668">
        <f t="shared" si="10"/>
        <v>100</v>
      </c>
      <c r="T39" s="667" t="s">
        <v>14</v>
      </c>
      <c r="U39" s="668">
        <f t="shared" si="11"/>
        <v>100</v>
      </c>
      <c r="V39" s="667" t="s">
        <v>14</v>
      </c>
      <c r="W39" s="668">
        <f t="shared" si="12"/>
        <v>100</v>
      </c>
      <c r="X39" s="1265"/>
      <c r="Y39" s="34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55"/>
      <c r="Q40" s="1263" t="str">
        <f t="shared" si="14"/>
        <v>临街宽度及深度</v>
      </c>
      <c r="R40" s="667" t="s">
        <v>14</v>
      </c>
      <c r="S40" s="668">
        <f t="shared" si="10"/>
        <v>100</v>
      </c>
      <c r="T40" s="667" t="s">
        <v>14</v>
      </c>
      <c r="U40" s="668">
        <f t="shared" si="11"/>
        <v>100</v>
      </c>
      <c r="V40" s="667" t="s">
        <v>14</v>
      </c>
      <c r="W40" s="668">
        <f t="shared" si="12"/>
        <v>100</v>
      </c>
      <c r="X40" s="1265"/>
      <c r="Y40" s="34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55"/>
      <c r="Q41" s="1263" t="str">
        <f t="shared" si="14"/>
        <v>宗地开发程度</v>
      </c>
      <c r="R41" s="664" t="s">
        <v>14</v>
      </c>
      <c r="S41" s="665">
        <f t="shared" si="10"/>
        <v>100</v>
      </c>
      <c r="T41" s="664" t="s">
        <v>14</v>
      </c>
      <c r="U41" s="665">
        <f t="shared" si="11"/>
        <v>100</v>
      </c>
      <c r="V41" s="664" t="s">
        <v>14</v>
      </c>
      <c r="W41" s="665">
        <f t="shared" si="12"/>
        <v>100</v>
      </c>
      <c r="X41" s="666"/>
      <c r="Y41" s="34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55" t="s">
        <v>1696</v>
      </c>
      <c r="Q42" s="1263" t="str">
        <f t="shared" si="14"/>
        <v>工程地质条件</v>
      </c>
      <c r="R42" s="667" t="s">
        <v>14</v>
      </c>
      <c r="S42" s="668">
        <f t="shared" si="10"/>
        <v>100</v>
      </c>
      <c r="T42" s="667" t="s">
        <v>14</v>
      </c>
      <c r="U42" s="668">
        <f t="shared" si="11"/>
        <v>100</v>
      </c>
      <c r="V42" s="667" t="s">
        <v>14</v>
      </c>
      <c r="W42" s="668">
        <f t="shared" si="12"/>
        <v>100</v>
      </c>
      <c r="X42" s="1265"/>
      <c r="Y42" s="34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55"/>
      <c r="Q43" s="1263">
        <f t="shared" si="14"/>
        <v>111</v>
      </c>
      <c r="R43" s="667" t="s">
        <v>14</v>
      </c>
      <c r="S43" s="668">
        <f t="shared" si="10"/>
        <v>100</v>
      </c>
      <c r="T43" s="667" t="s">
        <v>14</v>
      </c>
      <c r="U43" s="668">
        <f t="shared" si="11"/>
        <v>100</v>
      </c>
      <c r="V43" s="667" t="s">
        <v>14</v>
      </c>
      <c r="W43" s="668">
        <f t="shared" si="12"/>
        <v>100</v>
      </c>
      <c r="X43" s="1265"/>
      <c r="Y43" s="34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55"/>
      <c r="Q44" s="1263">
        <f t="shared" si="14"/>
        <v>111</v>
      </c>
      <c r="R44" s="667" t="s">
        <v>14</v>
      </c>
      <c r="S44" s="668">
        <f t="shared" si="10"/>
        <v>100</v>
      </c>
      <c r="T44" s="667" t="s">
        <v>14</v>
      </c>
      <c r="U44" s="668">
        <f t="shared" si="11"/>
        <v>100</v>
      </c>
      <c r="V44" s="667" t="s">
        <v>14</v>
      </c>
      <c r="W44" s="668">
        <f t="shared" si="12"/>
        <v>100</v>
      </c>
      <c r="X44" s="1265"/>
      <c r="Y44" s="345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55"/>
      <c r="Q45" s="1263">
        <f t="shared" si="14"/>
        <v>111</v>
      </c>
      <c r="R45" s="669" t="s">
        <v>14</v>
      </c>
      <c r="S45" s="670">
        <f t="shared" si="10"/>
        <v>100</v>
      </c>
      <c r="T45" s="669" t="s">
        <v>14</v>
      </c>
      <c r="U45" s="670">
        <f t="shared" si="11"/>
        <v>100</v>
      </c>
      <c r="V45" s="669" t="s">
        <v>14</v>
      </c>
      <c r="W45" s="670">
        <f t="shared" si="12"/>
        <v>100</v>
      </c>
      <c r="X45" s="671"/>
      <c r="Y45" s="345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49" t="str">
        <f>A46</f>
        <v>成交单价</v>
      </c>
      <c r="Q46" s="3449"/>
      <c r="R46" s="3444">
        <f>E46</f>
        <v>0</v>
      </c>
      <c r="S46" s="3444"/>
      <c r="T46" s="3444">
        <f>G46</f>
        <v>0</v>
      </c>
      <c r="U46" s="3444"/>
      <c r="V46" s="3444">
        <f>I46</f>
        <v>0</v>
      </c>
      <c r="W46" s="344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49" t="str">
        <f>A47</f>
        <v>比较价值（元/平方米）</v>
      </c>
      <c r="Q47" s="3449"/>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46" t="str">
        <f>A48</f>
        <v>估价对象XX用房的比较价值（楼面单价，元/平方米）</v>
      </c>
      <c r="Q48" s="3447"/>
      <c r="R48" s="3477" t="e">
        <f>ROUND(IF(D47="简单平均",AVERAGE(R47:W47),R47*F47+T47*H47+V47*J47),0)</f>
        <v>#DIV/0!</v>
      </c>
      <c r="S48" s="3477"/>
      <c r="T48" s="3477"/>
      <c r="U48" s="3477"/>
      <c r="V48" s="3477"/>
      <c r="W48" s="347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32" t="s">
        <v>1887</v>
      </c>
      <c r="H55" s="347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31263.109999999997</v>
      </c>
      <c r="F56" s="833" t="e">
        <f t="shared" ref="F56:F64" si="15">ROUND(B56*E56/10000,0)</f>
        <v>#DIV/0!</v>
      </c>
      <c r="G56" s="3431"/>
      <c r="H56" s="344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一级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一级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一级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10607.59</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41870.699999999997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"北京市平均增长率"&amp;TEXT(SUMIF(基准地价修正办公!N25:N29,A70,基准地价修正办公!P25:P29),"0.00%")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f ca="1">结果表!H101</f>
        <v>175531</v>
      </c>
    </row>
    <row r="6" spans="1:5" ht="15.75">
      <c r="B6" s="3177"/>
      <c r="C6" s="1392" t="s">
        <v>911</v>
      </c>
      <c r="D6" s="797" t="str">
        <f ca="1">NUMBERSTRING(INT(D5*10000),2)&amp;"元整"</f>
        <v>壹拾柒亿伍仟伍佰叁拾壹万元整</v>
      </c>
    </row>
    <row r="7" spans="1:5" ht="15.75">
      <c r="B7" s="3182"/>
      <c r="C7" s="1393" t="s">
        <v>912</v>
      </c>
      <c r="D7" s="798">
        <f ca="1">结果表!H102</f>
        <v>38003</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f ca="1">结果表!H107</f>
        <v>175531</v>
      </c>
    </row>
    <row r="14" spans="1:5" ht="15.75">
      <c r="B14" s="3177"/>
      <c r="C14" s="1392" t="s">
        <v>911</v>
      </c>
      <c r="D14" s="797" t="str">
        <f ca="1">NUMBERSTRING(INT(D13*10000),2)&amp;"元整"</f>
        <v>壹拾柒亿伍仟伍佰叁拾壹万元整</v>
      </c>
    </row>
    <row r="15" spans="1:5" ht="15">
      <c r="B15" s="3182"/>
      <c r="C15" s="1393" t="s">
        <v>921</v>
      </c>
      <c r="D15" s="806">
        <f ca="1">结果表!H108</f>
        <v>38003</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7"/>
      <c r="M4" s="2488"/>
      <c r="N4" s="2488"/>
      <c r="O4" s="2488"/>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7"/>
      <c r="M5" s="2488"/>
      <c r="N5" s="2488"/>
      <c r="O5" s="2488"/>
      <c r="P5" s="3438"/>
      <c r="Q5" s="3439"/>
      <c r="R5" s="3421"/>
      <c r="S5" s="3422"/>
      <c r="T5" s="3421"/>
      <c r="U5" s="3422"/>
      <c r="V5" s="3444"/>
      <c r="W5" s="3444"/>
      <c r="X5" s="1265"/>
      <c r="Y5" s="3421"/>
      <c r="Z5" s="3422"/>
      <c r="AA5" s="3415"/>
      <c r="AB5" s="3415"/>
      <c r="AC5" s="3415"/>
    </row>
    <row r="6" spans="1:29" ht="15.75" thickBot="1">
      <c r="A6" s="350"/>
      <c r="B6" s="351"/>
      <c r="C6" s="3479" t="s">
        <v>1919</v>
      </c>
      <c r="D6" s="3480"/>
      <c r="E6" s="3481" t="s">
        <v>1919</v>
      </c>
      <c r="F6" s="3482"/>
      <c r="G6" s="3479" t="s">
        <v>1919</v>
      </c>
      <c r="H6" s="3480"/>
      <c r="I6" s="3479" t="s">
        <v>1919</v>
      </c>
      <c r="J6" s="3480"/>
      <c r="K6" s="537" t="s">
        <v>1678</v>
      </c>
      <c r="L6" s="2487"/>
      <c r="M6" s="2488"/>
      <c r="N6" s="2488"/>
      <c r="O6" s="2488"/>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45826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49"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129</v>
      </c>
      <c r="G10" s="371"/>
      <c r="H10" s="119">
        <f>ROUND(100/'数据-取费表'!G16,0)</f>
        <v>129</v>
      </c>
      <c r="I10" s="371"/>
      <c r="J10" s="119">
        <f>ROUND(100/'数据-取费表'!G16,0)</f>
        <v>129</v>
      </c>
      <c r="K10" s="592"/>
      <c r="L10" s="2490"/>
      <c r="M10" s="2491"/>
      <c r="N10" s="2491"/>
      <c r="O10" s="2542"/>
      <c r="P10" s="3449"/>
      <c r="Q10" s="530" t="str">
        <f t="shared" si="6"/>
        <v>土地使用年限（年）</v>
      </c>
      <c r="R10" s="664" t="s">
        <v>14</v>
      </c>
      <c r="S10" s="665">
        <f t="shared" si="0"/>
        <v>129</v>
      </c>
      <c r="T10" s="664" t="s">
        <v>14</v>
      </c>
      <c r="U10" s="665">
        <f t="shared" si="1"/>
        <v>129</v>
      </c>
      <c r="V10" s="664" t="s">
        <v>14</v>
      </c>
      <c r="W10" s="665">
        <f t="shared" si="2"/>
        <v>129</v>
      </c>
      <c r="X10" s="666"/>
      <c r="Y10" s="3342"/>
      <c r="Z10" s="50" t="str">
        <f t="shared" si="7"/>
        <v>土地使用年限（年）</v>
      </c>
      <c r="AA10" s="50">
        <f t="shared" si="3"/>
        <v>0.77519379844961245</v>
      </c>
      <c r="AB10" s="50">
        <f t="shared" si="4"/>
        <v>0.77519379844961245</v>
      </c>
      <c r="AC10" s="50">
        <f t="shared" si="5"/>
        <v>0.77519379844961245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49"/>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49"/>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49"/>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49"/>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50" t="s">
        <v>1691</v>
      </c>
      <c r="Q15" s="1263" t="str">
        <f t="shared" si="6"/>
        <v>产业集聚程度</v>
      </c>
      <c r="R15" s="667" t="s">
        <v>14</v>
      </c>
      <c r="S15" s="668">
        <f t="shared" si="0"/>
        <v>100</v>
      </c>
      <c r="T15" s="667" t="s">
        <v>14</v>
      </c>
      <c r="U15" s="668">
        <f t="shared" si="1"/>
        <v>100</v>
      </c>
      <c r="V15" s="667" t="s">
        <v>14</v>
      </c>
      <c r="W15" s="668">
        <f t="shared" si="2"/>
        <v>100</v>
      </c>
      <c r="X15" s="1265"/>
      <c r="Y15" s="34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51"/>
      <c r="Q16" s="1263"/>
      <c r="R16" s="667"/>
      <c r="S16" s="668"/>
      <c r="T16" s="667"/>
      <c r="U16" s="668"/>
      <c r="V16" s="667"/>
      <c r="W16" s="668"/>
      <c r="X16" s="1265"/>
      <c r="Y16" s="345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51"/>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51"/>
      <c r="Q18" s="1263"/>
      <c r="R18" s="667"/>
      <c r="S18" s="668"/>
      <c r="T18" s="667"/>
      <c r="U18" s="668"/>
      <c r="V18" s="667"/>
      <c r="W18" s="668"/>
      <c r="X18" s="1265"/>
      <c r="Y18" s="345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51"/>
      <c r="Q19" s="1263" t="str">
        <f t="shared" ref="Q19:Q33" si="8">B19</f>
        <v>区域土地利用方向</v>
      </c>
      <c r="R19" s="667" t="s">
        <v>14</v>
      </c>
      <c r="S19" s="668">
        <f>F19</f>
        <v>100</v>
      </c>
      <c r="T19" s="667" t="s">
        <v>14</v>
      </c>
      <c r="U19" s="668">
        <f>H19</f>
        <v>100</v>
      </c>
      <c r="V19" s="667" t="s">
        <v>14</v>
      </c>
      <c r="W19" s="668">
        <f>J19</f>
        <v>100</v>
      </c>
      <c r="X19" s="1265"/>
      <c r="Y19" s="34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51"/>
      <c r="Q20" s="1263"/>
      <c r="R20" s="667"/>
      <c r="S20" s="668"/>
      <c r="T20" s="667"/>
      <c r="U20" s="668"/>
      <c r="V20" s="667"/>
      <c r="W20" s="668"/>
      <c r="X20" s="1265"/>
      <c r="Y20" s="345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51"/>
      <c r="Q21" s="1263" t="str">
        <f t="shared" si="8"/>
        <v>环境状况</v>
      </c>
      <c r="R21" s="667" t="s">
        <v>14</v>
      </c>
      <c r="S21" s="668">
        <f>F21</f>
        <v>100</v>
      </c>
      <c r="T21" s="667" t="s">
        <v>14</v>
      </c>
      <c r="U21" s="668">
        <f>H21</f>
        <v>100</v>
      </c>
      <c r="V21" s="667" t="s">
        <v>14</v>
      </c>
      <c r="W21" s="668">
        <f>J21</f>
        <v>100</v>
      </c>
      <c r="X21" s="1265"/>
      <c r="Y21" s="34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51"/>
      <c r="Q22" s="1263"/>
      <c r="R22" s="667"/>
      <c r="S22" s="668"/>
      <c r="T22" s="667"/>
      <c r="U22" s="668"/>
      <c r="V22" s="667"/>
      <c r="W22" s="668"/>
      <c r="X22" s="1265"/>
      <c r="Y22" s="345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51"/>
      <c r="Q23" s="530" t="str">
        <f t="shared" si="8"/>
        <v>公共配套设施</v>
      </c>
      <c r="R23" s="664" t="s">
        <v>14</v>
      </c>
      <c r="S23" s="665">
        <f>F23</f>
        <v>100</v>
      </c>
      <c r="T23" s="664" t="s">
        <v>14</v>
      </c>
      <c r="U23" s="665">
        <f>H23</f>
        <v>100</v>
      </c>
      <c r="V23" s="664" t="s">
        <v>14</v>
      </c>
      <c r="W23" s="665">
        <f>J23</f>
        <v>100</v>
      </c>
      <c r="X23" s="666"/>
      <c r="Y23" s="34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51"/>
      <c r="Q24" s="530"/>
      <c r="R24" s="664"/>
      <c r="S24" s="665"/>
      <c r="T24" s="664"/>
      <c r="U24" s="665"/>
      <c r="V24" s="664"/>
      <c r="W24" s="665"/>
      <c r="X24" s="666"/>
      <c r="Y24" s="345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51"/>
      <c r="Q25" s="530" t="str">
        <f t="shared" ref="Q25" si="9">B25</f>
        <v>基础设施水平</v>
      </c>
      <c r="R25" s="664" t="s">
        <v>14</v>
      </c>
      <c r="S25" s="665">
        <f>F25</f>
        <v>100</v>
      </c>
      <c r="T25" s="664" t="s">
        <v>14</v>
      </c>
      <c r="U25" s="665">
        <f>H25</f>
        <v>100</v>
      </c>
      <c r="V25" s="664" t="s">
        <v>14</v>
      </c>
      <c r="W25" s="665">
        <f>J25</f>
        <v>100</v>
      </c>
      <c r="X25" s="666"/>
      <c r="Y25" s="34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51"/>
      <c r="Q26" s="530"/>
      <c r="R26" s="664"/>
      <c r="S26" s="665"/>
      <c r="T26" s="664"/>
      <c r="U26" s="665"/>
      <c r="V26" s="664"/>
      <c r="W26" s="665"/>
      <c r="X26" s="666"/>
      <c r="Y26" s="34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51"/>
      <c r="Q28" s="1263" t="str">
        <f t="shared" si="8"/>
        <v>毗邻道路的类型与等级</v>
      </c>
      <c r="R28" s="667" t="s">
        <v>14</v>
      </c>
      <c r="S28" s="668">
        <f t="shared" si="10"/>
        <v>100</v>
      </c>
      <c r="T28" s="667" t="s">
        <v>14</v>
      </c>
      <c r="U28" s="668">
        <f t="shared" si="11"/>
        <v>100</v>
      </c>
      <c r="V28" s="667" t="s">
        <v>14</v>
      </c>
      <c r="W28" s="668">
        <f t="shared" si="12"/>
        <v>100</v>
      </c>
      <c r="X28" s="1265"/>
      <c r="Y28" s="34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51"/>
      <c r="Q29" s="1263"/>
      <c r="R29" s="667"/>
      <c r="S29" s="668"/>
      <c r="T29" s="667"/>
      <c r="U29" s="668"/>
      <c r="V29" s="667"/>
      <c r="W29" s="668"/>
      <c r="X29" s="1265"/>
      <c r="Y29" s="34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51"/>
      <c r="Q30" s="1263" t="str">
        <f t="shared" si="8"/>
        <v>土地级别</v>
      </c>
      <c r="R30" s="667" t="s">
        <v>14</v>
      </c>
      <c r="S30" s="668">
        <f t="shared" si="10"/>
        <v>100</v>
      </c>
      <c r="T30" s="667" t="s">
        <v>14</v>
      </c>
      <c r="U30" s="668">
        <f t="shared" si="11"/>
        <v>100</v>
      </c>
      <c r="V30" s="667" t="s">
        <v>14</v>
      </c>
      <c r="W30" s="668">
        <f t="shared" si="12"/>
        <v>100</v>
      </c>
      <c r="X30" s="1265"/>
      <c r="Y30" s="34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51"/>
      <c r="Q31" s="1263">
        <f t="shared" si="8"/>
        <v>111</v>
      </c>
      <c r="R31" s="667" t="s">
        <v>14</v>
      </c>
      <c r="S31" s="668">
        <f t="shared" si="10"/>
        <v>100</v>
      </c>
      <c r="T31" s="667" t="s">
        <v>14</v>
      </c>
      <c r="U31" s="668">
        <f t="shared" si="11"/>
        <v>100</v>
      </c>
      <c r="V31" s="667" t="s">
        <v>14</v>
      </c>
      <c r="W31" s="668">
        <f t="shared" si="12"/>
        <v>100</v>
      </c>
      <c r="X31" s="1265"/>
      <c r="Y31" s="34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4" t="s">
        <v>1696</v>
      </c>
      <c r="Q32" s="1263">
        <f t="shared" si="8"/>
        <v>111</v>
      </c>
      <c r="R32" s="667" t="s">
        <v>14</v>
      </c>
      <c r="S32" s="668">
        <f t="shared" si="10"/>
        <v>100</v>
      </c>
      <c r="T32" s="667" t="s">
        <v>14</v>
      </c>
      <c r="U32" s="668">
        <f t="shared" si="11"/>
        <v>100</v>
      </c>
      <c r="V32" s="667" t="s">
        <v>14</v>
      </c>
      <c r="W32" s="668">
        <f t="shared" si="12"/>
        <v>100</v>
      </c>
      <c r="X32" s="1265"/>
      <c r="Y32" s="345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55"/>
      <c r="Q33" s="1263">
        <f t="shared" si="8"/>
        <v>111</v>
      </c>
      <c r="R33" s="669" t="s">
        <v>14</v>
      </c>
      <c r="S33" s="670">
        <f t="shared" si="10"/>
        <v>100</v>
      </c>
      <c r="T33" s="669" t="s">
        <v>14</v>
      </c>
      <c r="U33" s="670">
        <f t="shared" si="11"/>
        <v>100</v>
      </c>
      <c r="V33" s="669" t="s">
        <v>14</v>
      </c>
      <c r="W33" s="670">
        <f t="shared" si="12"/>
        <v>100</v>
      </c>
      <c r="X33" s="671"/>
      <c r="Y33" s="34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55"/>
      <c r="Q34" s="1263" t="str">
        <f>B34</f>
        <v>宗地面积</v>
      </c>
      <c r="R34" s="667" t="s">
        <v>14</v>
      </c>
      <c r="S34" s="668" t="e">
        <f t="shared" si="10"/>
        <v>#N/A</v>
      </c>
      <c r="T34" s="667" t="s">
        <v>14</v>
      </c>
      <c r="U34" s="668" t="e">
        <f t="shared" si="11"/>
        <v>#N/A</v>
      </c>
      <c r="V34" s="667" t="s">
        <v>14</v>
      </c>
      <c r="W34" s="668" t="e">
        <f t="shared" si="12"/>
        <v>#N/A</v>
      </c>
      <c r="X34" s="1265"/>
      <c r="Y34" s="34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55"/>
      <c r="Q35" s="1263" t="str">
        <f t="shared" ref="Q35:Q40" si="14">B35</f>
        <v>宗地形状</v>
      </c>
      <c r="R35" s="667" t="s">
        <v>14</v>
      </c>
      <c r="S35" s="668">
        <f t="shared" si="10"/>
        <v>100</v>
      </c>
      <c r="T35" s="667" t="s">
        <v>14</v>
      </c>
      <c r="U35" s="668">
        <f t="shared" si="11"/>
        <v>100</v>
      </c>
      <c r="V35" s="667" t="s">
        <v>14</v>
      </c>
      <c r="W35" s="668">
        <f t="shared" si="12"/>
        <v>100</v>
      </c>
      <c r="X35" s="1265"/>
      <c r="Y35" s="34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55"/>
      <c r="Q36" s="1263" t="str">
        <f t="shared" si="14"/>
        <v>宗地开发程度</v>
      </c>
      <c r="R36" s="664" t="s">
        <v>14</v>
      </c>
      <c r="S36" s="665">
        <f t="shared" si="10"/>
        <v>100</v>
      </c>
      <c r="T36" s="664" t="s">
        <v>14</v>
      </c>
      <c r="U36" s="665">
        <f t="shared" si="11"/>
        <v>100</v>
      </c>
      <c r="V36" s="664" t="s">
        <v>14</v>
      </c>
      <c r="W36" s="665">
        <f t="shared" si="12"/>
        <v>100</v>
      </c>
      <c r="X36" s="666"/>
      <c r="Y36" s="34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55" t="s">
        <v>1696</v>
      </c>
      <c r="Q37" s="1263" t="str">
        <f t="shared" si="14"/>
        <v>工程地质条件</v>
      </c>
      <c r="R37" s="667" t="s">
        <v>14</v>
      </c>
      <c r="S37" s="668">
        <f t="shared" si="10"/>
        <v>100</v>
      </c>
      <c r="T37" s="667" t="s">
        <v>14</v>
      </c>
      <c r="U37" s="668">
        <f t="shared" si="11"/>
        <v>100</v>
      </c>
      <c r="V37" s="667" t="s">
        <v>14</v>
      </c>
      <c r="W37" s="668">
        <f t="shared" si="12"/>
        <v>100</v>
      </c>
      <c r="X37" s="1265"/>
      <c r="Y37" s="34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55"/>
      <c r="Q38" s="1263">
        <f t="shared" si="14"/>
        <v>111</v>
      </c>
      <c r="R38" s="667" t="s">
        <v>14</v>
      </c>
      <c r="S38" s="668">
        <f t="shared" si="10"/>
        <v>100</v>
      </c>
      <c r="T38" s="667" t="s">
        <v>14</v>
      </c>
      <c r="U38" s="668">
        <f t="shared" si="11"/>
        <v>100</v>
      </c>
      <c r="V38" s="667" t="s">
        <v>14</v>
      </c>
      <c r="W38" s="668">
        <f t="shared" si="12"/>
        <v>100</v>
      </c>
      <c r="X38" s="1265"/>
      <c r="Y38" s="34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55"/>
      <c r="Q39" s="1263">
        <f t="shared" si="14"/>
        <v>111</v>
      </c>
      <c r="R39" s="667" t="s">
        <v>14</v>
      </c>
      <c r="S39" s="668">
        <f t="shared" si="10"/>
        <v>100</v>
      </c>
      <c r="T39" s="667" t="s">
        <v>14</v>
      </c>
      <c r="U39" s="668">
        <f t="shared" si="11"/>
        <v>100</v>
      </c>
      <c r="V39" s="667" t="s">
        <v>14</v>
      </c>
      <c r="W39" s="668">
        <f t="shared" si="12"/>
        <v>100</v>
      </c>
      <c r="X39" s="1265"/>
      <c r="Y39" s="345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55"/>
      <c r="Q40" s="1263">
        <f t="shared" si="14"/>
        <v>111</v>
      </c>
      <c r="R40" s="669" t="s">
        <v>14</v>
      </c>
      <c r="S40" s="670">
        <f t="shared" si="10"/>
        <v>100</v>
      </c>
      <c r="T40" s="669" t="s">
        <v>14</v>
      </c>
      <c r="U40" s="670">
        <f t="shared" si="11"/>
        <v>100</v>
      </c>
      <c r="V40" s="669" t="s">
        <v>14</v>
      </c>
      <c r="W40" s="670">
        <f t="shared" si="12"/>
        <v>100</v>
      </c>
      <c r="X40" s="671"/>
      <c r="Y40" s="345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49" t="str">
        <f>A41</f>
        <v>成交单价</v>
      </c>
      <c r="Q41" s="3449"/>
      <c r="R41" s="3444">
        <f>E41</f>
        <v>0</v>
      </c>
      <c r="S41" s="3444"/>
      <c r="T41" s="3444">
        <f>G41</f>
        <v>0</v>
      </c>
      <c r="U41" s="3444"/>
      <c r="V41" s="3444">
        <f>I41</f>
        <v>0</v>
      </c>
      <c r="W41" s="344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49" t="str">
        <f>A42</f>
        <v>比较价值（元/平方米）</v>
      </c>
      <c r="Q42" s="3449"/>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6" t="str">
        <f>A43</f>
        <v>估价对象XX用房的比较价值（楼面单价，元/平方米）</v>
      </c>
      <c r="Q43" s="3447"/>
      <c r="R43" s="3477" t="e">
        <f>ROUND(IF(D42="简单平均",AVERAGE(R42:W42),R42*F42+T42*H42+V42*J42),0)</f>
        <v>#DIV/0!</v>
      </c>
      <c r="S43" s="3477"/>
      <c r="T43" s="3477"/>
      <c r="U43" s="3477"/>
      <c r="V43" s="3477"/>
      <c r="W43" s="347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32" t="s">
        <v>1887</v>
      </c>
      <c r="H50" s="347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31263.109999999997</v>
      </c>
      <c r="F51" s="611" t="e">
        <f t="shared" ref="F51:F60" si="15">ROUND(B51*E51/10000,0)</f>
        <v>#DIV/0!</v>
      </c>
      <c r="G51" s="3431"/>
      <c r="H51" s="344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一级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一级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一级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10607.59</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5746.62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"北京市平均增长率"&amp;TEXT(基准地价修正办公!P28,"0.00%")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86" t="s">
        <v>2083</v>
      </c>
      <c r="D1" s="3487"/>
      <c r="E1" s="3487"/>
      <c r="F1" s="3487"/>
      <c r="G1" s="3487"/>
      <c r="H1" s="3487"/>
      <c r="I1" s="3487"/>
      <c r="J1" s="3487"/>
      <c r="K1" s="3487"/>
      <c r="L1" s="3487"/>
      <c r="M1" s="3487"/>
      <c r="N1" s="3487"/>
      <c r="O1" s="3487"/>
      <c r="P1" s="3487"/>
      <c r="Q1" s="3487"/>
      <c r="R1" s="3487"/>
      <c r="S1" s="3488"/>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96" t="s">
        <v>2606</v>
      </c>
      <c r="B20" s="3489" t="s">
        <v>2627</v>
      </c>
      <c r="C20" s="2843" t="s">
        <v>2438</v>
      </c>
      <c r="D20" s="2844"/>
      <c r="E20" s="2845">
        <v>1</v>
      </c>
      <c r="F20" s="2846" t="s">
        <v>2439</v>
      </c>
      <c r="G20" s="2846"/>
    </row>
    <row r="21" spans="1:13" ht="19.5" customHeight="1">
      <c r="A21" s="3497"/>
      <c r="B21" s="3490"/>
      <c r="C21" s="2847" t="s">
        <v>2440</v>
      </c>
      <c r="D21" s="2848"/>
      <c r="E21" s="2849">
        <v>1</v>
      </c>
      <c r="F21" s="2846" t="s">
        <v>2441</v>
      </c>
      <c r="G21" s="2846"/>
    </row>
    <row r="22" spans="1:13" ht="19.5" customHeight="1">
      <c r="A22" s="3497"/>
      <c r="B22" s="3490"/>
      <c r="C22" s="2847" t="s">
        <v>2442</v>
      </c>
      <c r="D22" s="2848"/>
      <c r="E22" s="2849">
        <v>0.9</v>
      </c>
      <c r="F22" s="2846" t="s">
        <v>2443</v>
      </c>
      <c r="G22" s="2846"/>
    </row>
    <row r="23" spans="1:13" ht="19.5" customHeight="1">
      <c r="A23" s="3497"/>
      <c r="B23" s="3490"/>
      <c r="C23" s="2847" t="s">
        <v>2444</v>
      </c>
      <c r="D23" s="2848"/>
      <c r="E23" s="2849">
        <v>0.9</v>
      </c>
      <c r="F23" s="2846" t="s">
        <v>2445</v>
      </c>
      <c r="G23" s="2846"/>
    </row>
    <row r="24" spans="1:13" ht="19.5" customHeight="1">
      <c r="A24" s="3497"/>
      <c r="B24" s="3490"/>
      <c r="C24" s="2847" t="s">
        <v>2446</v>
      </c>
      <c r="D24" s="2848"/>
      <c r="E24" s="2849">
        <v>0.8</v>
      </c>
      <c r="F24" s="2846" t="s">
        <v>2447</v>
      </c>
      <c r="G24" s="2846"/>
    </row>
    <row r="25" spans="1:13" ht="19.5" customHeight="1" thickBot="1">
      <c r="A25" s="3498"/>
      <c r="B25" s="3491"/>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92" t="s">
        <v>2630</v>
      </c>
      <c r="B27" s="3489" t="s">
        <v>2611</v>
      </c>
      <c r="C27" s="2843" t="s">
        <v>2451</v>
      </c>
      <c r="D27" s="2844"/>
      <c r="E27" s="2845">
        <v>1</v>
      </c>
      <c r="F27" s="2846" t="s">
        <v>2452</v>
      </c>
      <c r="G27" s="2846"/>
    </row>
    <row r="28" spans="1:13" ht="19.5" customHeight="1">
      <c r="A28" s="3493"/>
      <c r="B28" s="3490"/>
      <c r="C28" s="2847" t="s">
        <v>2453</v>
      </c>
      <c r="D28" s="2848"/>
      <c r="E28" s="2849">
        <v>1</v>
      </c>
      <c r="F28" s="2846" t="s">
        <v>2454</v>
      </c>
      <c r="G28" s="2846"/>
    </row>
    <row r="29" spans="1:13" ht="19.5" customHeight="1">
      <c r="A29" s="3493"/>
      <c r="B29" s="3490"/>
      <c r="C29" s="2847" t="s">
        <v>2455</v>
      </c>
      <c r="D29" s="2848"/>
      <c r="E29" s="2849">
        <v>0.8</v>
      </c>
      <c r="F29" s="2846" t="s">
        <v>2456</v>
      </c>
      <c r="G29" s="2846"/>
    </row>
    <row r="30" spans="1:13" ht="19.5" customHeight="1">
      <c r="A30" s="3493"/>
      <c r="B30" s="3490"/>
      <c r="C30" s="2847" t="s">
        <v>2457</v>
      </c>
      <c r="D30" s="2848"/>
      <c r="E30" s="2849">
        <v>0.8</v>
      </c>
      <c r="F30" s="2846" t="s">
        <v>2458</v>
      </c>
      <c r="G30" s="2846"/>
    </row>
    <row r="31" spans="1:13" ht="19.5" customHeight="1">
      <c r="A31" s="3493"/>
      <c r="B31" s="3490"/>
      <c r="C31" s="2847" t="s">
        <v>2459</v>
      </c>
      <c r="D31" s="2848"/>
      <c r="E31" s="2849">
        <v>0.8</v>
      </c>
      <c r="F31" s="2846" t="s">
        <v>2460</v>
      </c>
      <c r="G31" s="2846"/>
    </row>
    <row r="32" spans="1:13" ht="19.5" customHeight="1">
      <c r="A32" s="3493"/>
      <c r="B32" s="3490"/>
      <c r="C32" s="2847" t="s">
        <v>2461</v>
      </c>
      <c r="D32" s="2848"/>
      <c r="E32" s="2849">
        <v>0.7</v>
      </c>
      <c r="F32" s="2846" t="s">
        <v>2462</v>
      </c>
      <c r="G32" s="2846"/>
    </row>
    <row r="33" spans="1:7" ht="19.5" customHeight="1">
      <c r="A33" s="3493"/>
      <c r="B33" s="3490"/>
      <c r="C33" s="2847" t="s">
        <v>2463</v>
      </c>
      <c r="D33" s="2848"/>
      <c r="E33" s="2849">
        <v>0.8</v>
      </c>
      <c r="F33" s="2846" t="s">
        <v>2464</v>
      </c>
      <c r="G33" s="2846"/>
    </row>
    <row r="34" spans="1:7" ht="19.5" customHeight="1">
      <c r="A34" s="3493"/>
      <c r="B34" s="3490"/>
      <c r="C34" s="2847" t="s">
        <v>2465</v>
      </c>
      <c r="D34" s="2848"/>
      <c r="E34" s="2849">
        <v>0.6</v>
      </c>
      <c r="F34" s="2846" t="s">
        <v>2466</v>
      </c>
      <c r="G34" s="2846"/>
    </row>
    <row r="35" spans="1:7" ht="19.5" customHeight="1">
      <c r="A35" s="3493"/>
      <c r="B35" s="3490"/>
      <c r="C35" s="2847" t="s">
        <v>2467</v>
      </c>
      <c r="D35" s="2848"/>
      <c r="E35" s="2849">
        <v>0.2</v>
      </c>
      <c r="F35" s="2846" t="s">
        <v>2468</v>
      </c>
      <c r="G35" s="2846"/>
    </row>
    <row r="36" spans="1:7" ht="19.5" customHeight="1">
      <c r="A36" s="3493"/>
      <c r="B36" s="3490"/>
      <c r="C36" s="2847" t="s">
        <v>2469</v>
      </c>
      <c r="D36" s="2848"/>
      <c r="E36" s="2849">
        <v>0.2</v>
      </c>
      <c r="F36" s="2846" t="s">
        <v>2470</v>
      </c>
      <c r="G36" s="2846"/>
    </row>
    <row r="37" spans="1:7" ht="19.5" customHeight="1">
      <c r="A37" s="3493"/>
      <c r="B37" s="3495" t="s">
        <v>2631</v>
      </c>
      <c r="C37" s="2847" t="s">
        <v>2471</v>
      </c>
      <c r="D37" s="2848"/>
      <c r="E37" s="2849">
        <v>0.6</v>
      </c>
      <c r="F37" s="2846" t="s">
        <v>2472</v>
      </c>
      <c r="G37" s="2846"/>
    </row>
    <row r="38" spans="1:7" ht="19.5" customHeight="1">
      <c r="A38" s="3493"/>
      <c r="B38" s="3490"/>
      <c r="C38" s="2847" t="s">
        <v>2473</v>
      </c>
      <c r="D38" s="2848"/>
      <c r="E38" s="2849">
        <v>0.6</v>
      </c>
      <c r="F38" s="2846" t="s">
        <v>2474</v>
      </c>
      <c r="G38" s="2846"/>
    </row>
    <row r="39" spans="1:7" ht="19.5" customHeight="1" thickBot="1">
      <c r="A39" s="3494"/>
      <c r="B39" s="3491"/>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96" t="s">
        <v>2609</v>
      </c>
      <c r="B41" s="3489" t="s">
        <v>2633</v>
      </c>
      <c r="C41" s="2843" t="s">
        <v>2478</v>
      </c>
      <c r="D41" s="2844"/>
      <c r="E41" s="2845">
        <v>1</v>
      </c>
      <c r="F41" s="2846" t="s">
        <v>2479</v>
      </c>
      <c r="G41" s="2846"/>
    </row>
    <row r="42" spans="1:7" ht="19.5" customHeight="1">
      <c r="A42" s="3497"/>
      <c r="B42" s="3490"/>
      <c r="C42" s="2847" t="s">
        <v>2480</v>
      </c>
      <c r="D42" s="2848"/>
      <c r="E42" s="2849">
        <v>1</v>
      </c>
      <c r="F42" s="2846" t="s">
        <v>2481</v>
      </c>
      <c r="G42" s="2846"/>
    </row>
    <row r="43" spans="1:7" ht="19.5" customHeight="1">
      <c r="A43" s="3497"/>
      <c r="B43" s="3499"/>
      <c r="C43" s="2847" t="s">
        <v>2482</v>
      </c>
      <c r="D43" s="2848"/>
      <c r="E43" s="2849">
        <v>1.5</v>
      </c>
      <c r="F43" s="2846" t="s">
        <v>2483</v>
      </c>
      <c r="G43" s="2846"/>
    </row>
    <row r="44" spans="1:7" ht="19.5" customHeight="1">
      <c r="A44" s="3497"/>
      <c r="B44" s="2858" t="s">
        <v>2634</v>
      </c>
      <c r="C44" s="2847" t="s">
        <v>2635</v>
      </c>
      <c r="D44" s="2848"/>
      <c r="E44" s="2849">
        <v>2</v>
      </c>
      <c r="F44" s="2846" t="s">
        <v>2484</v>
      </c>
      <c r="G44" s="2846"/>
    </row>
    <row r="45" spans="1:7" ht="19.5" customHeight="1">
      <c r="A45" s="3497"/>
      <c r="B45" s="3495" t="s">
        <v>2636</v>
      </c>
      <c r="C45" s="2847" t="s">
        <v>2485</v>
      </c>
      <c r="D45" s="2848"/>
      <c r="E45" s="2849">
        <v>1</v>
      </c>
      <c r="F45" s="2846" t="s">
        <v>2486</v>
      </c>
      <c r="G45" s="2846"/>
    </row>
    <row r="46" spans="1:7" ht="19.5" customHeight="1">
      <c r="A46" s="3497"/>
      <c r="B46" s="3490"/>
      <c r="C46" s="2847" t="s">
        <v>2487</v>
      </c>
      <c r="D46" s="2848"/>
      <c r="E46" s="2849">
        <v>1</v>
      </c>
      <c r="F46" s="2846" t="s">
        <v>2488</v>
      </c>
      <c r="G46" s="2846"/>
    </row>
    <row r="47" spans="1:7" ht="19.5" customHeight="1">
      <c r="A47" s="3497"/>
      <c r="B47" s="3490"/>
      <c r="C47" s="2847" t="s">
        <v>2489</v>
      </c>
      <c r="D47" s="2848"/>
      <c r="E47" s="2849">
        <v>1</v>
      </c>
      <c r="F47" s="2846" t="s">
        <v>2490</v>
      </c>
      <c r="G47" s="2846"/>
    </row>
    <row r="48" spans="1:7" ht="19.5" customHeight="1">
      <c r="A48" s="3497"/>
      <c r="B48" s="3490"/>
      <c r="C48" s="2847" t="s">
        <v>2491</v>
      </c>
      <c r="D48" s="2848"/>
      <c r="E48" s="2849">
        <v>1</v>
      </c>
      <c r="F48" s="2846" t="s">
        <v>2492</v>
      </c>
      <c r="G48" s="2846"/>
    </row>
    <row r="49" spans="1:7" ht="19.5" customHeight="1">
      <c r="A49" s="3497"/>
      <c r="B49" s="3490"/>
      <c r="C49" s="2847" t="s">
        <v>2493</v>
      </c>
      <c r="D49" s="2848"/>
      <c r="E49" s="2849">
        <v>1</v>
      </c>
      <c r="F49" s="2846" t="s">
        <v>2494</v>
      </c>
      <c r="G49" s="2846"/>
    </row>
    <row r="50" spans="1:7" ht="19.5" customHeight="1">
      <c r="A50" s="3497"/>
      <c r="B50" s="3490"/>
      <c r="C50" s="2847" t="s">
        <v>2495</v>
      </c>
      <c r="D50" s="2848"/>
      <c r="E50" s="2849">
        <v>1</v>
      </c>
      <c r="F50" s="2846" t="s">
        <v>2496</v>
      </c>
      <c r="G50" s="2846"/>
    </row>
    <row r="51" spans="1:7" ht="19.5" customHeight="1" thickBot="1">
      <c r="A51" s="3498"/>
      <c r="B51" s="3491"/>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95" t="s">
        <v>2650</v>
      </c>
      <c r="C73" s="2832" t="s">
        <v>2651</v>
      </c>
      <c r="D73" s="2832" t="s">
        <v>2652</v>
      </c>
      <c r="E73" s="2858">
        <v>0.2</v>
      </c>
      <c r="F73" s="2858">
        <v>25</v>
      </c>
    </row>
    <row r="74" spans="1:7" ht="24">
      <c r="A74" s="2858">
        <v>2</v>
      </c>
      <c r="B74" s="3490"/>
      <c r="C74" s="2832" t="s">
        <v>2653</v>
      </c>
      <c r="D74" s="2832" t="s">
        <v>2654</v>
      </c>
      <c r="E74" s="2858">
        <v>0.2</v>
      </c>
      <c r="F74" s="2858">
        <v>25</v>
      </c>
    </row>
    <row r="75" spans="1:7" ht="24">
      <c r="A75" s="2858">
        <v>3</v>
      </c>
      <c r="B75" s="3490"/>
      <c r="C75" s="2832" t="s">
        <v>2655</v>
      </c>
      <c r="D75" s="2832" t="s">
        <v>2656</v>
      </c>
      <c r="E75" s="2858">
        <v>0.2</v>
      </c>
      <c r="F75" s="2858">
        <v>25</v>
      </c>
    </row>
    <row r="76" spans="1:7" ht="13.5">
      <c r="A76" s="2858">
        <v>4</v>
      </c>
      <c r="B76" s="3490"/>
      <c r="C76" s="2832" t="s">
        <v>2657</v>
      </c>
      <c r="D76" s="2832" t="s">
        <v>2658</v>
      </c>
      <c r="E76" s="2858">
        <v>0.15</v>
      </c>
      <c r="F76" s="2858">
        <v>20</v>
      </c>
    </row>
    <row r="77" spans="1:7" ht="24">
      <c r="A77" s="2858">
        <v>5</v>
      </c>
      <c r="B77" s="3490"/>
      <c r="C77" s="2832" t="s">
        <v>2659</v>
      </c>
      <c r="D77" s="2832" t="s">
        <v>2660</v>
      </c>
      <c r="E77" s="2858">
        <v>0.15</v>
      </c>
      <c r="F77" s="2858">
        <v>20</v>
      </c>
    </row>
    <row r="78" spans="1:7" ht="24">
      <c r="A78" s="2858">
        <v>6</v>
      </c>
      <c r="B78" s="3490"/>
      <c r="C78" s="2832" t="s">
        <v>2661</v>
      </c>
      <c r="D78" s="2832" t="s">
        <v>2662</v>
      </c>
      <c r="E78" s="2858">
        <v>0.15</v>
      </c>
      <c r="F78" s="2858">
        <v>20</v>
      </c>
    </row>
    <row r="79" spans="1:7" ht="24">
      <c r="A79" s="2858">
        <v>7</v>
      </c>
      <c r="B79" s="3490"/>
      <c r="C79" s="2832" t="s">
        <v>2663</v>
      </c>
      <c r="D79" s="2832" t="s">
        <v>2664</v>
      </c>
      <c r="E79" s="2858">
        <v>0.15</v>
      </c>
      <c r="F79" s="2858">
        <v>20</v>
      </c>
    </row>
    <row r="80" spans="1:7" ht="24">
      <c r="A80" s="2858">
        <v>8</v>
      </c>
      <c r="B80" s="3490"/>
      <c r="C80" s="2832" t="s">
        <v>2665</v>
      </c>
      <c r="D80" s="2832" t="s">
        <v>2666</v>
      </c>
      <c r="E80" s="2858">
        <v>0.1</v>
      </c>
      <c r="F80" s="2858">
        <v>15</v>
      </c>
    </row>
    <row r="81" spans="1:6" ht="24">
      <c r="A81" s="2858">
        <v>9</v>
      </c>
      <c r="B81" s="3490"/>
      <c r="C81" s="2832" t="s">
        <v>2667</v>
      </c>
      <c r="D81" s="2832" t="s">
        <v>2668</v>
      </c>
      <c r="E81" s="2858">
        <v>0.1</v>
      </c>
      <c r="F81" s="2858">
        <v>15</v>
      </c>
    </row>
    <row r="82" spans="1:6" ht="24">
      <c r="A82" s="2858">
        <v>10</v>
      </c>
      <c r="B82" s="3490"/>
      <c r="C82" s="2832" t="s">
        <v>2669</v>
      </c>
      <c r="D82" s="2832" t="s">
        <v>2670</v>
      </c>
      <c r="E82" s="2858">
        <v>0.1</v>
      </c>
      <c r="F82" s="2858">
        <v>15</v>
      </c>
    </row>
    <row r="83" spans="1:6" ht="24">
      <c r="A83" s="2858">
        <v>11</v>
      </c>
      <c r="B83" s="3490"/>
      <c r="C83" s="2832" t="s">
        <v>2671</v>
      </c>
      <c r="D83" s="2832" t="s">
        <v>2672</v>
      </c>
      <c r="E83" s="2858">
        <v>0.1</v>
      </c>
      <c r="F83" s="2858">
        <v>15</v>
      </c>
    </row>
    <row r="84" spans="1:6" ht="24">
      <c r="A84" s="2858">
        <v>12</v>
      </c>
      <c r="B84" s="3490"/>
      <c r="C84" s="2832" t="s">
        <v>2673</v>
      </c>
      <c r="D84" s="2832" t="s">
        <v>2674</v>
      </c>
      <c r="E84" s="2858">
        <v>0.1</v>
      </c>
      <c r="F84" s="2858">
        <v>15</v>
      </c>
    </row>
    <row r="85" spans="1:6" ht="13.5">
      <c r="A85" s="2858">
        <v>13</v>
      </c>
      <c r="B85" s="3490"/>
      <c r="C85" s="2832" t="s">
        <v>2675</v>
      </c>
      <c r="D85" s="2832" t="s">
        <v>2676</v>
      </c>
      <c r="E85" s="2858">
        <v>0.1</v>
      </c>
      <c r="F85" s="2858">
        <v>15</v>
      </c>
    </row>
    <row r="86" spans="1:6" ht="13.5">
      <c r="A86" s="2858">
        <v>14</v>
      </c>
      <c r="B86" s="3490"/>
      <c r="C86" s="2832" t="s">
        <v>2677</v>
      </c>
      <c r="D86" s="2832" t="s">
        <v>2678</v>
      </c>
      <c r="E86" s="2858">
        <v>0.1</v>
      </c>
      <c r="F86" s="2858">
        <v>15</v>
      </c>
    </row>
    <row r="87" spans="1:6" ht="13.5">
      <c r="A87" s="2858">
        <v>15</v>
      </c>
      <c r="B87" s="3490"/>
      <c r="C87" s="2832" t="s">
        <v>2679</v>
      </c>
      <c r="D87" s="2832" t="s">
        <v>2680</v>
      </c>
      <c r="E87" s="2858">
        <v>0.1</v>
      </c>
      <c r="F87" s="2858">
        <v>15</v>
      </c>
    </row>
    <row r="88" spans="1:6" ht="24">
      <c r="A88" s="2858">
        <v>16</v>
      </c>
      <c r="B88" s="3490"/>
      <c r="C88" s="2832" t="s">
        <v>2681</v>
      </c>
      <c r="D88" s="2832" t="s">
        <v>2682</v>
      </c>
      <c r="E88" s="2858">
        <v>0.1</v>
      </c>
      <c r="F88" s="2858">
        <v>15</v>
      </c>
    </row>
    <row r="89" spans="1:6" ht="24">
      <c r="A89" s="2858">
        <v>17</v>
      </c>
      <c r="B89" s="3499"/>
      <c r="C89" s="2832" t="s">
        <v>2683</v>
      </c>
      <c r="D89" s="2832" t="s">
        <v>2684</v>
      </c>
      <c r="E89" s="2858">
        <v>0.1</v>
      </c>
      <c r="F89" s="2858">
        <v>15</v>
      </c>
    </row>
    <row r="90" spans="1:6" ht="13.5">
      <c r="A90" s="2858">
        <v>18</v>
      </c>
      <c r="B90" s="3495" t="s">
        <v>2685</v>
      </c>
      <c r="C90" s="2832" t="s">
        <v>2686</v>
      </c>
      <c r="D90" s="2832" t="s">
        <v>2687</v>
      </c>
      <c r="E90" s="2858">
        <v>0.2</v>
      </c>
      <c r="F90" s="2858">
        <v>25</v>
      </c>
    </row>
    <row r="91" spans="1:6" ht="24">
      <c r="A91" s="2858">
        <v>19</v>
      </c>
      <c r="B91" s="3490"/>
      <c r="C91" s="2832" t="s">
        <v>2688</v>
      </c>
      <c r="D91" s="2832" t="s">
        <v>2689</v>
      </c>
      <c r="E91" s="2858">
        <v>0.2</v>
      </c>
      <c r="F91" s="2858">
        <v>25</v>
      </c>
    </row>
    <row r="92" spans="1:6" ht="13.5">
      <c r="A92" s="2858">
        <v>20</v>
      </c>
      <c r="B92" s="3490"/>
      <c r="C92" s="2832" t="s">
        <v>2690</v>
      </c>
      <c r="D92" s="2832" t="s">
        <v>2691</v>
      </c>
      <c r="E92" s="2858">
        <v>0.15</v>
      </c>
      <c r="F92" s="2858">
        <v>20</v>
      </c>
    </row>
    <row r="93" spans="1:6" ht="13.5">
      <c r="A93" s="2858">
        <v>21</v>
      </c>
      <c r="B93" s="3490"/>
      <c r="C93" s="2832" t="s">
        <v>2692</v>
      </c>
      <c r="D93" s="2832" t="s">
        <v>2693</v>
      </c>
      <c r="E93" s="2858">
        <v>0.15</v>
      </c>
      <c r="F93" s="2858">
        <v>20</v>
      </c>
    </row>
    <row r="94" spans="1:6" ht="13.5">
      <c r="A94" s="2858">
        <v>22</v>
      </c>
      <c r="B94" s="3490"/>
      <c r="C94" s="2832" t="s">
        <v>2694</v>
      </c>
      <c r="D94" s="2832" t="s">
        <v>2695</v>
      </c>
      <c r="E94" s="2858">
        <v>0.15</v>
      </c>
      <c r="F94" s="2858">
        <v>20</v>
      </c>
    </row>
    <row r="95" spans="1:6" ht="36">
      <c r="A95" s="2858">
        <v>23</v>
      </c>
      <c r="B95" s="3490"/>
      <c r="C95" s="2832" t="s">
        <v>2696</v>
      </c>
      <c r="D95" s="2832" t="s">
        <v>2697</v>
      </c>
      <c r="E95" s="2858">
        <v>0.15</v>
      </c>
      <c r="F95" s="2858">
        <v>20</v>
      </c>
    </row>
    <row r="96" spans="1:6" ht="13.5">
      <c r="A96" s="2858">
        <v>24</v>
      </c>
      <c r="B96" s="3490"/>
      <c r="C96" s="2832" t="s">
        <v>2698</v>
      </c>
      <c r="D96" s="2832" t="s">
        <v>2699</v>
      </c>
      <c r="E96" s="2858">
        <v>0.1</v>
      </c>
      <c r="F96" s="2858">
        <v>15</v>
      </c>
    </row>
    <row r="97" spans="1:6" ht="13.5">
      <c r="A97" s="2858">
        <v>25</v>
      </c>
      <c r="B97" s="3490"/>
      <c r="C97" s="2832" t="s">
        <v>2700</v>
      </c>
      <c r="D97" s="2832" t="s">
        <v>2701</v>
      </c>
      <c r="E97" s="2858">
        <v>0.1</v>
      </c>
      <c r="F97" s="2858">
        <v>15</v>
      </c>
    </row>
    <row r="98" spans="1:6" ht="24">
      <c r="A98" s="2858">
        <v>26</v>
      </c>
      <c r="B98" s="3490"/>
      <c r="C98" s="2832" t="s">
        <v>2702</v>
      </c>
      <c r="D98" s="2832" t="s">
        <v>2703</v>
      </c>
      <c r="E98" s="2858">
        <v>0.1</v>
      </c>
      <c r="F98" s="2858">
        <v>15</v>
      </c>
    </row>
    <row r="99" spans="1:6" ht="24">
      <c r="A99" s="2858">
        <v>27</v>
      </c>
      <c r="B99" s="3490"/>
      <c r="C99" s="2832" t="s">
        <v>2704</v>
      </c>
      <c r="D99" s="2832" t="s">
        <v>2705</v>
      </c>
      <c r="E99" s="2858">
        <v>0.1</v>
      </c>
      <c r="F99" s="2858">
        <v>15</v>
      </c>
    </row>
    <row r="100" spans="1:6" ht="13.5">
      <c r="A100" s="2858">
        <v>28</v>
      </c>
      <c r="B100" s="3490"/>
      <c r="C100" s="2832" t="s">
        <v>2706</v>
      </c>
      <c r="D100" s="2832" t="s">
        <v>2707</v>
      </c>
      <c r="E100" s="2858">
        <v>0.1</v>
      </c>
      <c r="F100" s="2858">
        <v>15</v>
      </c>
    </row>
    <row r="101" spans="1:6" ht="13.5">
      <c r="A101" s="2858">
        <v>29</v>
      </c>
      <c r="B101" s="3490"/>
      <c r="C101" s="2832" t="s">
        <v>2708</v>
      </c>
      <c r="D101" s="2832" t="s">
        <v>2709</v>
      </c>
      <c r="E101" s="2858">
        <v>0.1</v>
      </c>
      <c r="F101" s="2858">
        <v>15</v>
      </c>
    </row>
    <row r="102" spans="1:6" ht="13.5">
      <c r="A102" s="2858">
        <v>30</v>
      </c>
      <c r="B102" s="3490"/>
      <c r="C102" s="2832" t="s">
        <v>2710</v>
      </c>
      <c r="D102" s="2832" t="s">
        <v>2711</v>
      </c>
      <c r="E102" s="2858">
        <v>0.1</v>
      </c>
      <c r="F102" s="2858">
        <v>15</v>
      </c>
    </row>
    <row r="103" spans="1:6" ht="24">
      <c r="A103" s="2858">
        <v>31</v>
      </c>
      <c r="B103" s="3490"/>
      <c r="C103" s="2832" t="s">
        <v>2712</v>
      </c>
      <c r="D103" s="2832" t="s">
        <v>2713</v>
      </c>
      <c r="E103" s="2858">
        <v>0.1</v>
      </c>
      <c r="F103" s="2858">
        <v>15</v>
      </c>
    </row>
    <row r="104" spans="1:6" ht="24">
      <c r="A104" s="2858">
        <v>32</v>
      </c>
      <c r="B104" s="3490"/>
      <c r="C104" s="2832" t="s">
        <v>2714</v>
      </c>
      <c r="D104" s="2832" t="s">
        <v>2715</v>
      </c>
      <c r="E104" s="2858">
        <v>0.1</v>
      </c>
      <c r="F104" s="2858">
        <v>15</v>
      </c>
    </row>
    <row r="105" spans="1:6" ht="24">
      <c r="A105" s="2858">
        <v>33</v>
      </c>
      <c r="B105" s="3490"/>
      <c r="C105" s="2832" t="s">
        <v>2716</v>
      </c>
      <c r="D105" s="2832" t="s">
        <v>2717</v>
      </c>
      <c r="E105" s="2858">
        <v>0.1</v>
      </c>
      <c r="F105" s="2858">
        <v>15</v>
      </c>
    </row>
    <row r="106" spans="1:6" ht="24">
      <c r="A106" s="2858">
        <v>34</v>
      </c>
      <c r="B106" s="3499"/>
      <c r="C106" s="2832" t="s">
        <v>2718</v>
      </c>
      <c r="D106" s="2832" t="s">
        <v>2719</v>
      </c>
      <c r="E106" s="2858">
        <v>0.1</v>
      </c>
      <c r="F106" s="2858">
        <v>15</v>
      </c>
    </row>
    <row r="107" spans="1:6" ht="24">
      <c r="A107" s="2858">
        <v>35</v>
      </c>
      <c r="B107" s="3495" t="s">
        <v>2720</v>
      </c>
      <c r="C107" s="2858" t="s">
        <v>2721</v>
      </c>
      <c r="D107" s="2832" t="s">
        <v>2722</v>
      </c>
      <c r="E107" s="2858">
        <v>0.15</v>
      </c>
      <c r="F107" s="2858">
        <v>20</v>
      </c>
    </row>
    <row r="108" spans="1:6" ht="13.5">
      <c r="A108" s="2858">
        <v>36</v>
      </c>
      <c r="B108" s="3490"/>
      <c r="C108" s="2858" t="s">
        <v>2723</v>
      </c>
      <c r="D108" s="2832" t="s">
        <v>2724</v>
      </c>
      <c r="E108" s="2858">
        <v>0.15</v>
      </c>
      <c r="F108" s="2858">
        <v>20</v>
      </c>
    </row>
    <row r="109" spans="1:6" ht="13.5">
      <c r="A109" s="2858">
        <v>37</v>
      </c>
      <c r="B109" s="3490"/>
      <c r="C109" s="2858" t="s">
        <v>2725</v>
      </c>
      <c r="D109" s="2832" t="s">
        <v>2726</v>
      </c>
      <c r="E109" s="2858">
        <v>0.15</v>
      </c>
      <c r="F109" s="2858">
        <v>20</v>
      </c>
    </row>
    <row r="110" spans="1:6" ht="13.5">
      <c r="A110" s="2858">
        <v>38</v>
      </c>
      <c r="B110" s="3490"/>
      <c r="C110" s="2858" t="s">
        <v>2727</v>
      </c>
      <c r="D110" s="2832" t="s">
        <v>2728</v>
      </c>
      <c r="E110" s="2858">
        <v>0.1</v>
      </c>
      <c r="F110" s="2858">
        <v>15</v>
      </c>
    </row>
    <row r="111" spans="1:6" ht="24">
      <c r="A111" s="2858">
        <v>39</v>
      </c>
      <c r="B111" s="3490"/>
      <c r="C111" s="2858" t="s">
        <v>2729</v>
      </c>
      <c r="D111" s="2832" t="s">
        <v>2730</v>
      </c>
      <c r="E111" s="2858">
        <v>0.1</v>
      </c>
      <c r="F111" s="2858">
        <v>15</v>
      </c>
    </row>
    <row r="112" spans="1:6" ht="24">
      <c r="A112" s="2858">
        <v>40</v>
      </c>
      <c r="B112" s="3499"/>
      <c r="C112" s="2858" t="s">
        <v>2731</v>
      </c>
      <c r="D112" s="2832" t="s">
        <v>2732</v>
      </c>
      <c r="E112" s="2858">
        <v>0.1</v>
      </c>
      <c r="F112" s="2858">
        <v>15</v>
      </c>
    </row>
    <row r="113" spans="1:6" ht="13.5">
      <c r="A113" s="2858">
        <v>41</v>
      </c>
      <c r="B113" s="3500" t="s">
        <v>2733</v>
      </c>
      <c r="C113" s="2858" t="s">
        <v>2734</v>
      </c>
      <c r="D113" s="2832" t="s">
        <v>2735</v>
      </c>
      <c r="E113" s="2858">
        <v>0.1</v>
      </c>
      <c r="F113" s="2858">
        <v>15</v>
      </c>
    </row>
    <row r="114" spans="1:6" ht="13.5">
      <c r="A114" s="2858">
        <v>42</v>
      </c>
      <c r="B114" s="3500"/>
      <c r="C114" s="2858" t="s">
        <v>2736</v>
      </c>
      <c r="D114" s="2832" t="s">
        <v>2737</v>
      </c>
      <c r="E114" s="2858">
        <v>0.1</v>
      </c>
      <c r="F114" s="2858">
        <v>15</v>
      </c>
    </row>
    <row r="115" spans="1:6" ht="24">
      <c r="A115" s="2858">
        <v>43</v>
      </c>
      <c r="B115" s="3500"/>
      <c r="C115" s="2858" t="s">
        <v>2738</v>
      </c>
      <c r="D115" s="2832" t="s">
        <v>2739</v>
      </c>
      <c r="E115" s="2858">
        <v>0.1</v>
      </c>
      <c r="F115" s="2858">
        <v>15</v>
      </c>
    </row>
    <row r="116" spans="1:6" ht="13.5">
      <c r="A116" s="2858">
        <v>44</v>
      </c>
      <c r="B116" s="3495" t="s">
        <v>2740</v>
      </c>
      <c r="C116" s="2858" t="s">
        <v>2741</v>
      </c>
      <c r="D116" s="2832" t="s">
        <v>2742</v>
      </c>
      <c r="E116" s="2858">
        <v>0.1</v>
      </c>
      <c r="F116" s="2858">
        <v>15</v>
      </c>
    </row>
    <row r="117" spans="1:6" ht="24">
      <c r="A117" s="2858">
        <v>45</v>
      </c>
      <c r="B117" s="3499"/>
      <c r="C117" s="2832" t="s">
        <v>2743</v>
      </c>
      <c r="D117" s="2832" t="s">
        <v>2744</v>
      </c>
      <c r="E117" s="2858">
        <v>0.1</v>
      </c>
      <c r="F117" s="2858">
        <v>15</v>
      </c>
    </row>
    <row r="118" spans="1:6" ht="24">
      <c r="A118" s="2858">
        <v>46</v>
      </c>
      <c r="B118" s="3495" t="s">
        <v>2745</v>
      </c>
      <c r="C118" s="2858" t="s">
        <v>2746</v>
      </c>
      <c r="D118" s="2832" t="s">
        <v>2747</v>
      </c>
      <c r="E118" s="2858">
        <v>0.1</v>
      </c>
      <c r="F118" s="2858">
        <v>15</v>
      </c>
    </row>
    <row r="119" spans="1:6" ht="24">
      <c r="A119" s="2858">
        <v>47</v>
      </c>
      <c r="B119" s="3499"/>
      <c r="C119" s="2858" t="s">
        <v>2748</v>
      </c>
      <c r="D119" s="2832" t="s">
        <v>2749</v>
      </c>
      <c r="E119" s="2858">
        <v>0.1</v>
      </c>
      <c r="F119" s="2858">
        <v>15</v>
      </c>
    </row>
    <row r="120" spans="1:6" ht="13.5">
      <c r="A120" s="2858">
        <v>48</v>
      </c>
      <c r="B120" s="3495" t="s">
        <v>2750</v>
      </c>
      <c r="C120" s="2858" t="s">
        <v>2751</v>
      </c>
      <c r="D120" s="2832" t="s">
        <v>2752</v>
      </c>
      <c r="E120" s="2858">
        <v>0.1</v>
      </c>
      <c r="F120" s="2858">
        <v>15</v>
      </c>
    </row>
    <row r="121" spans="1:6" ht="13.5">
      <c r="A121" s="2858">
        <v>49</v>
      </c>
      <c r="B121" s="3499"/>
      <c r="C121" s="2858" t="s">
        <v>2753</v>
      </c>
      <c r="D121" s="2832" t="s">
        <v>2754</v>
      </c>
      <c r="E121" s="2858">
        <v>0.1</v>
      </c>
      <c r="F121" s="2858">
        <v>15</v>
      </c>
    </row>
    <row r="122" spans="1:6" ht="24">
      <c r="A122" s="2858">
        <v>50</v>
      </c>
      <c r="B122" s="3500" t="s">
        <v>2755</v>
      </c>
      <c r="C122" s="2858" t="s">
        <v>2756</v>
      </c>
      <c r="D122" s="2832" t="s">
        <v>2757</v>
      </c>
      <c r="E122" s="2858">
        <v>0.1</v>
      </c>
      <c r="F122" s="2858">
        <v>15</v>
      </c>
    </row>
    <row r="123" spans="1:6" ht="24">
      <c r="A123" s="2858">
        <v>51</v>
      </c>
      <c r="B123" s="3500"/>
      <c r="C123" s="2858" t="s">
        <v>2758</v>
      </c>
      <c r="D123" s="2832" t="s">
        <v>2759</v>
      </c>
      <c r="E123" s="2858">
        <v>0.1</v>
      </c>
      <c r="F123" s="2858">
        <v>15</v>
      </c>
    </row>
    <row r="124" spans="1:6" ht="24">
      <c r="A124" s="2858">
        <v>52</v>
      </c>
      <c r="B124" s="3500" t="s">
        <v>2760</v>
      </c>
      <c r="C124" s="2858" t="s">
        <v>2761</v>
      </c>
      <c r="D124" s="2832" t="s">
        <v>2762</v>
      </c>
      <c r="E124" s="2858">
        <v>0.1</v>
      </c>
      <c r="F124" s="2858">
        <v>15</v>
      </c>
    </row>
    <row r="125" spans="1:6" ht="24">
      <c r="A125" s="2858">
        <v>53</v>
      </c>
      <c r="B125" s="3500"/>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500" t="s">
        <v>2768</v>
      </c>
      <c r="C127" s="2858" t="s">
        <v>2769</v>
      </c>
      <c r="D127" s="2832" t="s">
        <v>2770</v>
      </c>
      <c r="E127" s="2858">
        <v>0.1</v>
      </c>
      <c r="F127" s="2858">
        <v>15</v>
      </c>
    </row>
    <row r="128" spans="1:6" ht="13.5">
      <c r="A128" s="2858">
        <v>56</v>
      </c>
      <c r="B128" s="3500"/>
      <c r="C128" s="2858" t="s">
        <v>2771</v>
      </c>
      <c r="D128" s="2832" t="s">
        <v>2772</v>
      </c>
      <c r="E128" s="2858">
        <v>0.1</v>
      </c>
      <c r="F128" s="2858">
        <v>15</v>
      </c>
    </row>
    <row r="129" spans="1:6" ht="24">
      <c r="A129" s="2858">
        <v>57</v>
      </c>
      <c r="B129" s="3500"/>
      <c r="C129" s="2858" t="s">
        <v>2773</v>
      </c>
      <c r="D129" s="2832" t="s">
        <v>2774</v>
      </c>
      <c r="E129" s="2858">
        <v>0.1</v>
      </c>
      <c r="F129" s="2858">
        <v>15</v>
      </c>
    </row>
    <row r="130" spans="1:6" ht="24">
      <c r="A130" s="2858">
        <v>58</v>
      </c>
      <c r="B130" s="3500" t="s">
        <v>2775</v>
      </c>
      <c r="C130" s="2858" t="s">
        <v>2776</v>
      </c>
      <c r="D130" s="2832" t="s">
        <v>2777</v>
      </c>
      <c r="E130" s="2858">
        <v>0.1</v>
      </c>
      <c r="F130" s="2858">
        <v>15</v>
      </c>
    </row>
    <row r="131" spans="1:6" ht="13.5">
      <c r="A131" s="2858">
        <v>59</v>
      </c>
      <c r="B131" s="3500"/>
      <c r="C131" s="2858" t="s">
        <v>2778</v>
      </c>
      <c r="D131" s="2832" t="s">
        <v>2779</v>
      </c>
      <c r="E131" s="2858">
        <v>0.1</v>
      </c>
      <c r="F131" s="2858">
        <v>15</v>
      </c>
    </row>
    <row r="132" spans="1:6" ht="13.5">
      <c r="A132" s="2858">
        <v>60</v>
      </c>
      <c r="B132" s="3495" t="s">
        <v>2780</v>
      </c>
      <c r="C132" s="2858" t="s">
        <v>2781</v>
      </c>
      <c r="D132" s="2832" t="s">
        <v>2782</v>
      </c>
      <c r="E132" s="2858">
        <v>0.1</v>
      </c>
      <c r="F132" s="2858">
        <v>15</v>
      </c>
    </row>
    <row r="133" spans="1:6" ht="13.5">
      <c r="A133" s="2858">
        <v>61</v>
      </c>
      <c r="B133" s="3499"/>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500" t="s">
        <v>2788</v>
      </c>
      <c r="C135" s="2858" t="s">
        <v>2789</v>
      </c>
      <c r="D135" s="2832" t="s">
        <v>2790</v>
      </c>
      <c r="E135" s="2858">
        <v>0.1</v>
      </c>
      <c r="F135" s="2858">
        <v>15</v>
      </c>
    </row>
    <row r="136" spans="1:6" ht="13.5">
      <c r="A136" s="2858">
        <v>64</v>
      </c>
      <c r="B136" s="3500"/>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SUMPRODUCT((A95:A184=ROUNDDOWN(基准地价修正办公!G3,1))*(B94:M94=基准地价修正办公!G2)*(B95:M184))</f>
        <v>0.95179999999999998</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SUMPRODUCT((A371:A460=ROUNDDOWN(基准地价修正办公!G3,1))*(B370:M370=基准地价修正办公!G2)*(B371:M460))</f>
        <v>0.90149999999999997</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59667</v>
      </c>
      <c r="C2" s="2" t="s">
        <v>106</v>
      </c>
      <c r="D2" s="191"/>
      <c r="E2" s="191"/>
      <c r="F2" s="191"/>
      <c r="G2" s="191"/>
    </row>
    <row r="3" spans="1:7" s="192" customFormat="1" ht="18" customHeight="1" thickBot="1">
      <c r="A3" s="195" t="s">
        <v>58</v>
      </c>
      <c r="B3" s="196">
        <f ca="1">ROUND(B2*10000/'数据-汇总表'!E3,0)</f>
        <v>12918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924</v>
      </c>
      <c r="D10" s="795">
        <f>'数据-汇总表'!E6</f>
        <v>46189.05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924</v>
      </c>
      <c r="D19" s="204">
        <f>'数据-汇总表'!E3</f>
        <v>46189.05</v>
      </c>
      <c r="E19" s="203">
        <f>'数据-取费表'!B31</f>
        <v>200</v>
      </c>
      <c r="F19" s="223"/>
      <c r="G19" s="1" t="s">
        <v>436</v>
      </c>
    </row>
    <row r="20" spans="1:7" s="206" customFormat="1" ht="13.5" customHeight="1">
      <c r="A20" s="731" t="s">
        <v>419</v>
      </c>
      <c r="B20" s="202" t="s">
        <v>77</v>
      </c>
      <c r="C20" s="224">
        <f>ROUND((C5+C19)*F20,0)</f>
        <v>646</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1330</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56</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3771</v>
      </c>
      <c r="D27" s="227">
        <f>C29</f>
        <v>5.1000000000000004E-3</v>
      </c>
      <c r="E27" s="228" t="s">
        <v>99</v>
      </c>
      <c r="F27" s="238">
        <f>'数据-取费表'!Q16</f>
        <v>0.17</v>
      </c>
      <c r="G27" s="239" t="s">
        <v>431</v>
      </c>
    </row>
    <row r="28" spans="1:7" s="206" customFormat="1" ht="13.5" customHeight="1">
      <c r="A28" s="734" t="s">
        <v>349</v>
      </c>
      <c r="B28" s="240" t="s">
        <v>424</v>
      </c>
      <c r="C28" s="241">
        <f>ROUND((C5+C19+C20)*F27*'数据-取费表'!B21/'数据-取费表'!B20,0)</f>
        <v>3771</v>
      </c>
      <c r="D28" s="227"/>
      <c r="E28" s="228"/>
      <c r="F28" s="238"/>
      <c r="G28" s="239"/>
    </row>
    <row r="29" spans="1:7" s="206" customFormat="1" ht="13.5" customHeight="1">
      <c r="A29" s="734" t="s">
        <v>347</v>
      </c>
      <c r="B29" s="240" t="s">
        <v>425</v>
      </c>
      <c r="C29" s="230">
        <f>ROUND(C21*F27*'数据-取费表'!B21/'数据-取费表'!B20,4)</f>
        <v>5.1000000000000004E-3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29957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27362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24480</v>
      </c>
      <c r="D34" s="209"/>
      <c r="E34" s="212"/>
      <c r="F34" s="249">
        <f>IF('数据-取费表'!B24=0,1,'数据-取费表'!N16)</f>
        <v>1</v>
      </c>
      <c r="G34" s="211" t="s">
        <v>89</v>
      </c>
    </row>
    <row r="35" spans="1:7" ht="13.5" customHeight="1">
      <c r="A35" s="734" t="s">
        <v>351</v>
      </c>
      <c r="B35" s="207" t="s">
        <v>33</v>
      </c>
      <c r="C35" s="212">
        <f>ROUND(C34*F35,0)</f>
        <v>1224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924</v>
      </c>
      <c r="D37" s="209">
        <f>'数据-汇总表'!E3</f>
        <v>46189.05</v>
      </c>
      <c r="E37" s="241">
        <f>'数据-取费表'!B35</f>
        <v>200</v>
      </c>
      <c r="F37" s="251"/>
      <c r="G37" s="253" t="s">
        <v>92</v>
      </c>
    </row>
    <row r="38" spans="1:7" ht="13.5" customHeight="1">
      <c r="A38" s="734" t="s">
        <v>354</v>
      </c>
      <c r="B38" s="207" t="s">
        <v>36</v>
      </c>
      <c r="C38" s="212">
        <f>ROUND(C34*F38,0)</f>
        <v>734</v>
      </c>
      <c r="D38" s="212"/>
      <c r="E38" s="212"/>
      <c r="F38" s="251">
        <f>'数据-取费表'!B36</f>
        <v>0.03</v>
      </c>
      <c r="G38" s="211" t="s">
        <v>90</v>
      </c>
    </row>
    <row r="39" spans="1:7" s="206" customFormat="1" ht="13.5" customHeight="1">
      <c r="A39" s="731" t="s">
        <v>338</v>
      </c>
      <c r="B39" s="202" t="s">
        <v>77</v>
      </c>
      <c r="C39" s="224">
        <f>ROUND(C33*F20,0)</f>
        <v>821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846</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821</v>
      </c>
      <c r="D42" s="230"/>
      <c r="E42" s="230"/>
      <c r="F42" s="231"/>
      <c r="G42" s="3366" t="s">
        <v>94</v>
      </c>
    </row>
    <row r="43" spans="1:7" ht="13.5" customHeight="1">
      <c r="A43" s="734" t="s">
        <v>347</v>
      </c>
      <c r="B43" s="207" t="s">
        <v>426</v>
      </c>
      <c r="C43" s="230">
        <f ca="1">ROUND(IF('数据-取费表'!B22&lt;=1,C39*F22*'数据-取费表'!B21/2,C39*(POWER((1+F22),'数据-取费表'!B21/2)-1)),0)</f>
        <v>25</v>
      </c>
      <c r="D43" s="230"/>
      <c r="E43" s="230"/>
      <c r="F43" s="231"/>
      <c r="G43" s="3367"/>
    </row>
    <row r="44" spans="1:7" ht="13.5" customHeight="1">
      <c r="A44" s="734" t="s">
        <v>348</v>
      </c>
      <c r="B44" s="207" t="s">
        <v>428</v>
      </c>
      <c r="C44" s="230">
        <f ca="1">ROUND(IF('数据-取费表'!B22&lt;=1,C40*F22*'数据-取费表'!B21/2,C40*(POWER((1+F22),'数据-取费表'!B21/2)-1)),4)</f>
        <v>8.9999999999999998E-4</v>
      </c>
      <c r="D44" s="230"/>
      <c r="E44" s="230"/>
      <c r="F44" s="231"/>
      <c r="G44" s="3368"/>
    </row>
    <row r="45" spans="1:7" s="206" customFormat="1" ht="13.5" customHeight="1">
      <c r="A45" s="731" t="s">
        <v>341</v>
      </c>
      <c r="B45" s="236" t="s">
        <v>85</v>
      </c>
      <c r="C45" s="237">
        <f>C46</f>
        <v>4791</v>
      </c>
      <c r="D45" s="227">
        <f>C47</f>
        <v>5.1000000000000004E-3</v>
      </c>
      <c r="E45" s="228" t="s">
        <v>102</v>
      </c>
      <c r="F45" s="238"/>
      <c r="G45" s="239" t="s">
        <v>434</v>
      </c>
    </row>
    <row r="46" spans="1:7" s="206" customFormat="1" ht="13.5" customHeight="1">
      <c r="A46" s="734" t="s">
        <v>349</v>
      </c>
      <c r="B46" s="240" t="s">
        <v>427</v>
      </c>
      <c r="C46" s="241">
        <f>ROUND((C33+C39)*F27,0)</f>
        <v>4791</v>
      </c>
      <c r="D46" s="255"/>
      <c r="E46" s="228"/>
      <c r="F46" s="238"/>
      <c r="G46" s="239"/>
    </row>
    <row r="47" spans="1:7" s="206" customFormat="1" ht="13.5" customHeight="1">
      <c r="A47" s="734" t="s">
        <v>347</v>
      </c>
      <c r="B47" s="240" t="s">
        <v>429</v>
      </c>
      <c r="C47" s="230">
        <f>ROUND(C40*F27,4)</f>
        <v>5.1000000000000004E-3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37138</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29710</v>
      </c>
      <c r="D51" s="224"/>
      <c r="E51" s="224"/>
      <c r="F51" s="256"/>
      <c r="G51" s="226" t="s">
        <v>37</v>
      </c>
    </row>
    <row r="52" spans="1:7" s="200" customFormat="1" ht="16.5" thickBot="1">
      <c r="A52" s="257" t="s">
        <v>38</v>
      </c>
      <c r="B52" s="258"/>
      <c r="C52" s="259">
        <f ca="1">C31+C51</f>
        <v>59667</v>
      </c>
      <c r="D52" s="258"/>
      <c r="E52" s="258"/>
      <c r="F52" s="258"/>
      <c r="G52" s="260"/>
    </row>
    <row r="55" spans="1:7" ht="15">
      <c r="B55" s="262" t="s">
        <v>39</v>
      </c>
      <c r="C55" s="263"/>
    </row>
    <row r="56" spans="1:7">
      <c r="B56" s="265" t="s">
        <v>40</v>
      </c>
      <c r="C56" s="266">
        <f ca="1">ROUND(C51/C52,3)</f>
        <v>0.498</v>
      </c>
    </row>
    <row r="57" spans="1:7">
      <c r="B57" s="265" t="s">
        <v>41</v>
      </c>
      <c r="C57" s="267">
        <f ca="1">1-C56</f>
        <v>0.502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1" t="s">
        <v>3180</v>
      </c>
      <c r="B1" s="3501"/>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2" t="s">
        <v>3231</v>
      </c>
      <c r="B1" s="3502"/>
      <c r="C1" s="3502"/>
      <c r="D1" s="3502"/>
      <c r="E1" s="3502"/>
      <c r="F1" s="3503"/>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基准地价修正办公!G23</f>
        <v>45826</v>
      </c>
      <c r="B1" s="2930" t="s">
        <v>3377</v>
      </c>
      <c r="C1" s="2931"/>
      <c r="D1" s="2931"/>
      <c r="E1" s="2931"/>
      <c r="F1" s="2931"/>
      <c r="G1" s="2931"/>
      <c r="H1" s="2931"/>
      <c r="I1" s="2931"/>
      <c r="J1" s="2897"/>
      <c r="K1" s="2931" t="s">
        <v>454</v>
      </c>
      <c r="L1" s="2931"/>
      <c r="M1" s="2931"/>
      <c r="N1" s="2931"/>
      <c r="O1" s="2931"/>
      <c r="P1" s="2931"/>
      <c r="Q1" s="2897"/>
      <c r="R1" s="3504" t="s">
        <v>456</v>
      </c>
      <c r="S1" s="3505"/>
      <c r="T1" s="3505"/>
      <c r="U1" s="3505"/>
      <c r="V1" s="3505"/>
      <c r="W1" s="3505"/>
      <c r="X1" s="2897"/>
      <c r="Y1" s="3504" t="s">
        <v>457</v>
      </c>
      <c r="Z1" s="3505"/>
      <c r="AA1" s="3505"/>
      <c r="AB1" s="3505"/>
      <c r="AC1" s="3505"/>
      <c r="AD1" s="3505"/>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504" t="s">
        <v>2826</v>
      </c>
      <c r="S29" s="3505"/>
      <c r="T29" s="3505"/>
      <c r="U29" s="3505"/>
      <c r="V29" s="3505"/>
      <c r="W29" s="3505"/>
      <c r="X29" s="2897"/>
      <c r="Y29" s="3504" t="s">
        <v>2827</v>
      </c>
      <c r="Z29" s="3505"/>
      <c r="AA29" s="3505"/>
      <c r="AB29" s="3505"/>
      <c r="AC29" s="3505"/>
      <c r="AD29" s="3505"/>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topLeftCell="A61"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7" t="s">
        <v>2838</v>
      </c>
      <c r="B1" s="3517"/>
      <c r="C1" s="3517"/>
      <c r="D1" s="3517"/>
      <c r="E1" s="3517"/>
      <c r="F1" s="3517"/>
      <c r="G1" s="3518"/>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15"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516"/>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46189.05</v>
      </c>
      <c r="C4" s="801">
        <f>项目基本情况!C18</f>
        <v>5746.62</v>
      </c>
      <c r="D4" s="801">
        <f ca="1">结果表!D118</f>
        <v>147973</v>
      </c>
      <c r="E4" s="801">
        <f ca="1">结果表!E118</f>
        <v>32037</v>
      </c>
      <c r="F4" s="801">
        <f ca="1">结果表!F118</f>
        <v>27558</v>
      </c>
      <c r="G4" s="801">
        <f ca="1">结果表!G118</f>
        <v>5966</v>
      </c>
      <c r="H4" s="801">
        <f ca="1">结果表!H118</f>
        <v>175531</v>
      </c>
      <c r="I4" s="801">
        <f ca="1">结果表!I118</f>
        <v>38003</v>
      </c>
    </row>
    <row r="5" spans="1:9" ht="30" customHeight="1">
      <c r="A5" s="3188" t="s">
        <v>927</v>
      </c>
      <c r="B5" s="3188"/>
      <c r="C5" s="3188"/>
      <c r="D5" s="3188" t="str">
        <f ca="1">结果表!D119</f>
        <v>壹拾肆亿柒仟玖佰柒拾叁万元整</v>
      </c>
      <c r="E5" s="3188"/>
      <c r="F5" s="3188" t="str">
        <f ca="1">结果表!F119</f>
        <v>贰亿柒仟伍佰伍拾捌万元整</v>
      </c>
      <c r="G5" s="3188"/>
      <c r="H5" s="3188" t="str">
        <f ca="1">结果表!H119</f>
        <v>壹拾柒亿伍仟伍佰叁拾壹万元整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175531</v>
      </c>
      <c r="E8" s="3189"/>
      <c r="F8" s="3189"/>
      <c r="G8" s="3189"/>
      <c r="H8" s="3189"/>
      <c r="I8" s="3189"/>
    </row>
    <row r="9" spans="1:9" ht="15">
      <c r="A9" s="3188" t="s">
        <v>927</v>
      </c>
      <c r="B9" s="3188"/>
      <c r="C9" s="3188"/>
      <c r="D9" s="3188" t="str">
        <f ca="1">结果表!D123</f>
        <v>壹拾柒亿伍仟伍佰叁拾壹万元整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45831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2159</v>
      </c>
      <c r="B17" s="3212"/>
      <c r="C17" s="3212"/>
      <c r="D17" s="3212"/>
      <c r="E17" s="3212"/>
      <c r="F17" s="3212"/>
      <c r="G17" s="3212"/>
      <c r="H17" s="3212"/>
    </row>
    <row r="18" spans="1:8" ht="24" customHeight="1">
      <c r="A18" s="3213" t="s">
        <v>2160</v>
      </c>
      <c r="B18" s="3213"/>
      <c r="C18" s="3213"/>
      <c r="D18" s="2160"/>
      <c r="E18" s="3214" t="s">
        <v>2161</v>
      </c>
      <c r="F18" s="3213"/>
      <c r="G18" s="321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面积清单</vt:lpstr>
      <vt:lpstr>数据-取费表</vt:lpstr>
      <vt:lpstr>估价对象房地状况</vt:lpstr>
      <vt:lpstr>系统读取表</vt:lpstr>
      <vt:lpstr>结果表</vt:lpstr>
      <vt:lpstr>成本法</vt:lpstr>
      <vt:lpstr>成本法 (元)</vt:lpstr>
      <vt:lpstr>假设开发法</vt:lpstr>
      <vt:lpstr>基准地价（汇总）</vt:lpstr>
      <vt:lpstr>基准地价修正办公</vt:lpstr>
      <vt:lpstr>基准地价修正商业</vt:lpstr>
      <vt:lpstr>收益法（汇总）</vt:lpstr>
      <vt:lpstr>收益法</vt:lpstr>
      <vt:lpstr>收益法 (元)</vt:lpstr>
      <vt:lpstr>收益法-酒店模型</vt:lpstr>
      <vt:lpstr>Sheet1</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2025-06-23T01:55:49Z</dcterms:modified>
</cp:coreProperties>
</file>