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70" windowWidth="12120" windowHeight="7560" tabRatio="899" firstSheet="15"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不动产权附页" sheetId="77" r:id="rId14"/>
    <sheet name="数据-汇总表" sheetId="6" r:id="rId15"/>
    <sheet name="数据-取费表" sheetId="1" r:id="rId16"/>
    <sheet name="估价对象房地状况" sheetId="20" state="hidden" r:id="rId17"/>
    <sheet name="系统读取表" sheetId="74" r:id="rId18"/>
    <sheet name="结果表" sheetId="9" r:id="rId19"/>
    <sheet name="成本法" sheetId="68" state="hidden" r:id="rId20"/>
    <sheet name="成本法 (元)" sheetId="69" state="hidden" r:id="rId21"/>
    <sheet name="假设开发法" sheetId="12" state="hidden" r:id="rId22"/>
    <sheet name="比较法-商业" sheetId="33" r:id="rId23"/>
    <sheet name="收益法" sheetId="15" r:id="rId24"/>
    <sheet name="典型户型修正" sheetId="31" r:id="rId25"/>
    <sheet name="22#底商" sheetId="84" r:id="rId26"/>
    <sheet name="5#&amp;2#" sheetId="83" r:id="rId27"/>
    <sheet name="5#" sheetId="79" r:id="rId28"/>
    <sheet name="2#" sheetId="80" r:id="rId29"/>
    <sheet name="租金案例" sheetId="82" r:id="rId30"/>
    <sheet name="收益法 (元)" sheetId="67" state="hidden" r:id="rId31"/>
    <sheet name="收益法（汇总）" sheetId="70" state="hidden" r:id="rId32"/>
    <sheet name="酒店收入计算" sheetId="66" state="hidden" r:id="rId33"/>
    <sheet name="比较法-住宅" sheetId="21" state="hidden" r:id="rId34"/>
    <sheet name="比较法-办公" sheetId="34" state="hidden" r:id="rId35"/>
    <sheet name="比较法-工业" sheetId="37" state="hidden" r:id="rId36"/>
    <sheet name="比较法-车位" sheetId="35" state="hidden" r:id="rId37"/>
    <sheet name="比较法-仓储" sheetId="36" state="hidden" r:id="rId38"/>
    <sheet name="土地比较法-住宅、综合" sheetId="39" state="hidden" r:id="rId39"/>
    <sheet name="土地比较法-工业" sheetId="40" state="hidden" r:id="rId40"/>
    <sheet name="基准地价修正" sheetId="43" state="hidden" r:id="rId41"/>
    <sheet name="修正" sheetId="45" state="hidden" r:id="rId42"/>
    <sheet name="容积率修正" sheetId="46" state="hidden" r:id="rId43"/>
    <sheet name="基准地价（汇总）" sheetId="76" state="hidden" r:id="rId44"/>
    <sheet name="地价" sheetId="7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s>
  <definedNames>
    <definedName name="_xlnm._FilterDatabase" localSheetId="28" hidden="1">'2#'!$A$1:$O$1</definedName>
    <definedName name="_xlnm._FilterDatabase" localSheetId="27" hidden="1">'5#'!$A$1:$O$1</definedName>
    <definedName name="_xlnm._FilterDatabase" localSheetId="34" hidden="1">'比较法-办公'!$A$1:$L$50</definedName>
    <definedName name="_xlnm._FilterDatabase" localSheetId="37" hidden="1">'比较法-仓储'!$A$1:$L$37</definedName>
    <definedName name="_xlnm._FilterDatabase" localSheetId="36" hidden="1">'比较法-车位'!$A$1:$L$39</definedName>
    <definedName name="_xlnm._FilterDatabase" localSheetId="35" hidden="1">'比较法-工业'!$A$1:$L$43</definedName>
    <definedName name="_xlnm._FilterDatabase" localSheetId="22" hidden="1">'比较法-商业'!$A$1:$L$49</definedName>
    <definedName name="_xlnm._FilterDatabase" localSheetId="33" hidden="1">'比较法-住宅'!$A$1:$L$49</definedName>
    <definedName name="_xlnm._FilterDatabase" localSheetId="11" hidden="1">'数据-基础表'!$A$12:$AT$587</definedName>
    <definedName name="_xlnm._FilterDatabase" localSheetId="39" hidden="1">'土地比较法-工业'!$A$1:$L$43</definedName>
    <definedName name="_xlnm._FilterDatabase" localSheetId="38"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30">'收益法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4" i="9" l="1"/>
  <c r="D32" i="77"/>
  <c r="D31" i="77"/>
  <c r="D30" i="77"/>
  <c r="E5" i="31"/>
  <c r="D5" i="31"/>
  <c r="C5" i="31"/>
  <c r="K5" i="82"/>
  <c r="K3" i="82"/>
  <c r="E3" i="82"/>
  <c r="F32" i="33"/>
  <c r="AA32" i="33"/>
  <c r="R48" i="33"/>
  <c r="H32" i="33"/>
  <c r="AB32" i="33"/>
  <c r="T48" i="33"/>
  <c r="J32" i="33"/>
  <c r="AC32" i="33"/>
  <c r="V48" i="33"/>
  <c r="R49" i="33"/>
  <c r="C49" i="33"/>
  <c r="B3" i="33"/>
  <c r="C20"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D5" i="73"/>
  <c r="K1" i="73"/>
  <c r="D4" i="73"/>
  <c r="G1" i="73"/>
  <c r="B40" i="1"/>
  <c r="F24" i="15"/>
  <c r="C23" i="15"/>
  <c r="F26" i="15"/>
  <c r="C26" i="15"/>
  <c r="F21"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B3" i="15"/>
  <c r="D20" i="9"/>
  <c r="C17" i="9"/>
  <c r="D17" i="9"/>
  <c r="C18" i="9"/>
  <c r="D18" i="9"/>
  <c r="G20" i="9"/>
  <c r="R24" i="31"/>
  <c r="S24" i="31"/>
  <c r="Q25" i="31"/>
  <c r="D6" i="31"/>
  <c r="E25" i="31"/>
  <c r="G25" i="31"/>
  <c r="I25" i="31"/>
  <c r="K25" i="31"/>
  <c r="M25" i="31"/>
  <c r="O25" i="31"/>
  <c r="R25" i="31"/>
  <c r="S25" i="31"/>
  <c r="Q26" i="31"/>
  <c r="E6" i="31"/>
  <c r="E26" i="31"/>
  <c r="G26" i="31"/>
  <c r="I26" i="31"/>
  <c r="K26" i="31"/>
  <c r="M26" i="31"/>
  <c r="O26"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B20" i="31"/>
  <c r="B2" i="33"/>
  <c r="C19" i="9"/>
  <c r="D19" i="9"/>
  <c r="G19" i="9"/>
  <c r="C32" i="9"/>
  <c r="H118" i="9"/>
  <c r="D14" i="74"/>
  <c r="D15" i="74"/>
  <c r="G15" i="74"/>
  <c r="C15" i="74"/>
  <c r="B15" i="74"/>
  <c r="B2" i="49"/>
  <c r="B13" i="49"/>
  <c r="E4" i="4"/>
  <c r="B5" i="62"/>
  <c r="B7" i="49"/>
  <c r="C4" i="4"/>
  <c r="B4" i="62"/>
  <c r="C76" i="15"/>
  <c r="C75" i="15"/>
  <c r="C80" i="15"/>
  <c r="D35" i="9"/>
  <c r="C35" i="9"/>
  <c r="F118" i="9"/>
  <c r="F119" i="9"/>
  <c r="F5" i="52"/>
  <c r="G118" i="9"/>
  <c r="G4" i="52"/>
  <c r="F4" i="52"/>
  <c r="C34" i="9"/>
  <c r="D118" i="9"/>
  <c r="D119" i="9"/>
  <c r="D5" i="52"/>
  <c r="I118" i="9"/>
  <c r="E118" i="9"/>
  <c r="E4" i="52"/>
  <c r="D4" i="52"/>
  <c r="H101" i="9"/>
  <c r="H107" i="9"/>
  <c r="D13" i="53"/>
  <c r="D14" i="53"/>
  <c r="H108" i="9"/>
  <c r="D15" i="53"/>
  <c r="D5" i="53"/>
  <c r="D6" i="53"/>
  <c r="H102" i="9"/>
  <c r="D7" i="53"/>
  <c r="K4" i="4"/>
  <c r="B46" i="48"/>
  <c r="I47" i="33"/>
  <c r="D3" i="4"/>
  <c r="J5" i="82"/>
  <c r="J4" i="82"/>
  <c r="J6" i="82"/>
  <c r="J3" i="82"/>
  <c r="J2" i="82"/>
  <c r="G59" i="33"/>
  <c r="J59" i="33"/>
  <c r="M59" i="33"/>
  <c r="O59" i="33"/>
  <c r="N59" i="33"/>
  <c r="L59" i="33"/>
  <c r="K59" i="33"/>
  <c r="I59" i="33"/>
  <c r="H59" i="33"/>
  <c r="F59" i="33"/>
  <c r="E59" i="33"/>
  <c r="V47" i="33"/>
  <c r="J34" i="33"/>
  <c r="AC34" i="33"/>
  <c r="J35" i="33"/>
  <c r="AC35" i="33"/>
  <c r="D111" i="33"/>
  <c r="E111" i="33"/>
  <c r="F111" i="33"/>
  <c r="G111" i="33"/>
  <c r="J36" i="33"/>
  <c r="AC36" i="33"/>
  <c r="J37" i="33"/>
  <c r="AC37" i="33"/>
  <c r="D115" i="33"/>
  <c r="J38" i="33"/>
  <c r="AC38" i="33"/>
  <c r="J39" i="33"/>
  <c r="AC39" i="33"/>
  <c r="J42" i="33"/>
  <c r="AC42" i="33"/>
  <c r="D125" i="33"/>
  <c r="J43" i="33"/>
  <c r="AC43" i="33"/>
  <c r="J10" i="33"/>
  <c r="AC10" i="33"/>
  <c r="J11" i="33"/>
  <c r="AC11" i="33"/>
  <c r="J26" i="33"/>
  <c r="AC26" i="33"/>
  <c r="D91" i="33"/>
  <c r="E91" i="33"/>
  <c r="J27" i="33"/>
  <c r="AC27" i="33"/>
  <c r="B2" i="1"/>
  <c r="C7" i="33"/>
  <c r="C58" i="33"/>
  <c r="D58" i="33"/>
  <c r="E58" i="33"/>
  <c r="F58" i="33"/>
  <c r="G58" i="33"/>
  <c r="H58" i="33"/>
  <c r="I58" i="33"/>
  <c r="J58" i="33"/>
  <c r="K58" i="33"/>
  <c r="L58" i="33"/>
  <c r="M58" i="33"/>
  <c r="N58" i="33"/>
  <c r="O58" i="33"/>
  <c r="J7" i="33"/>
  <c r="AC7" i="33"/>
  <c r="F34" i="33"/>
  <c r="AA34" i="33"/>
  <c r="F35" i="33"/>
  <c r="AA35" i="33"/>
  <c r="F36" i="33"/>
  <c r="AA36" i="33"/>
  <c r="F37" i="33"/>
  <c r="AA37" i="33"/>
  <c r="F38" i="33"/>
  <c r="AA38" i="33"/>
  <c r="F39" i="33"/>
  <c r="AA39" i="33"/>
  <c r="F42" i="33"/>
  <c r="AA42" i="33"/>
  <c r="F43" i="33"/>
  <c r="AA43" i="33"/>
  <c r="F10" i="33"/>
  <c r="AA10" i="33"/>
  <c r="F11" i="33"/>
  <c r="AA11" i="33"/>
  <c r="F26" i="33"/>
  <c r="AA26" i="33"/>
  <c r="F27" i="33"/>
  <c r="AA27" i="33"/>
  <c r="F7" i="33"/>
  <c r="AA7" i="33"/>
  <c r="H34" i="33"/>
  <c r="AB34" i="33"/>
  <c r="H35" i="33"/>
  <c r="AB35" i="33"/>
  <c r="H36" i="33"/>
  <c r="AB36" i="33"/>
  <c r="H37" i="33"/>
  <c r="AB37" i="33"/>
  <c r="H38" i="33"/>
  <c r="AB38" i="33"/>
  <c r="H39" i="33"/>
  <c r="AB39" i="33"/>
  <c r="H42" i="33"/>
  <c r="AB42" i="33"/>
  <c r="H43" i="33"/>
  <c r="AB43" i="33"/>
  <c r="H10" i="33"/>
  <c r="AB10" i="33"/>
  <c r="H11" i="33"/>
  <c r="AB11" i="33"/>
  <c r="H26" i="33"/>
  <c r="AB26" i="33"/>
  <c r="H27" i="33"/>
  <c r="AB27" i="33"/>
  <c r="H7" i="33"/>
  <c r="AB7" i="33"/>
  <c r="C1" i="73"/>
  <c r="L1" i="73"/>
  <c r="C42" i="1"/>
  <c r="J1" i="73"/>
  <c r="C28" i="15"/>
  <c r="E15" i="4"/>
  <c r="F6" i="1"/>
  <c r="J51" i="15"/>
  <c r="F19" i="6"/>
  <c r="B26" i="31"/>
  <c r="B25" i="31"/>
  <c r="B24" i="31"/>
  <c r="E19" i="6"/>
  <c r="D3" i="33"/>
  <c r="A6" i="1"/>
  <c r="G1" i="15"/>
  <c r="K6" i="1"/>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AZ5" i="3"/>
  <c r="AY6" i="3"/>
  <c r="D3" i="6"/>
  <c r="E3" i="6"/>
  <c r="D19" i="6"/>
  <c r="BQ5" i="3"/>
  <c r="BS5" i="3"/>
  <c r="F28" i="6"/>
  <c r="BR5" i="3"/>
  <c r="BT5" i="3"/>
  <c r="G28" i="6"/>
  <c r="E28" i="6"/>
  <c r="BA5" i="3"/>
  <c r="BB5" i="3"/>
  <c r="E8" i="6"/>
  <c r="F27" i="6"/>
  <c r="E27" i="6"/>
  <c r="K19" i="6"/>
  <c r="L19" i="6"/>
  <c r="M19" i="6"/>
  <c r="I19" i="6"/>
  <c r="H19" i="6"/>
  <c r="R19" i="6"/>
  <c r="B52" i="1"/>
  <c r="F34" i="15"/>
  <c r="M6" i="1"/>
  <c r="S6" i="1"/>
  <c r="T6" i="1"/>
  <c r="M47" i="15"/>
  <c r="E36" i="33"/>
  <c r="G47" i="33"/>
  <c r="E5" i="82"/>
  <c r="E4" i="82"/>
  <c r="E2" i="82"/>
  <c r="E47" i="33"/>
  <c r="G5" i="77"/>
  <c r="I13" i="3"/>
  <c r="I14" i="3"/>
  <c r="I15" i="3"/>
  <c r="I5" i="3"/>
  <c r="BB13" i="3"/>
  <c r="BA13" i="3"/>
  <c r="AZ13" i="3"/>
  <c r="H13" i="3"/>
  <c r="G13" i="3"/>
  <c r="H14" i="3"/>
  <c r="G14" i="3"/>
  <c r="H15" i="3"/>
  <c r="G15" i="3"/>
  <c r="G5" i="3"/>
  <c r="B3" i="3"/>
  <c r="C43" i="15"/>
  <c r="H7" i="77"/>
  <c r="F3" i="77"/>
  <c r="H3" i="77"/>
  <c r="F4" i="77"/>
  <c r="H4" i="77"/>
  <c r="F5" i="77"/>
  <c r="H5" i="77"/>
  <c r="H6" i="77"/>
  <c r="H8" i="77"/>
  <c r="H9" i="77"/>
  <c r="K3" i="77"/>
  <c r="J4" i="77"/>
  <c r="K4" i="77"/>
  <c r="J5" i="77"/>
  <c r="K5" i="77"/>
  <c r="K6" i="77"/>
  <c r="G4" i="77"/>
  <c r="I7" i="77"/>
  <c r="D28" i="77"/>
  <c r="Y6" i="1"/>
  <c r="C36" i="33"/>
  <c r="E5" i="6"/>
  <c r="E6" i="6"/>
  <c r="D10" i="68"/>
  <c r="C10" i="68"/>
  <c r="D9" i="68"/>
  <c r="C9" i="68"/>
  <c r="B29" i="1"/>
  <c r="N6" i="1"/>
  <c r="B5" i="4"/>
  <c r="B7" i="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C18" i="43"/>
  <c r="AD5" i="3"/>
  <c r="AH5" i="3"/>
  <c r="AL5" i="3"/>
  <c r="AP5" i="3"/>
  <c r="I4" i="6"/>
  <c r="G3" i="43"/>
  <c r="F33" i="43"/>
  <c r="C33" i="43"/>
  <c r="G33" i="43"/>
  <c r="H33" i="43"/>
  <c r="I33" i="43"/>
  <c r="E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6" i="71"/>
  <c r="AG6" i="71"/>
  <c r="AE6" i="71"/>
  <c r="AF6" i="71"/>
  <c r="AD6" i="71"/>
  <c r="L3" i="71"/>
  <c r="K3" i="71"/>
  <c r="I3" i="71"/>
  <c r="J3" i="71"/>
  <c r="BC13" i="3"/>
  <c r="BD13" i="3"/>
  <c r="BE13" i="3"/>
  <c r="BF13" i="3"/>
  <c r="BG13" i="3"/>
  <c r="BH13" i="3"/>
  <c r="BI13" i="3"/>
  <c r="BJ13" i="3"/>
  <c r="BK13" i="3"/>
  <c r="BM13" i="3"/>
  <c r="BN13" i="3"/>
  <c r="BO13" i="3"/>
  <c r="BP13" i="3"/>
  <c r="BQ13" i="3"/>
  <c r="BR13" i="3"/>
  <c r="BS13" i="3"/>
  <c r="BT13" i="3"/>
  <c r="BL13"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3" i="3"/>
  <c r="AC14" i="3"/>
  <c r="AC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F7" i="73"/>
  <c r="B74" i="72"/>
  <c r="F5" i="73"/>
  <c r="D3" i="73"/>
  <c r="F6" i="73"/>
  <c r="D6" i="73"/>
  <c r="F3" i="73"/>
  <c r="D7"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6" i="31"/>
  <c r="C25"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3" i="49"/>
  <c r="B40" i="48"/>
  <c r="B3" i="72"/>
  <c r="I2" i="43"/>
  <c r="N1" i="43"/>
  <c r="F35" i="4"/>
  <c r="J55" i="39"/>
  <c r="H34" i="43"/>
  <c r="H35" i="43"/>
  <c r="H36" i="43"/>
  <c r="H37" i="43"/>
  <c r="H38" i="43"/>
  <c r="H39" i="43"/>
  <c r="P17" i="43"/>
  <c r="O17" i="43"/>
  <c r="N17" i="43"/>
  <c r="M17" i="43"/>
  <c r="A7" i="43"/>
  <c r="F33" i="15"/>
  <c r="F61" i="15"/>
  <c r="M19" i="15"/>
  <c r="M10" i="1"/>
  <c r="O10" i="1"/>
  <c r="B22" i="1"/>
  <c r="B23" i="1"/>
  <c r="B24" i="1"/>
  <c r="B43" i="1"/>
  <c r="D78" i="9"/>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M20" i="15"/>
  <c r="T4" i="1"/>
  <c r="F15" i="15"/>
  <c r="F17" i="15"/>
  <c r="F18" i="15"/>
  <c r="F20"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7" i="31"/>
  <c r="E28" i="31"/>
  <c r="P23" i="31"/>
  <c r="N23" i="31"/>
  <c r="L23" i="31"/>
  <c r="J23" i="31"/>
  <c r="H23" i="31"/>
  <c r="F2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B88" i="33"/>
  <c r="C23" i="33"/>
  <c r="C19" i="33"/>
  <c r="C17" i="33"/>
  <c r="C15" i="33"/>
  <c r="C15" i="21"/>
  <c r="D123" i="33"/>
  <c r="D117" i="33"/>
  <c r="E117" i="33"/>
  <c r="F117" i="33"/>
  <c r="G117"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T47" i="33"/>
  <c r="R47" i="33"/>
  <c r="P47" i="33"/>
  <c r="Q46" i="33"/>
  <c r="Z46" i="33"/>
  <c r="Q45" i="33"/>
  <c r="Z45" i="33"/>
  <c r="Q44" i="33"/>
  <c r="Z44" i="33"/>
  <c r="Q43" i="33"/>
  <c r="Z43" i="33"/>
  <c r="Q42" i="33"/>
  <c r="Z42" i="33"/>
  <c r="AC41" i="33"/>
  <c r="W41" i="33"/>
  <c r="Q41" i="33"/>
  <c r="Z41" i="33"/>
  <c r="Q40" i="33"/>
  <c r="Z40" i="33"/>
  <c r="J40" i="33"/>
  <c r="AC40" i="33"/>
  <c r="H40" i="33"/>
  <c r="AB40" i="33"/>
  <c r="AA40" i="33"/>
  <c r="Q39" i="33"/>
  <c r="Z39" i="33"/>
  <c r="Q38" i="33"/>
  <c r="Z38" i="33"/>
  <c r="Q37" i="33"/>
  <c r="Z37" i="33"/>
  <c r="Q36" i="33"/>
  <c r="Z36" i="33"/>
  <c r="Q35" i="33"/>
  <c r="Z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J19" i="33"/>
  <c r="AC19" i="33"/>
  <c r="J15" i="33"/>
  <c r="AC15"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15" i="33"/>
  <c r="AB15" i="33"/>
  <c r="F28" i="40"/>
  <c r="AA28" i="40"/>
  <c r="AA29" i="35"/>
  <c r="AA42" i="34"/>
  <c r="S42" i="34"/>
  <c r="AC38" i="34"/>
  <c r="AA38" i="34"/>
  <c r="J37" i="34"/>
  <c r="AC37" i="34"/>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O27" i="31"/>
  <c r="O28" i="31"/>
  <c r="M27" i="31"/>
  <c r="M28" i="31"/>
  <c r="I27" i="31"/>
  <c r="Q27" i="31"/>
  <c r="K27" i="31"/>
  <c r="I28" i="31"/>
  <c r="Q28" i="31"/>
  <c r="K28" i="31"/>
  <c r="AC28" i="34"/>
  <c r="S21" i="40"/>
  <c r="AA12" i="21"/>
  <c r="H25" i="21"/>
  <c r="U25" i="21"/>
  <c r="F25" i="21"/>
  <c r="S25" i="21"/>
  <c r="J25" i="21"/>
  <c r="AC25" i="21"/>
  <c r="E125" i="33"/>
  <c r="F125" i="33"/>
  <c r="H17" i="37"/>
  <c r="U17" i="37"/>
  <c r="AB27" i="37"/>
  <c r="U32" i="33"/>
  <c r="AA36" i="39"/>
  <c r="E123"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G125"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AC5" i="3"/>
  <c r="BP5" i="3"/>
  <c r="BN5" i="3"/>
  <c r="BK5" i="3"/>
  <c r="BI5" i="3"/>
  <c r="BG5" i="3"/>
  <c r="BE5" i="3"/>
  <c r="BC5" i="3"/>
  <c r="U36" i="40"/>
  <c r="N4" i="43"/>
  <c r="F81" i="43"/>
  <c r="H8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W37" i="33"/>
  <c r="AC17" i="34"/>
  <c r="F106" i="33"/>
  <c r="G106" i="33"/>
  <c r="H106" i="33"/>
  <c r="I106" i="33"/>
  <c r="J106" i="33"/>
  <c r="K106" i="33"/>
  <c r="L106" i="33"/>
  <c r="M106"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S10" i="33"/>
  <c r="S34" i="33"/>
  <c r="U34"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5" i="9"/>
  <c r="D53" i="9"/>
  <c r="D48" i="9"/>
  <c r="M52" i="9"/>
  <c r="H86" i="43"/>
  <c r="H82" i="43"/>
  <c r="H87" i="43"/>
  <c r="K9" i="1"/>
  <c r="M9" i="1"/>
  <c r="O9" i="1"/>
  <c r="P9" i="1"/>
  <c r="AE9" i="1"/>
  <c r="D93" i="9"/>
  <c r="E12" i="6"/>
  <c r="E15" i="6"/>
  <c r="E60" i="40"/>
  <c r="E13" i="6"/>
  <c r="E58" i="40"/>
  <c r="G29" i="6"/>
  <c r="E29" i="6"/>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K23" i="6"/>
  <c r="S10" i="1"/>
  <c r="AQ10" i="1"/>
  <c r="M23" i="6"/>
  <c r="I23" i="6"/>
  <c r="H23" i="6"/>
  <c r="D23" i="6"/>
  <c r="R23" i="6"/>
  <c r="R10" i="1"/>
  <c r="B10" i="1"/>
  <c r="E10" i="1"/>
  <c r="D1" i="66"/>
  <c r="E10" i="66"/>
  <c r="K12" i="1"/>
  <c r="M12" i="1"/>
  <c r="O12" i="1"/>
  <c r="P12" i="1"/>
  <c r="S13" i="1"/>
  <c r="AR13" i="1"/>
  <c r="R13" i="1"/>
  <c r="S11" i="1"/>
  <c r="AQ11" i="1"/>
  <c r="R11" i="1"/>
  <c r="K22" i="6"/>
  <c r="S9" i="1"/>
  <c r="AR9" i="1"/>
  <c r="M22" i="6"/>
  <c r="I22" i="6"/>
  <c r="H22" i="6"/>
  <c r="D22" i="6"/>
  <c r="R22" i="6"/>
  <c r="R9" i="1"/>
  <c r="J51" i="67"/>
  <c r="H100" i="43"/>
  <c r="C30" i="66"/>
  <c r="E26" i="66"/>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c r="H121" i="33"/>
  <c r="I121" i="33"/>
  <c r="J121" i="33"/>
  <c r="K121" i="33"/>
  <c r="L121" i="33"/>
  <c r="M121" i="33"/>
  <c r="U42" i="33"/>
  <c r="S42" i="33"/>
  <c r="G108" i="33"/>
  <c r="H108" i="33"/>
  <c r="I108" i="33"/>
  <c r="J108" i="33"/>
  <c r="K108" i="33"/>
  <c r="L108" i="33"/>
  <c r="M108" i="33"/>
  <c r="S37" i="33"/>
  <c r="S39" i="33"/>
  <c r="F101" i="33"/>
  <c r="G101" i="33"/>
  <c r="H101" i="33"/>
  <c r="I101" i="33"/>
  <c r="J101" i="33"/>
  <c r="K101" i="33"/>
  <c r="L101" i="33"/>
  <c r="M101" i="33"/>
  <c r="S46" i="33"/>
  <c r="W43" i="33"/>
  <c r="S43" i="33"/>
  <c r="F91" i="33"/>
  <c r="F87" i="33"/>
  <c r="H25" i="33"/>
  <c r="F25" i="33"/>
  <c r="J23" i="33"/>
  <c r="F85" i="33"/>
  <c r="H23" i="33"/>
  <c r="F81" i="33"/>
  <c r="F19" i="33"/>
  <c r="S19" i="33"/>
  <c r="W19" i="33"/>
  <c r="J17" i="33"/>
  <c r="F79" i="33"/>
  <c r="S15" i="33"/>
  <c r="W15" i="33"/>
  <c r="U9" i="33"/>
  <c r="I66"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62" i="15"/>
  <c r="E10" i="6"/>
  <c r="E11" i="6"/>
  <c r="E61" i="39"/>
  <c r="E65" i="39"/>
  <c r="G30" i="6"/>
  <c r="G31" i="6"/>
  <c r="J56" i="9"/>
  <c r="J57" i="9"/>
  <c r="A24" i="51"/>
  <c r="B18" i="72"/>
  <c r="U29" i="34"/>
  <c r="E14" i="6"/>
  <c r="E64" i="39"/>
  <c r="D9" i="11"/>
  <c r="C9" i="11"/>
  <c r="J105" i="43"/>
  <c r="G102" i="43"/>
  <c r="P10" i="1"/>
  <c r="L101" i="43"/>
  <c r="L109" i="43"/>
  <c r="H101" i="43"/>
  <c r="M101" i="43"/>
  <c r="M109" i="43"/>
  <c r="I101" i="43"/>
  <c r="I109" i="43"/>
  <c r="E101" i="43"/>
  <c r="E32" i="6"/>
  <c r="G1" i="68"/>
  <c r="K1" i="12"/>
  <c r="F30" i="6"/>
  <c r="F31" i="6"/>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K21" i="6"/>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W46" i="33"/>
  <c r="U39" i="33"/>
  <c r="U38" i="33"/>
  <c r="S33"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16" i="49"/>
  <c r="B14" i="49"/>
  <c r="E7" i="49"/>
  <c r="E22" i="49"/>
  <c r="D23" i="15"/>
  <c r="D22" i="15"/>
  <c r="E6" i="49"/>
  <c r="B5" i="49"/>
  <c r="B9" i="49"/>
  <c r="E16" i="49"/>
  <c r="B11" i="49"/>
  <c r="E8" i="49"/>
  <c r="E21" i="49"/>
  <c r="E10" i="49"/>
  <c r="E9" i="49"/>
  <c r="E5" i="49"/>
  <c r="B6" i="49"/>
  <c r="B4" i="49"/>
  <c r="B8" i="49"/>
  <c r="E4" i="49"/>
  <c r="E11" i="49"/>
  <c r="M24" i="15"/>
  <c r="C76" i="67"/>
  <c r="M24" i="67"/>
  <c r="F6" i="67"/>
  <c r="M23" i="15"/>
  <c r="M22" i="15"/>
  <c r="F8" i="67"/>
  <c r="M26" i="67"/>
  <c r="F26" i="67"/>
  <c r="F13" i="67"/>
  <c r="M28" i="15"/>
  <c r="F7" i="67"/>
  <c r="J15" i="15"/>
  <c r="L48" i="67"/>
  <c r="M9" i="67"/>
  <c r="F43" i="67"/>
  <c r="M6" i="67"/>
  <c r="L47" i="15"/>
  <c r="J15" i="67"/>
  <c r="F16" i="67"/>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H111" i="33"/>
  <c r="I111" i="33"/>
  <c r="J111" i="33"/>
  <c r="K111" i="33"/>
  <c r="L111" i="33"/>
  <c r="M111" i="33"/>
  <c r="S36" i="33"/>
  <c r="W32" i="33"/>
  <c r="U27" i="33"/>
  <c r="G91" i="33"/>
  <c r="H91" i="33"/>
  <c r="I91" i="33"/>
  <c r="J91" i="33"/>
  <c r="K91" i="33"/>
  <c r="L91" i="33"/>
  <c r="M91"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AQ6" i="1"/>
  <c r="K25" i="6"/>
  <c r="M25" i="6"/>
  <c r="I25" i="6"/>
  <c r="S25"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4" i="72"/>
  <c r="B73" i="72"/>
  <c r="B71" i="72"/>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Q50" i="15"/>
  <c r="F68"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36" i="33"/>
  <c r="U36" i="33"/>
  <c r="W27" i="33"/>
  <c r="W25" i="33"/>
  <c r="AC25" i="33"/>
  <c r="AA23" i="33"/>
  <c r="S23" i="33"/>
  <c r="AB19" i="33"/>
  <c r="U19" i="33"/>
  <c r="AA17" i="33"/>
  <c r="S17" i="33"/>
  <c r="U17" i="33"/>
  <c r="AB17" i="33"/>
  <c r="U23" i="21"/>
  <c r="AB23" i="21"/>
  <c r="AC23" i="21"/>
  <c r="W23" i="21"/>
  <c r="J6" i="67"/>
  <c r="F7" i="36"/>
  <c r="S7" i="36"/>
  <c r="H7" i="37"/>
  <c r="U7" i="37"/>
  <c r="H6" i="3"/>
  <c r="AC6" i="3"/>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H20" i="6"/>
  <c r="B2" i="74"/>
  <c r="AB7" i="36"/>
  <c r="T36" i="36"/>
  <c r="C23" i="68"/>
  <c r="E38" i="43"/>
  <c r="E6" i="3"/>
  <c r="C47" i="68"/>
  <c r="D45" i="68"/>
  <c r="AA10" i="39"/>
  <c r="D10" i="11"/>
  <c r="C10" i="11"/>
  <c r="D20" i="12"/>
  <c r="C20" i="12"/>
  <c r="C18" i="12"/>
  <c r="D25" i="6"/>
  <c r="D26" i="6"/>
  <c r="D15" i="6"/>
  <c r="C18" i="4"/>
  <c r="D8" i="6"/>
  <c r="D21" i="6"/>
  <c r="D24" i="6"/>
  <c r="D14" i="6"/>
  <c r="D20" i="6"/>
  <c r="R20" i="6"/>
  <c r="R7" i="1"/>
  <c r="D5" i="6"/>
  <c r="D6" i="6"/>
  <c r="D12" i="6"/>
  <c r="D9" i="6"/>
  <c r="D11" i="6"/>
  <c r="D10" i="6"/>
  <c r="D13" i="6"/>
  <c r="L19" i="9"/>
  <c r="D28" i="6"/>
  <c r="D29" i="6"/>
  <c r="E61" i="40"/>
  <c r="H25" i="6"/>
  <c r="R25"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4" i="6"/>
  <c r="R21" i="6"/>
  <c r="R8" i="1"/>
  <c r="D30" i="6"/>
  <c r="D16" i="6"/>
  <c r="A7" i="51"/>
  <c r="B7" i="72"/>
  <c r="C4" i="52"/>
  <c r="B45" i="72"/>
  <c r="A10" i="51"/>
  <c r="B9" i="72"/>
  <c r="D27" i="6"/>
  <c r="D19"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D31" i="6"/>
  <c r="I6" i="6"/>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C24" i="68"/>
  <c r="C20" i="68"/>
  <c r="C28" i="68"/>
  <c r="C27" i="68"/>
  <c r="J20" i="15"/>
  <c r="F63" i="15"/>
  <c r="C62"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Q48" i="15"/>
  <c r="J19" i="15"/>
  <c r="J17" i="15"/>
  <c r="Q49" i="15"/>
  <c r="C57" i="15"/>
  <c r="C61" i="15"/>
  <c r="J14" i="15"/>
  <c r="J22" i="15"/>
  <c r="Q69" i="15"/>
  <c r="C56" i="15"/>
  <c r="C48" i="15"/>
  <c r="C64" i="15"/>
  <c r="Q70" i="15"/>
  <c r="J13" i="15"/>
  <c r="J23" i="15"/>
  <c r="J16" i="15"/>
  <c r="J25" i="15"/>
  <c r="AE8" i="1"/>
  <c r="L51" i="15"/>
  <c r="C66" i="15"/>
  <c r="C60" i="15"/>
  <c r="C59" i="15"/>
  <c r="AG6" i="1"/>
  <c r="C79" i="15"/>
  <c r="C65" i="15"/>
  <c r="Q68" i="15"/>
  <c r="L57" i="15"/>
  <c r="L60" i="15"/>
  <c r="Q67" i="15"/>
  <c r="M27" i="67"/>
  <c r="F41" i="67"/>
  <c r="M27" i="15"/>
  <c r="J26" i="67"/>
  <c r="J29" i="67"/>
  <c r="C58" i="15"/>
  <c r="C67" i="15"/>
  <c r="F69"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E2" i="68"/>
  <c r="D2" i="35"/>
  <c r="B2" i="36"/>
  <c r="B3" i="36"/>
  <c r="B2" i="35"/>
  <c r="B3" i="35"/>
  <c r="B2" i="37"/>
  <c r="B3" i="37"/>
  <c r="B2" i="34"/>
  <c r="B3" i="34"/>
  <c r="B2" i="21"/>
  <c r="B3" i="21"/>
  <c r="B2" i="70"/>
  <c r="B3" i="70"/>
  <c r="C102" i="9"/>
  <c r="C21" i="9"/>
  <c r="B3" i="68"/>
  <c r="D102" i="9"/>
  <c r="D22" i="9"/>
  <c r="D21" i="9"/>
  <c r="C103" i="9"/>
  <c r="D103"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W7" i="33"/>
  <c r="S7" i="33"/>
  <c r="G48" i="33"/>
  <c r="G52" i="33"/>
  <c r="H52" i="33"/>
  <c r="U7" i="33"/>
  <c r="I48" i="33"/>
  <c r="I52" i="33"/>
  <c r="J52" i="33"/>
  <c r="E48" i="33"/>
  <c r="G53" i="33"/>
  <c r="H53" i="33"/>
  <c r="E53" i="33"/>
  <c r="F53" i="33"/>
  <c r="E52" i="33"/>
  <c r="F52" i="33"/>
  <c r="I53" i="33"/>
  <c r="J53" i="33"/>
  <c r="C48"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B52" i="72"/>
  <c r="B49" i="72"/>
  <c r="C104" i="9"/>
  <c r="D8" i="74"/>
  <c r="C8" i="74"/>
  <c r="M48" i="9"/>
  <c r="C105" i="9"/>
  <c r="H119" i="9"/>
  <c r="H5" i="52"/>
  <c r="B51" i="72"/>
  <c r="B53" i="72"/>
  <c r="H4" i="52"/>
  <c r="B47" i="72"/>
  <c r="I4" i="52"/>
  <c r="B20" i="72"/>
  <c r="B21" i="72"/>
  <c r="B48" i="72"/>
  <c r="D122" i="9"/>
  <c r="B31" i="72"/>
  <c r="E14" i="74"/>
  <c r="F14" i="74"/>
  <c r="C93" i="9"/>
  <c r="C86" i="9"/>
  <c r="D52" i="9"/>
  <c r="C78" i="9"/>
  <c r="C73" i="9"/>
  <c r="C85" i="9"/>
  <c r="C72" i="9"/>
  <c r="D55" i="9"/>
  <c r="M53" i="9"/>
  <c r="C64" i="9"/>
  <c r="C63" i="9"/>
  <c r="B22" i="72"/>
  <c r="B32" i="72"/>
  <c r="B30" i="72"/>
  <c r="G14" i="74"/>
  <c r="D123" i="9"/>
  <c r="D9" i="52"/>
  <c r="D8" i="52"/>
  <c r="C95" i="9"/>
  <c r="C96" i="9"/>
  <c r="C97" i="9"/>
  <c r="D58" i="9"/>
  <c r="D56" i="9"/>
  <c r="M54" i="9"/>
  <c r="N57" i="9"/>
  <c r="C67" i="9"/>
  <c r="C68" i="9"/>
  <c r="D54" i="9"/>
  <c r="C79" i="9"/>
  <c r="C80" i="9"/>
  <c r="C81" i="9"/>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 r="B6" i="74"/>
  <c r="C6" i="74"/>
  <c r="D6" i="74"/>
  <c r="B5" i="74"/>
  <c r="C5" i="74"/>
  <c r="D5" i="74"/>
  <c r="F16" i="74"/>
  <c r="E1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<sst xmlns="http://schemas.openxmlformats.org/spreadsheetml/2006/main" count="12897" uniqueCount="4078">
  <si>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</si>
  <si>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</si>
  <si>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</si>
  <si>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</si>
  <si>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</si>
  <si>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</si>
  <si>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</si>
  <si>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</si>
  <si>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</si>
  <si>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</si>
  <si>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</si>
  <si>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</si>
  <si>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</si>
  <si>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</si>
  <si>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</si>
  <si>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</si>
  <si>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</si>
  <si>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</si>
  <si>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</si>
  <si>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</si>
  <si>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</si>
  <si>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</si>
  <si>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</si>
  <si>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</si>
  <si>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</si>
  <si>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</si>
  <si>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</si>
  <si>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</si>
  <si>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</si>
  <si>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</si>
  <si>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</si>
  <si>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</si>
  <si>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</si>
  <si>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</si>
  <si>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</si>
  <si>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</si>
  <si>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</si>
  <si>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</si>
  <si>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</si>
  <si>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</si>
  <si>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</si>
  <si>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</si>
  <si>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</si>
  <si>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</si>
  <si>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</si>
  <si>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</si>
  <si>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</si>
  <si>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</si>
  <si>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</si>
  <si>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</si>
  <si>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</si>
  <si>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</si>
  <si>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</si>
  <si>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</si>
  <si>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</si>
  <si>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</si>
  <si>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</si>
  <si>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</si>
  <si>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</si>
  <si>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</si>
  <si>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</si>
  <si>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</si>
  <si>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</si>
  <si>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</si>
  <si>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</si>
  <si>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</si>
  <si>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</si>
  <si>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</si>
  <si>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</si>
  <si>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</si>
  <si>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</si>
  <si>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</si>
  <si>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</si>
  <si>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</si>
  <si>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</si>
  <si>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</si>
  <si>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</si>
  <si>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</si>
  <si>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</si>
  <si>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</si>
  <si>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</si>
  <si>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</si>
  <si>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</si>
  <si>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</si>
  <si>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</si>
  <si>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</si>
  <si>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</si>
  <si>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</si>
  <si>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</si>
  <si>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</si>
  <si>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</si>
  <si>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</si>
  <si>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</si>
  <si>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</si>
  <si>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</si>
  <si>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</si>
  <si>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</si>
  <si>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</si>
  <si>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</si>
  <si>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</si>
  <si>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</si>
  <si>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</si>
  <si>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</si>
  <si>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</si>
  <si>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</si>
  <si>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</si>
  <si>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</si>
  <si>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</si>
  <si>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</si>
  <si>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</si>
  <si>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</si>
  <si>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</si>
  <si>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</si>
  <si>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</si>
  <si>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</si>
  <si>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</si>
  <si>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</si>
  <si>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</si>
  <si>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</si>
  <si>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</si>
  <si>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</si>
  <si>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</si>
  <si>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</si>
  <si>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</si>
  <si>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</si>
  <si>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</si>
  <si>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</si>
  <si>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</si>
  <si>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</si>
  <si>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</si>
  <si>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</si>
  <si>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</si>
  <si>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</si>
  <si>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</si>
  <si>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</si>
  <si>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</si>
  <si>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</si>
  <si>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</si>
  <si>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</si>
  <si>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</si>
  <si>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</si>
  <si>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</si>
  <si>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</si>
  <si>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</si>
  <si>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</si>
  <si>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</si>
  <si>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</si>
  <si>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</si>
  <si>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</si>
  <si>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</si>
  <si>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</si>
  <si>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</si>
  <si>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</si>
  <si>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</si>
  <si>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</si>
  <si>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</si>
  <si>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</si>
  <si>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</si>
  <si>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</si>
  <si>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</si>
  <si>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</si>
  <si>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</si>
  <si>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</si>
  <si>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</si>
  <si>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</si>
  <si>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</si>
  <si>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</si>
  <si>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</si>
  <si>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</si>
  <si>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</si>
  <si>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</si>
  <si>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</si>
  <si>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</si>
  <si>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</si>
  <si>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</si>
  <si>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</si>
  <si>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</si>
  <si>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</si>
  <si>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</si>
  <si>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</si>
  <si>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</si>
  <si>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</si>
  <si>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</si>
  <si>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</si>
  <si>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</si>
  <si>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</si>
  <si>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</si>
  <si>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</si>
  <si>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</si>
  <si>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</si>
  <si>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</si>
  <si>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</si>
  <si>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</si>
  <si>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</si>
  <si>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</si>
  <si>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</si>
  <si>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</si>
  <si>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</si>
  <si>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</si>
  <si>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</si>
  <si>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</si>
  <si>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</si>
  <si>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</si>
  <si>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</si>
  <si>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</si>
  <si>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</si>
  <si>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</si>
  <si>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</si>
  <si>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</si>
  <si>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</si>
  <si>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</si>
  <si>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</si>
  <si>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</si>
  <si>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</si>
  <si>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</si>
  <si>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</si>
  <si>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</si>
  <si>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</si>
  <si>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</si>
  <si>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</si>
  <si>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</si>
  <si>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</si>
  <si>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</si>
  <si>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</si>
  <si>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</si>
  <si>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</si>
  <si>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</si>
  <si>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</si>
  <si>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</si>
  <si>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</si>
  <si>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</si>
  <si>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</si>
  <si>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</si>
  <si>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</si>
  <si>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</si>
  <si>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</si>
  <si>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</si>
  <si>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</si>
  <si>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</si>
  <si>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</si>
  <si>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</si>
  <si>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</si>
  <si>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</si>
  <si>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</si>
  <si>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</si>
  <si>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</si>
  <si>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</si>
  <si>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</si>
  <si>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</si>
  <si>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</si>
  <si>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</si>
  <si>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</si>
  <si>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</si>
  <si>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</si>
  <si>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</si>
  <si>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</si>
  <si>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</si>
  <si>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</si>
  <si>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</si>
  <si>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</si>
  <si>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</si>
  <si>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</si>
  <si>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</si>
  <si>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</si>
  <si>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</si>
  <si>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</si>
  <si>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</si>
  <si>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</si>
  <si>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</si>
  <si>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</si>
  <si>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</si>
  <si>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</si>
  <si>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</si>
  <si>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</si>
  <si>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</si>
  <si>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</si>
  <si>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</si>
  <si>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</si>
  <si>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</si>
  <si>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</si>
  <si>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</si>
  <si>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</si>
  <si>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</si>
  <si>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</si>
  <si>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</si>
  <si>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</si>
  <si>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</si>
  <si>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</si>
  <si>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</si>
  <si>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</si>
  <si>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</si>
  <si>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</si>
  <si>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</si>
  <si>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</si>
  <si>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</si>
  <si>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</si>
  <si>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</si>
  <si>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</si>
  <si>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</si>
  <si>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</si>
  <si>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</si>
  <si>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</si>
  <si>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</si>
  <si>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</si>
  <si>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</si>
  <si>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</si>
  <si>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</si>
  <si>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</si>
  <si>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</si>
  <si>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</si>
  <si>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</si>
  <si>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</si>
  <si>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</si>
  <si>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</si>
  <si>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</si>
  <si>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</si>
  <si>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</si>
  <si>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</si>
  <si>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</si>
  <si>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</si>
  <si>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</si>
  <si>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</si>
  <si>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</si>
  <si>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</si>
  <si>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</si>
  <si>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</si>
  <si>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</si>
  <si>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</si>
  <si>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</si>
  <si>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</si>
  <si>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</si>
  <si>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</si>
  <si>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</si>
  <si>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</si>
  <si>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</si>
  <si>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</si>
  <si>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</si>
  <si>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</si>
  <si>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</si>
  <si>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</si>
  <si>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</si>
  <si>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</si>
  <si>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</si>
  <si>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</si>
  <si>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</si>
  <si>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</si>
  <si>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</si>
  <si>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</si>
  <si>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</si>
  <si>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</si>
  <si>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</si>
  <si>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</si>
  <si>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</si>
  <si>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</si>
  <si>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</si>
  <si>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</si>
  <si>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</si>
  <si>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</si>
  <si>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</si>
  <si>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</si>
  <si>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</si>
  <si>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</si>
  <si>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</si>
  <si>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</si>
  <si>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</si>
  <si>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</si>
  <si>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</si>
  <si>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</si>
  <si>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</si>
  <si>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</si>
  <si>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</si>
  <si>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</si>
  <si>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</si>
  <si>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</si>
  <si>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</si>
  <si>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</si>
  <si>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</si>
  <si>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</si>
  <si>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</si>
  <si>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</si>
  <si>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</si>
  <si>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</si>
  <si>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</si>
  <si>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</si>
  <si>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</si>
  <si>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</si>
  <si>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</si>
  <si>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</si>
  <si>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</si>
  <si>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</si>
  <si>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</si>
  <si>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</si>
  <si>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</si>
  <si>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</si>
  <si>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</si>
  <si>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</si>
  <si>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</si>
  <si>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</si>
  <si>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</si>
  <si>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</si>
  <si>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</si>
  <si>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</si>
  <si>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</si>
  <si>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</si>
  <si>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</si>
  <si>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</si>
  <si>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</si>
  <si>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</si>
  <si>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</si>
  <si>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</si>
  <si>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</si>
  <si>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</si>
  <si>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</si>
  <si>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</si>
  <si>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</si>
  <si>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</si>
  <si>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</si>
  <si>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</si>
  <si>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</si>
  <si>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</si>
  <si>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</si>
  <si>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</si>
  <si>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</si>
  <si>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</si>
  <si>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</si>
  <si>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</si>
  <si>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</si>
  <si>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</si>
  <si>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</si>
  <si>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</si>
  <si>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</si>
  <si>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</si>
  <si>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</si>
  <si>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</si>
  <si>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</si>
  <si>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</si>
  <si>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</si>
  <si>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</si>
  <si>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</si>
  <si>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</si>
  <si>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</si>
  <si>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</si>
  <si>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</si>
  <si>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</si>
  <si>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</si>
  <si>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</si>
  <si>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</si>
  <si>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</si>
  <si>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</si>
  <si>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</si>
  <si>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</si>
  <si>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</si>
  <si>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</si>
  <si>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</si>
  <si>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</si>
  <si>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</si>
  <si>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</si>
  <si>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</si>
  <si>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</si>
  <si>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</si>
  <si>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</si>
  <si>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</si>
  <si>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</si>
  <si>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</si>
  <si>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</si>
  <si>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</si>
  <si>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</si>
  <si>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</si>
  <si>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</si>
  <si>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</si>
  <si>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</si>
  <si>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</si>
  <si>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</si>
  <si>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</si>
  <si>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</si>
  <si>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</si>
  <si>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</si>
  <si>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</si>
  <si>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</si>
  <si>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</si>
  <si>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</si>
  <si>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</si>
  <si>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</si>
  <si>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</si>
  <si>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</si>
  <si>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</si>
  <si>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</si>
  <si>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</si>
  <si>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</si>
  <si>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</si>
  <si>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</si>
  <si>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</si>
  <si>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</si>
  <si>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</si>
  <si>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</si>
  <si>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</si>
  <si>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</si>
  <si>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</si>
  <si>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</si>
  <si>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</si>
  <si>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</si>
  <si>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</si>
  <si>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</si>
  <si>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</si>
  <si>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</si>
  <si>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</si>
  <si>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</si>
  <si>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</si>
  <si>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</si>
  <si>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</si>
  <si>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</si>
  <si>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</si>
  <si>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</si>
  <si>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</si>
  <si>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</si>
  <si>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</si>
  <si>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</si>
  <si>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</si>
  <si>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</si>
  <si>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</si>
  <si>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</si>
  <si>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</si>
  <si>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</si>
  <si>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</si>
  <si>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</si>
  <si>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</si>
  <si>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</si>
  <si>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</si>
  <si>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</si>
  <si>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</si>
  <si>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</si>
  <si>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</si>
  <si>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</si>
  <si>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</si>
  <si>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</si>
  <si>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</si>
  <si>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</si>
  <si>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</si>
  <si>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</si>
  <si>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</si>
  <si>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</si>
  <si>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</si>
  <si>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</si>
  <si>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</si>
  <si>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</si>
  <si>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</si>
  <si>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</si>
  <si>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</si>
  <si>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</si>
  <si>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</si>
  <si>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</si>
  <si>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</si>
  <si>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</si>
  <si>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</si>
  <si>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</si>
  <si>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</si>
  <si>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</si>
  <si>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</si>
  <si>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</si>
  <si>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</si>
  <si>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</si>
  <si>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</si>
  <si>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</si>
  <si>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</si>
  <si>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</si>
  <si>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</si>
  <si>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</si>
  <si>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</si>
  <si>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</si>
  <si>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</si>
  <si>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</si>
  <si>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</si>
  <si>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</si>
  <si>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</si>
  <si>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</si>
  <si>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</si>
  <si>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</si>
  <si>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</si>
  <si>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</si>
  <si>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</si>
  <si>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</si>
  <si>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</si>
  <si>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</si>
  <si>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</si>
  <si>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</si>
  <si>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</si>
  <si>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</si>
  <si>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</si>
  <si>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</si>
  <si>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</si>
  <si>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</si>
  <si>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</si>
  <si>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</si>
  <si>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</si>
  <si>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</si>
  <si>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</si>
  <si>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</si>
  <si>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</si>
  <si>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</si>
  <si>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</si>
  <si>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</si>
  <si>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</si>
  <si>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</si>
  <si>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</si>
  <si>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</si>
  <si>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</si>
  <si>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</si>
  <si>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</si>
  <si>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</si>
  <si>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</si>
  <si>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</si>
  <si>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</si>
  <si>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</si>
  <si>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</si>
  <si>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</si>
  <si>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</si>
  <si>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</si>
  <si>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</si>
  <si>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</si>
  <si>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</si>
  <si>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</si>
  <si>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</si>
  <si>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</si>
  <si>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</si>
  <si>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</si>
  <si>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</si>
  <si>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</si>
  <si>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</si>
  <si>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</si>
  <si>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</si>
  <si>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</si>
  <si>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</si>
  <si>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</si>
  <si>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</si>
  <si>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</si>
  <si>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</si>
  <si>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</si>
  <si>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</si>
  <si>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</si>
  <si>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</si>
  <si>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</si>
  <si>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</si>
  <si>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</si>
  <si>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</si>
  <si>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</si>
  <si>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</si>
  <si>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</si>
  <si>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</si>
  <si>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</si>
  <si>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</si>
  <si>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</si>
  <si>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</si>
  <si>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</si>
  <si>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</si>
  <si>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</si>
  <si>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</si>
  <si>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</si>
  <si>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</si>
  <si>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</si>
  <si>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</si>
  <si>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</si>
  <si>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</si>
  <si>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</si>
  <si>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</si>
  <si>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</si>
  <si>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</si>
  <si>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</si>
  <si>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</si>
  <si>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</si>
  <si>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</si>
  <si>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</si>
  <si>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</si>
  <si>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</si>
  <si>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</si>
  <si>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</si>
  <si>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</si>
  <si>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</si>
  <si>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</si>
  <si>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</si>
  <si>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</si>
  <si>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</si>
  <si>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</si>
  <si>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</si>
  <si>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</si>
  <si>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</si>
  <si>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</si>
  <si>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</si>
  <si>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</si>
  <si>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</si>
  <si>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</si>
  <si>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</si>
  <si>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</si>
  <si>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</si>
  <si>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</si>
  <si>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</si>
  <si>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</si>
  <si>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</si>
  <si>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</si>
  <si>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</si>
  <si>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</si>
  <si>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</si>
  <si>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</si>
  <si>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</si>
  <si>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</si>
  <si>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</si>
  <si>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</si>
  <si>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</si>
  <si>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</si>
  <si>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</si>
  <si>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</si>
  <si>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</si>
  <si>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</si>
  <si>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</si>
  <si>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</si>
  <si>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</si>
  <si>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</si>
  <si>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</si>
  <si>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</si>
  <si>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</si>
  <si>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</si>
  <si>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</si>
  <si>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</si>
  <si>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</si>
  <si>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</si>
  <si>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</si>
  <si>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</si>
  <si>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</si>
  <si>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</si>
  <si>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</si>
  <si>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</si>
  <si>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</si>
  <si>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</si>
  <si>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</si>
  <si>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</si>
  <si>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</si>
  <si>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</si>
  <si>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</si>
  <si>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</si>
  <si>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</si>
  <si>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</si>
  <si>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</si>
  <si>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</si>
  <si>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</si>
  <si>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</si>
  <si>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</si>
  <si>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</si>
  <si>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</si>
  <si>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</si>
  <si>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</si>
  <si>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</si>
  <si>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</si>
  <si>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</si>
  <si>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</si>
  <si>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</si>
  <si>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</si>
  <si>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</si>
  <si>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</si>
  <si>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</si>
  <si>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</si>
  <si>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</si>
  <si>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</si>
  <si>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</si>
  <si>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</si>
  <si>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</si>
  <si>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</si>
  <si>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</si>
  <si>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</si>
  <si>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</si>
  <si>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</si>
  <si>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</si>
  <si>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</si>
  <si>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</si>
  <si>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</si>
  <si>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</si>
  <si>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</si>
  <si>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</si>
  <si>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</si>
  <si>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</si>
  <si>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</si>
  <si>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</si>
  <si>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</si>
  <si>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</si>
  <si>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</si>
  <si>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</si>
  <si>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</si>
  <si>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</si>
  <si>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</si>
  <si>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</si>
  <si>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</si>
  <si>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</si>
  <si>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</si>
  <si>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</si>
  <si>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</si>
  <si>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</si>
  <si>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</si>
  <si>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</si>
  <si>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</si>
  <si>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</si>
  <si>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</si>
  <si>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</si>
  <si>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</si>
  <si>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</si>
  <si>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</si>
  <si>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</si>
  <si>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</si>
  <si>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</si>
  <si>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</si>
  <si>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</si>
  <si>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</si>
  <si>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</si>
  <si>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</si>
  <si>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</si>
  <si>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</si>
  <si>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</si>
  <si>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</si>
  <si>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</si>
  <si>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</si>
  <si>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</si>
  <si>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</si>
  <si>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</si>
  <si>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</si>
  <si>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</si>
  <si>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</si>
  <si>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</si>
  <si>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</si>
  <si>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</si>
  <si>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</si>
  <si>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</si>
  <si>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</si>
  <si>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</si>
  <si>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</si>
  <si>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</si>
  <si>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</si>
  <si>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</si>
  <si>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</si>
  <si>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</si>
  <si>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</si>
  <si>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</si>
  <si>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</si>
  <si>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</si>
  <si>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</si>
  <si>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</si>
  <si>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</si>
  <si>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</si>
  <si>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</si>
  <si>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</si>
  <si>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</si>
  <si>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</si>
  <si>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</si>
  <si>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</si>
  <si>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</si>
  <si>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</si>
  <si>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</si>
  <si>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</si>
  <si>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</si>
  <si>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</si>
  <si>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</si>
  <si>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</si>
  <si>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</si>
  <si>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</si>
  <si>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</si>
  <si>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</si>
  <si>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</si>
  <si>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</si>
  <si>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</si>
  <si>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</si>
  <si>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</si>
  <si>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</si>
  <si>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</si>
  <si>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</si>
  <si>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</si>
  <si>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</si>
  <si>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</si>
  <si>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</si>
  <si>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</si>
  <si>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</si>
  <si>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</si>
  <si>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</si>
  <si>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</si>
  <si>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</si>
  <si>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</si>
  <si>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</si>
  <si>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</si>
  <si>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</si>
  <si>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</si>
  <si>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</si>
  <si>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</si>
  <si>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</si>
  <si>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</si>
  <si>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</si>
  <si>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</si>
  <si>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</si>
  <si>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</si>
  <si>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</si>
  <si>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</si>
  <si>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</si>
  <si>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</si>
  <si>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</si>
  <si>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</si>
  <si>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</si>
  <si>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</si>
  <si>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</si>
  <si>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</si>
  <si>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</si>
  <si>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</si>
  <si>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</si>
  <si>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</si>
  <si>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</si>
  <si>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</si>
  <si>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</si>
  <si>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</si>
  <si>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</si>
  <si>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</si>
  <si>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</si>
  <si>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</si>
  <si>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</si>
  <si>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</si>
  <si>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</si>
  <si>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</si>
  <si>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</si>
  <si>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</si>
  <si>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</si>
  <si>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</si>
  <si>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</si>
  <si>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</si>
  <si>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</si>
  <si>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</si>
  <si>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</si>
  <si>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</si>
  <si>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</si>
  <si>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</si>
  <si>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</si>
  <si>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</si>
  <si>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</si>
  <si>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</si>
  <si>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</si>
  <si>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</si>
  <si>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</si>
  <si>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</si>
  <si>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</si>
  <si>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</si>
  <si>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</si>
  <si>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</si>
  <si>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</si>
  <si>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</si>
  <si>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</si>
  <si>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</si>
  <si>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</si>
  <si>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</si>
  <si>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</si>
  <si>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</si>
  <si>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</si>
  <si>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</si>
  <si>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</si>
  <si>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</si>
  <si>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</si>
  <si>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</si>
  <si>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</si>
  <si>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</si>
  <si>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</si>
  <si>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</si>
  <si>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</si>
  <si>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</si>
  <si>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</si>
  <si>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</si>
  <si>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</si>
  <si>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</si>
  <si>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</si>
  <si>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</si>
  <si>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</si>
  <si>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</si>
  <si>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</si>
  <si>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</si>
  <si>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</si>
  <si>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</si>
  <si>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</si>
  <si>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</si>
  <si>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</si>
  <si>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</si>
  <si>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</si>
  <si>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</si>
  <si>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</si>
  <si>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</si>
  <si>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</si>
  <si>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</si>
  <si>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</si>
  <si>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</si>
  <si>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</si>
  <si>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</si>
  <si>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</si>
  <si>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</si>
  <si>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</si>
  <si>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</si>
  <si>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</si>
  <si>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</si>
  <si>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</si>
  <si>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</si>
  <si>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</si>
  <si>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</si>
  <si>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</si>
  <si>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</si>
  <si>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</si>
  <si>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</si>
  <si>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</si>
  <si>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</si>
  <si>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</si>
  <si>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</si>
  <si>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</si>
  <si>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</si>
  <si>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</si>
  <si>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</si>
  <si>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</si>
  <si>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</si>
  <si>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</si>
  <si>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</si>
  <si>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</si>
  <si>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</si>
  <si>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</si>
  <si>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</si>
  <si>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</si>
  <si>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</si>
  <si>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</si>
  <si>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</si>
  <si>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</si>
  <si>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</si>
  <si>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</si>
  <si>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</si>
  <si>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</si>
  <si>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</si>
  <si>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</si>
  <si>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</si>
  <si>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</si>
  <si>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</si>
  <si>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</si>
  <si>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</si>
  <si>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</si>
  <si>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</si>
  <si>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</si>
  <si>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</si>
  <si>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</si>
  <si>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</si>
  <si>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</si>
  <si>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</si>
  <si>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</si>
  <si>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</si>
  <si>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</si>
  <si>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</si>
  <si>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</si>
  <si>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</si>
  <si>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</si>
  <si>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</si>
  <si>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</si>
  <si>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</si>
  <si>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</si>
  <si>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</si>
  <si>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</si>
  <si>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</si>
  <si>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</si>
  <si>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</si>
  <si>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</si>
  <si>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</si>
  <si>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</si>
  <si>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</si>
  <si>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</si>
  <si>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</si>
  <si>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</si>
  <si>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</si>
  <si>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</si>
  <si>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</si>
  <si>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</si>
  <si>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</si>
  <si>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</si>
  <si>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</si>
  <si>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</si>
  <si>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</si>
  <si>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</si>
  <si>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</si>
  <si>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</si>
  <si>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</si>
  <si>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</si>
  <si>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</si>
  <si>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</si>
  <si>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</si>
  <si>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</si>
  <si>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</si>
  <si>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</si>
  <si>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</si>
  <si>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</si>
  <si>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</si>
  <si>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</si>
  <si>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</si>
  <si>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</si>
  <si>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</si>
  <si>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</si>
  <si>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</si>
  <si>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</si>
  <si>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</si>
  <si>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</si>
  <si>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</si>
  <si>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</si>
  <si>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</si>
  <si>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</si>
  <si>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</si>
  <si>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</si>
  <si>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</si>
  <si>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</si>
  <si>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</si>
  <si>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</si>
  <si>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</si>
  <si>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</si>
  <si>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</si>
  <si>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</si>
  <si>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</si>
  <si>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</si>
  <si>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</si>
  <si>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</si>
  <si>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</si>
  <si>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</si>
  <si>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</si>
  <si>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</si>
  <si>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</si>
  <si>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</si>
  <si>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</si>
  <si>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</si>
  <si>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</si>
  <si>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</si>
  <si>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</si>
  <si>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</si>
  <si>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</si>
  <si>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</si>
  <si>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</si>
  <si>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</si>
  <si>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</si>
  <si>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</si>
  <si>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</si>
  <si>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</si>
  <si>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</si>
  <si>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</si>
  <si>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</si>
  <si>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</si>
  <si>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</si>
  <si>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</si>
  <si>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</si>
  <si>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</si>
  <si>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</si>
  <si>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</si>
  <si>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</si>
  <si>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</si>
  <si>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</si>
  <si>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</si>
  <si>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</si>
  <si>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</si>
  <si>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</si>
  <si>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</si>
  <si>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</si>
  <si>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</si>
  <si>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</si>
  <si>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</si>
  <si>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</si>
  <si>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</si>
  <si>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</si>
  <si>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</si>
  <si>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</si>
  <si>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</si>
  <si>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</si>
  <si>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</si>
  <si>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</si>
  <si>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</si>
  <si>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</si>
  <si>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</si>
  <si>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</si>
  <si>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</si>
  <si>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</si>
  <si>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</si>
  <si>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</si>
  <si>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</si>
  <si>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</si>
  <si>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</si>
  <si>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</si>
  <si>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</si>
  <si>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</si>
  <si>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</si>
  <si>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</si>
  <si>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</si>
  <si>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</si>
  <si>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</si>
  <si>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</si>
  <si>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</si>
  <si>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</si>
  <si>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</si>
  <si>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</si>
  <si>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</si>
  <si>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</si>
  <si>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</si>
  <si>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</si>
  <si>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</si>
  <si>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</si>
  <si>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</si>
  <si>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</si>
  <si>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</si>
  <si>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</si>
  <si>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</si>
  <si>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</si>
  <si>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</si>
  <si>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</si>
  <si>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</si>
  <si>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</si>
  <si>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</si>
  <si>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</si>
  <si>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</si>
  <si>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</si>
  <si>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</si>
  <si>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</si>
  <si>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</si>
  <si>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</si>
  <si>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</si>
  <si>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</si>
  <si>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</si>
  <si>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</si>
  <si>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</si>
  <si>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</si>
  <si>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</si>
  <si>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</si>
  <si>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</si>
  <si>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</si>
  <si>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</si>
  <si>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</si>
  <si>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</si>
  <si>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</si>
  <si>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</si>
  <si>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</si>
  <si>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</si>
  <si>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</si>
  <si>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</si>
  <si>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</si>
  <si>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</si>
  <si>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</si>
  <si>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</si>
  <si>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</si>
  <si>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</si>
  <si>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</si>
  <si>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</si>
  <si>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</si>
  <si>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</si>
  <si>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</si>
  <si>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</si>
  <si>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</si>
  <si>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</si>
  <si>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</si>
  <si>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</si>
  <si>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</si>
  <si>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</si>
  <si>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</si>
  <si>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</si>
  <si>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</si>
  <si>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</si>
  <si>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</si>
  <si>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</si>
  <si>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</si>
  <si>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</si>
  <si>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</si>
  <si>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</si>
  <si>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</si>
  <si>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</si>
  <si>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</si>
  <si>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</si>
  <si>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</si>
  <si>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</si>
  <si>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</si>
  <si>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</si>
  <si>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</si>
  <si>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</si>
  <si>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</si>
  <si>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</si>
  <si>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</si>
  <si>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</si>
  <si>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</si>
  <si>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</si>
  <si>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</si>
  <si>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</si>
  <si>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</si>
  <si>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</si>
  <si>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</si>
  <si>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</si>
  <si>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</si>
  <si>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</si>
  <si>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</si>
  <si>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</si>
  <si>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</si>
  <si>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</si>
  <si>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</si>
  <si>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</si>
  <si>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</si>
  <si>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</si>
  <si>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</si>
  <si>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</si>
  <si>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</si>
  <si>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</si>
  <si>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</si>
  <si>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</si>
  <si>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</si>
  <si>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</si>
  <si>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</si>
  <si>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</si>
  <si>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</si>
  <si>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</si>
  <si>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</si>
  <si>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</si>
  <si>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</si>
  <si>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</si>
  <si>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</si>
  <si>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</si>
  <si>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</si>
  <si>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</si>
  <si>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</si>
  <si>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</si>
  <si>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</si>
  <si>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</si>
  <si>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</si>
  <si>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</si>
  <si>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</si>
  <si>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</si>
  <si>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</si>
  <si>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</si>
  <si>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</si>
  <si>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</si>
  <si>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</si>
  <si>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</si>
  <si>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</si>
  <si>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</si>
  <si>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</si>
  <si>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</si>
  <si>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</si>
  <si>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</si>
  <si>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</si>
  <si>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</si>
  <si>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</si>
  <si>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</si>
  <si>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</si>
  <si>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</si>
  <si>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</si>
  <si>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</si>
  <si>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</si>
  <si>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</si>
  <si>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</si>
  <si>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</si>
  <si>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</si>
  <si>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</si>
  <si>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</si>
  <si>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</si>
  <si>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</si>
  <si>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</si>
  <si>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</si>
  <si>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</si>
  <si>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</si>
  <si>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</si>
  <si>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</si>
  <si>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</si>
  <si>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</si>
  <si>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</si>
  <si>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</si>
  <si>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</si>
  <si>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</si>
  <si>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</si>
  <si>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</si>
  <si>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</si>
  <si>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</si>
  <si>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</si>
  <si>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</si>
  <si>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</si>
  <si>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</si>
  <si>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</si>
  <si>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</si>
  <si>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</si>
  <si>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</si>
  <si>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</si>
  <si>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</si>
  <si>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</si>
  <si>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</si>
  <si>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</si>
  <si>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</si>
  <si>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</si>
  <si>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</si>
  <si>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</si>
  <si>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</si>
  <si>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</si>
  <si>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</si>
  <si>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</si>
  <si>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</si>
  <si>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</si>
  <si>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</si>
  <si>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</si>
  <si>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</si>
  <si>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</si>
  <si>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</si>
  <si>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</si>
  <si>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</si>
  <si>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</si>
  <si>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</si>
  <si>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</si>
  <si>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</si>
  <si>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</si>
  <si>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</si>
  <si>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</si>
  <si>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</si>
  <si>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</si>
  <si>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</si>
  <si>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</si>
  <si>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</si>
  <si>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</si>
  <si>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</si>
  <si>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</si>
  <si>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</si>
  <si>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</si>
  <si>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</si>
  <si>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</si>
  <si>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</si>
  <si>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</si>
  <si>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</si>
  <si>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</si>
  <si>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</si>
  <si>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</si>
  <si>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</si>
  <si>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</si>
  <si>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</si>
  <si>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</si>
  <si>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</si>
  <si>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</si>
  <si>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</si>
  <si>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</si>
  <si>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</si>
  <si>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</si>
  <si>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</si>
  <si>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</si>
  <si>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</si>
  <si>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</si>
  <si>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</si>
  <si>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</si>
  <si>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</si>
  <si>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</si>
  <si>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</si>
  <si>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</si>
  <si>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</si>
  <si>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</si>
  <si>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</si>
  <si>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</si>
  <si>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</si>
  <si>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</si>
  <si>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</si>
  <si>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</si>
  <si>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</si>
  <si>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</si>
  <si>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</si>
  <si>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</si>
  <si>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</si>
  <si>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</si>
  <si>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</si>
  <si>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</si>
  <si>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</si>
  <si>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</si>
  <si>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</si>
  <si>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</si>
  <si>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</si>
  <si>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</si>
  <si>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</si>
  <si>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</si>
  <si>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</si>
  <si>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</si>
  <si>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</si>
  <si>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</si>
  <si>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</si>
  <si>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</si>
  <si>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</si>
  <si>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</si>
  <si>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</si>
  <si>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</si>
  <si>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</si>
  <si>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</si>
  <si>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</si>
  <si>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</si>
  <si>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</si>
  <si>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</si>
  <si>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</si>
  <si>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</si>
  <si>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</si>
  <si>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</si>
  <si>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</si>
  <si>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</si>
  <si>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</si>
  <si>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</si>
  <si>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</si>
  <si>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</si>
  <si>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</si>
  <si>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</si>
  <si>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</si>
  <si>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</si>
  <si>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</si>
  <si>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</si>
  <si>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</si>
  <si>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</si>
  <si>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</si>
  <si>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</si>
  <si>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</si>
  <si>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</si>
  <si>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</si>
  <si>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</si>
  <si>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</si>
  <si>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</si>
  <si>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</si>
  <si>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</si>
  <si>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</si>
  <si>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</si>
  <si>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</si>
  <si>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</si>
  <si>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</si>
  <si>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</si>
  <si>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</si>
  <si>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</si>
  <si>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</si>
  <si>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</si>
  <si>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</si>
  <si>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</si>
  <si>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</si>
  <si>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</si>
  <si>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</si>
  <si>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</si>
  <si>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</si>
  <si>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</si>
  <si>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</si>
  <si>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</si>
  <si>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</si>
  <si>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</si>
  <si>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</si>
  <si>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</si>
  <si>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</si>
  <si>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</si>
  <si>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</si>
  <si>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</si>
  <si>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</si>
  <si>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</si>
  <si>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</si>
  <si>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</si>
  <si>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</si>
  <si>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</si>
  <si>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</si>
  <si>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</si>
  <si>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</si>
  <si>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</si>
  <si>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</si>
  <si>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</si>
  <si>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</si>
  <si>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</si>
  <si>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</si>
  <si>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</si>
  <si>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</si>
  <si>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</si>
  <si>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</si>
  <si>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</si>
  <si>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</si>
  <si>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</si>
  <si>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</si>
  <si>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</si>
  <si>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</si>
  <si>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</si>
  <si>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</si>
  <si>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</si>
  <si>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</si>
  <si>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</si>
  <si>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</si>
  <si>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</si>
  <si>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</si>
  <si>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</si>
  <si>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</si>
  <si>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</si>
  <si>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</si>
  <si>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</si>
  <si>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</si>
  <si>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</si>
  <si>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</si>
  <si>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</si>
  <si>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</si>
  <si>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</si>
  <si>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</si>
  <si>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</si>
  <si>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</si>
  <si>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</si>
  <si>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</si>
  <si>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</si>
  <si>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</si>
  <si>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</si>
  <si>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</si>
  <si>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</si>
  <si>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</si>
  <si>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</si>
  <si>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</si>
  <si>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</si>
  <si>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</si>
  <si>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</si>
  <si>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</si>
  <si>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</si>
  <si>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</si>
  <si>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</si>
  <si>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</si>
  <si>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</si>
  <si>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</si>
  <si>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</si>
  <si>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</si>
  <si>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</si>
  <si>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</si>
  <si>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</si>
  <si>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</si>
  <si>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</si>
  <si>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</si>
  <si>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</si>
  <si>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</si>
  <si>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</si>
  <si>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</si>
  <si>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</si>
  <si>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</si>
  <si>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</si>
  <si>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</si>
  <si>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</si>
  <si>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</si>
  <si>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</si>
  <si>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</si>
  <si>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</si>
  <si>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</si>
  <si>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</si>
  <si>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</si>
  <si>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</si>
  <si>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</si>
  <si>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</si>
  <si>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</si>
  <si>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</si>
  <si>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</si>
  <si>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</si>
  <si>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</si>
  <si>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</si>
  <si>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</si>
  <si>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</si>
  <si>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</si>
  <si>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</si>
  <si>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</si>
  <si>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</si>
  <si>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</si>
  <si>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</si>
  <si>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</si>
  <si>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</si>
  <si>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</si>
  <si>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</si>
  <si>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</si>
  <si>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</si>
  <si>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</si>
  <si>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</si>
  <si>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</si>
  <si>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</si>
  <si>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</si>
  <si>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</si>
  <si>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</si>
  <si>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</si>
  <si>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</si>
  <si>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</si>
  <si>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</si>
  <si>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</si>
  <si>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</si>
  <si>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</si>
  <si>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</si>
  <si>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</si>
  <si>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</si>
  <si>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</si>
  <si>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</si>
  <si>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</si>
  <si>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</si>
  <si>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</si>
  <si>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</si>
  <si>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</si>
  <si>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</si>
  <si>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</si>
  <si>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</si>
  <si>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</si>
  <si>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</si>
  <si>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</si>
  <si>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</si>
  <si>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</si>
  <si>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</si>
  <si>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</si>
  <si>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</si>
  <si>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</si>
  <si>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</si>
  <si>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</si>
  <si>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</si>
  <si>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</si>
  <si>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</si>
  <si>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</si>
  <si>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</si>
  <si>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</si>
  <si>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</si>
  <si>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</si>
  <si>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</si>
  <si>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</si>
  <si>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</si>
  <si>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</si>
  <si>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</si>
  <si>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</si>
  <si>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</si>
  <si>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</si>
  <si>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</si>
  <si>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</si>
  <si>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</si>
  <si>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</si>
  <si>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</si>
  <si>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</si>
  <si>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</si>
  <si>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</si>
  <si>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</si>
  <si>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</si>
  <si>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</si>
  <si>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</si>
  <si>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</si>
  <si>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</si>
  <si>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</si>
  <si>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</si>
  <si>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</si>
  <si>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</si>
  <si>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</si>
  <si>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</si>
  <si>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</si>
  <si>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</si>
  <si>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</si>
  <si>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</si>
  <si>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</si>
  <si>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</si>
  <si>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</si>
  <si>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</si>
  <si>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</si>
  <si>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</si>
  <si>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</si>
  <si>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</si>
  <si>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</si>
  <si>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</si>
  <si>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</si>
  <si>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</si>
  <si>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</si>
  <si>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</si>
  <si>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</si>
  <si>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</si>
  <si>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</si>
  <si>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</si>
  <si>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</si>
  <si>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</si>
  <si>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</si>
  <si>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</si>
  <si>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</si>
  <si>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</si>
  <si>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</si>
  <si>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</si>
  <si>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</si>
  <si>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</si>
  <si>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</si>
  <si>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</si>
  <si>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</si>
  <si>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</si>
  <si>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</si>
  <si>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</si>
  <si>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</si>
  <si>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</si>
  <si>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</si>
  <si>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</si>
  <si>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</si>
  <si>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</si>
  <si>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</si>
  <si>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</si>
  <si>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</si>
  <si>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</si>
  <si>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</si>
  <si>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</si>
  <si>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</si>
  <si>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</si>
  <si>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</si>
  <si>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</si>
  <si>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</si>
  <si>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</si>
  <si>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</si>
  <si>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</si>
  <si>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</si>
  <si>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</si>
  <si>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</si>
  <si>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</si>
  <si>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</si>
  <si>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</si>
  <si>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</si>
  <si>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</si>
  <si>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</si>
  <si>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</si>
  <si>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</si>
  <si>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</si>
  <si>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</si>
  <si>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</si>
  <si>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</si>
  <si>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</si>
  <si>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</si>
  <si>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</si>
  <si>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</si>
  <si>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</si>
  <si>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</si>
  <si>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</si>
  <si>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</si>
  <si>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</si>
  <si>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</si>
  <si>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</si>
  <si>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</si>
  <si>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</si>
  <si>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</si>
  <si>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</si>
  <si>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</si>
  <si>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</si>
  <si>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10"/>
        <color indexed="8"/>
        <rFont val="宋体"/>
        <family val="3"/>
        <charset val="134"/>
      </rPr>
      <t>原件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</si>
  <si>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</si>
  <si>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</si>
  <si>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</si>
  <si>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</si>
  <si>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</si>
  <si>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</si>
  <si>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</si>
  <si>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</si>
  <si>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</si>
  <si>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</si>
  <si>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</si>
  <si>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</si>
  <si>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</si>
  <si>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</si>
  <si>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</si>
  <si>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</si>
  <si>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</si>
  <si>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</si>
  <si>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</si>
  <si>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</si>
  <si>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</si>
  <si>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</si>
  <si>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</si>
  <si>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</si>
  <si>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</si>
  <si>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</si>
  <si>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</si>
  <si>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</si>
  <si>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</si>
  <si>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</si>
  <si>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</si>
  <si>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</si>
  <si>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</si>
  <si>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</si>
  <si>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</si>
  <si>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</si>
  <si>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</si>
  <si>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</si>
  <si>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</si>
  <si>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</si>
  <si>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</si>
  <si>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</si>
  <si>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</si>
  <si>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</si>
  <si>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</si>
  <si>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</si>
  <si>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</si>
  <si>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</si>
  <si>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</si>
  <si>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</si>
  <si>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</si>
  <si>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</si>
  <si>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</si>
  <si>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</si>
  <si>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</si>
  <si>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</si>
  <si>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</si>
  <si>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</si>
  <si>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</si>
  <si>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</si>
  <si>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</si>
  <si>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</si>
  <si>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</si>
  <si>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</si>
  <si>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</si>
  <si>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</si>
  <si>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</si>
  <si>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</si>
  <si>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</si>
  <si>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</si>
  <si>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</si>
  <si>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</si>
  <si>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</si>
  <si>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</si>
  <si>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</si>
  <si>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</si>
  <si>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</si>
  <si>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</si>
  <si>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</si>
  <si>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</si>
  <si>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</si>
  <si>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</si>
  <si>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</si>
  <si>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</si>
  <si>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</si>
  <si>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</si>
  <si>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</si>
  <si>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</si>
  <si>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</si>
  <si>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</si>
  <si>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</si>
  <si>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</si>
  <si>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</si>
  <si>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</si>
  <si>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</si>
  <si>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</si>
  <si>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</si>
  <si>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</si>
  <si>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</si>
  <si>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</si>
  <si>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</si>
  <si>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</si>
  <si>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</si>
  <si>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</si>
  <si>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</si>
  <si>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</si>
  <si>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</si>
  <si>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</si>
  <si>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</si>
  <si>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</si>
  <si>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</si>
  <si>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</si>
  <si>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</si>
  <si>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</si>
  <si>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</si>
  <si>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</si>
  <si>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</si>
  <si>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</si>
  <si>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</si>
  <si>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</si>
  <si>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</si>
  <si>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</si>
  <si>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</si>
  <si>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</si>
  <si>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</si>
  <si>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</si>
  <si>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</si>
  <si>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</si>
  <si>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</si>
  <si>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</si>
  <si>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</si>
  <si>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</si>
  <si>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</si>
  <si>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</si>
  <si>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</si>
  <si>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</si>
  <si>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</si>
  <si>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</si>
  <si>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</si>
  <si>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</si>
  <si>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</si>
  <si>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</si>
  <si>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</si>
  <si>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</si>
  <si>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</si>
  <si>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</si>
  <si>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</si>
  <si>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</si>
  <si>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</si>
  <si>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</si>
  <si>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</si>
  <si>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</si>
  <si>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</si>
  <si>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</si>
  <si>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</si>
  <si>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</si>
  <si>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</si>
  <si>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</si>
  <si>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</si>
  <si>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</si>
  <si>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</si>
  <si>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</si>
  <si>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</si>
  <si>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</si>
  <si>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</si>
  <si>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</si>
  <si>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</si>
  <si>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</si>
  <si>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</si>
  <si>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</si>
  <si>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</si>
  <si>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</si>
  <si>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</si>
  <si>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</si>
  <si>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</si>
  <si>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</si>
  <si>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</si>
  <si>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</si>
  <si>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</si>
  <si>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</si>
  <si>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</si>
  <si>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</si>
  <si>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</si>
  <si>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</si>
  <si>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</si>
  <si>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</si>
  <si>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</si>
  <si>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</si>
  <si>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</si>
  <si>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</si>
  <si>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</si>
  <si>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</si>
  <si>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</si>
  <si>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</si>
  <si>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</si>
  <si>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</si>
  <si>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</si>
  <si>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</si>
  <si>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</si>
  <si>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</si>
  <si>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</si>
  <si>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</si>
  <si>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</si>
  <si>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</si>
  <si>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</si>
  <si>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</si>
  <si>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</si>
  <si>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</si>
  <si>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</si>
  <si>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</si>
  <si>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</si>
  <si>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</si>
  <si>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</si>
  <si>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</si>
  <si>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</si>
  <si>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</si>
  <si>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</si>
  <si>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</si>
  <si>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</si>
  <si>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</si>
  <si>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</si>
  <si>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</si>
  <si>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</si>
  <si>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</si>
  <si>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</si>
  <si>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</si>
  <si>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</si>
  <si>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</si>
  <si>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</si>
  <si>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</si>
  <si>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</si>
  <si>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</si>
  <si>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</si>
  <si>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</si>
  <si>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</si>
  <si>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</si>
  <si>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</si>
  <si>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</si>
  <si>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</si>
  <si>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</si>
  <si>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</si>
  <si>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</si>
  <si>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</si>
  <si>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</si>
  <si>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</si>
  <si>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</si>
  <si>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</si>
  <si>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</si>
  <si>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</si>
  <si>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</si>
  <si>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</si>
  <si>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</si>
  <si>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</si>
  <si>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</si>
  <si>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</si>
  <si>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</si>
  <si>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</si>
  <si>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</si>
  <si>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</si>
  <si>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</si>
  <si>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</si>
  <si>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</si>
  <si>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</si>
  <si>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</si>
  <si>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</si>
  <si>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</si>
  <si>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</si>
  <si>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</si>
  <si>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</si>
  <si>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</si>
  <si>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</si>
  <si>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</si>
  <si>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</si>
  <si>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</si>
  <si>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</si>
  <si>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</si>
  <si>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</si>
  <si>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</si>
  <si>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</si>
  <si>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</si>
  <si>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</si>
  <si>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</si>
  <si>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</si>
  <si>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</si>
  <si>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</si>
  <si>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</si>
  <si>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</si>
  <si>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</si>
  <si>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</si>
  <si>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</si>
  <si>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</si>
  <si>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</si>
  <si>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</si>
  <si>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</si>
  <si>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</si>
  <si>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</si>
  <si>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</si>
  <si>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</si>
  <si>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</si>
  <si>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</si>
  <si>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</si>
  <si>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</si>
  <si>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</si>
  <si>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</si>
  <si>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</si>
  <si>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</si>
  <si>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</si>
  <si>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</si>
  <si>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</si>
  <si>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</si>
  <si>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</si>
  <si>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</si>
  <si>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</si>
  <si>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</si>
  <si>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</si>
  <si>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</si>
  <si>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</si>
  <si>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</si>
  <si>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</si>
  <si>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</si>
  <si>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</si>
  <si>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</si>
  <si>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</si>
  <si>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</si>
  <si>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</si>
  <si>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</si>
  <si>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</si>
  <si>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</si>
  <si>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</si>
  <si>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</si>
  <si>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</si>
  <si>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</si>
  <si>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</si>
  <si>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</si>
  <si>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</si>
  <si>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</si>
  <si>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</si>
  <si>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</si>
  <si>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</si>
  <si>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</si>
  <si>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</si>
  <si>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</si>
  <si>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</si>
  <si>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</si>
  <si>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</si>
  <si>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</si>
  <si>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</si>
  <si>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</si>
  <si>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</si>
  <si>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</si>
  <si>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</si>
  <si>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</si>
  <si>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</si>
  <si>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</si>
  <si>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</si>
  <si>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</si>
  <si>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</si>
  <si>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</si>
  <si>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</si>
  <si>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</si>
  <si>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</si>
  <si>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</si>
  <si>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</si>
  <si>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</si>
  <si>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</si>
  <si>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</si>
  <si>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</si>
  <si>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</si>
  <si>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</si>
  <si>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</si>
  <si>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</si>
  <si>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</si>
  <si>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</si>
  <si>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</si>
  <si>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</si>
  <si>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</si>
  <si>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</si>
  <si>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</si>
  <si>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</si>
  <si>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</si>
  <si>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</si>
  <si>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</si>
  <si>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</si>
  <si>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</si>
  <si>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</si>
  <si>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</si>
  <si>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</si>
  <si>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</si>
  <si>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</si>
  <si>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</si>
  <si>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</si>
  <si>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</si>
  <si>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</si>
  <si>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</si>
  <si>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</si>
  <si>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</si>
  <si>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</si>
  <si>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</si>
  <si>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</si>
  <si>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</si>
  <si>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</si>
  <si>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</si>
  <si>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</si>
  <si>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</si>
  <si>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</si>
  <si>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</si>
  <si>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</si>
  <si>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</si>
  <si>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</si>
  <si>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</si>
  <si>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</si>
  <si>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</si>
  <si>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</si>
  <si>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</si>
  <si>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</si>
  <si>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</si>
  <si>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</si>
  <si>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</si>
  <si>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</si>
  <si>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</si>
  <si>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</si>
  <si>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</si>
  <si>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</si>
  <si>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</si>
  <si>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</si>
  <si>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</si>
  <si>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</si>
  <si>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</si>
  <si>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</si>
  <si>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</si>
  <si>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</si>
  <si>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</si>
  <si>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</si>
  <si>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</si>
  <si>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</si>
  <si>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</si>
  <si>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</si>
  <si>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</si>
  <si>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</si>
  <si>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</si>
  <si>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</si>
  <si>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</si>
  <si>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</si>
  <si>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</si>
  <si>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</si>
  <si>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</si>
  <si>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</si>
  <si>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</si>
  <si>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</si>
  <si>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</si>
  <si>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</si>
  <si>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</si>
  <si>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</si>
  <si>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</si>
  <si>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</si>
  <si>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</si>
  <si>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</si>
  <si>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</si>
  <si>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</si>
  <si>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</si>
  <si>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</si>
  <si>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</si>
  <si>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</si>
  <si>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</si>
  <si>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</si>
  <si>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</si>
  <si>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</si>
  <si>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</si>
  <si>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</si>
  <si>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</si>
  <si>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</si>
  <si>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</si>
  <si>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</si>
  <si>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</si>
  <si>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</si>
  <si>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</si>
  <si>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</si>
  <si>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</si>
  <si>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</si>
  <si>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</si>
  <si>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</si>
  <si>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</si>
  <si>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</si>
  <si>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</si>
  <si>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</si>
  <si>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</si>
  <si>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</si>
  <si>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</si>
  <si>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</si>
  <si>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</si>
  <si>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</si>
  <si>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</si>
  <si>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</si>
  <si>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</si>
  <si>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</si>
  <si>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</si>
  <si>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</si>
  <si>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</si>
  <si>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</si>
  <si>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</si>
  <si>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</si>
  <si>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</si>
  <si>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</si>
  <si>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</si>
  <si>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</si>
  <si>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</si>
  <si>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</si>
  <si>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</si>
  <si>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</si>
  <si>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</si>
  <si>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</si>
  <si>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</si>
  <si>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</si>
  <si>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</si>
  <si>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</si>
  <si>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</si>
  <si>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</si>
  <si>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</si>
  <si>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</si>
  <si>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</si>
  <si>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</si>
  <si>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</si>
  <si>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</si>
  <si>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</si>
  <si>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</si>
  <si>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</si>
  <si>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</si>
  <si>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</si>
  <si>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</si>
  <si>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</si>
  <si>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</si>
  <si>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</si>
  <si>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</si>
  <si>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</si>
  <si>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</si>
  <si>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</si>
  <si>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</si>
  <si>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</si>
  <si>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</si>
  <si>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</si>
  <si>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</si>
  <si>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</si>
  <si>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</si>
  <si>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</si>
  <si>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</si>
  <si>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</si>
  <si>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</si>
  <si>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</si>
  <si>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</si>
  <si>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</si>
  <si>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</si>
  <si>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</si>
  <si>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</si>
  <si>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</si>
  <si>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</si>
  <si>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</si>
  <si>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</si>
  <si>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</si>
  <si>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</si>
  <si>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</si>
  <si>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</si>
  <si>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</si>
  <si>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</si>
  <si>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</si>
  <si>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</si>
  <si>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</si>
  <si>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</si>
  <si>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</si>
  <si>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</si>
  <si>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</si>
  <si>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</si>
  <si>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</si>
  <si>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</si>
  <si>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</si>
  <si>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</si>
  <si>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</si>
  <si>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</si>
  <si>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</si>
  <si>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</si>
  <si>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</si>
  <si>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</si>
  <si>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</si>
  <si>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</si>
  <si>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</si>
  <si>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</si>
  <si>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</si>
  <si>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</si>
  <si>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</si>
  <si>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</si>
  <si>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</si>
  <si>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</si>
  <si>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</si>
  <si>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</si>
  <si>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</si>
  <si>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</si>
  <si>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</si>
  <si>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</si>
  <si>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</si>
  <si>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</si>
  <si>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</si>
  <si>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</si>
  <si>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</si>
  <si>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</si>
  <si>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</si>
  <si>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</si>
  <si>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</si>
  <si>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</si>
  <si>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</si>
  <si>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</si>
  <si>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</si>
  <si>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</si>
  <si>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</si>
  <si>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</si>
  <si>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</si>
  <si>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</si>
  <si>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</si>
  <si>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</si>
  <si>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</si>
  <si>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</si>
  <si>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</si>
  <si>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</si>
  <si>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</si>
  <si>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</si>
  <si>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</si>
  <si>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</si>
  <si>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</si>
  <si>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</si>
  <si>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</si>
  <si>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</si>
  <si>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</si>
  <si>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</si>
  <si>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</si>
  <si>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</si>
  <si>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</si>
  <si>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</si>
  <si>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</si>
  <si>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</si>
  <si>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</si>
  <si>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</si>
  <si>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</si>
  <si>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</si>
  <si>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</si>
  <si>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</si>
  <si>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</si>
  <si>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</si>
  <si>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</si>
  <si>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</si>
  <si>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</si>
  <si>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</si>
  <si>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</si>
  <si>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</si>
  <si>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</si>
  <si>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</si>
  <si>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</si>
  <si>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</si>
  <si>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</si>
  <si>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</si>
  <si>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</si>
  <si>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</si>
  <si>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</si>
  <si>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</si>
  <si>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</si>
  <si>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</si>
  <si>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</si>
  <si>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</si>
  <si>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</si>
  <si>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</si>
  <si>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</si>
  <si>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</si>
  <si>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</si>
  <si>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</si>
  <si>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</si>
  <si>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</si>
  <si>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</si>
  <si>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</si>
  <si>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</si>
  <si>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</si>
  <si>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</si>
  <si>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</si>
  <si>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</si>
  <si>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</si>
  <si>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</si>
  <si>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</si>
  <si>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</si>
  <si>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</si>
  <si>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</si>
  <si>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</si>
  <si>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</si>
  <si>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</si>
  <si>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</si>
  <si>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</si>
  <si>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</si>
  <si>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</si>
  <si>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</si>
  <si>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</si>
  <si>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</si>
  <si>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</si>
  <si>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</si>
  <si>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</si>
  <si>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</si>
  <si>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</si>
  <si>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</si>
  <si>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</si>
  <si>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</si>
  <si>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</si>
  <si>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</si>
  <si>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</si>
  <si>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</si>
  <si>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</si>
  <si>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</si>
  <si>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</si>
  <si>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</si>
  <si>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</si>
  <si>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</si>
  <si>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</si>
  <si>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</si>
  <si>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</si>
  <si>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</si>
  <si>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</si>
  <si>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</si>
  <si>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</si>
  <si>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</si>
  <si>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</si>
  <si>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</si>
  <si>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</si>
  <si>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</si>
  <si>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</si>
  <si>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</si>
  <si>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</si>
  <si>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</si>
  <si>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</si>
  <si>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</si>
  <si>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</si>
  <si>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</si>
  <si>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</si>
  <si>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</si>
  <si>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</si>
  <si>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</si>
  <si>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</si>
  <si>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</si>
  <si>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</si>
  <si>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</si>
  <si>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</si>
  <si>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</si>
  <si>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</si>
  <si>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</si>
  <si>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</si>
  <si>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</si>
  <si>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</si>
  <si>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</si>
  <si>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</si>
  <si>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</si>
  <si>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</si>
  <si>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</si>
  <si>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</si>
  <si>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</si>
  <si>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</si>
  <si>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</si>
  <si>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</si>
  <si>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</si>
  <si>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</si>
  <si>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</si>
  <si>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</si>
  <si>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</si>
  <si>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</si>
  <si>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</si>
  <si>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</si>
  <si>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</si>
  <si>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</si>
  <si>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</si>
  <si>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</si>
  <si>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</si>
  <si>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</si>
  <si>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</si>
  <si>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</si>
  <si>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</si>
  <si>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</si>
  <si>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</si>
  <si>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</si>
  <si>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</si>
  <si>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</si>
  <si>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</si>
  <si>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</si>
  <si>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</si>
  <si>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</si>
  <si>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</si>
  <si>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</si>
  <si>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</si>
  <si>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</si>
  <si>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</si>
  <si>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</si>
  <si>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</si>
  <si>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</si>
  <si>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</si>
  <si>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</si>
  <si>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</si>
  <si>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</si>
  <si>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</si>
  <si>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</si>
  <si>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</si>
  <si>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</si>
  <si>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</si>
  <si>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</si>
  <si>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</si>
  <si>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</si>
  <si>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</si>
  <si>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</si>
  <si>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</si>
  <si>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</si>
  <si>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</si>
  <si>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</si>
  <si>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</si>
  <si>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</si>
  <si>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</si>
  <si>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</si>
  <si>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</si>
  <si>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</si>
  <si>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</si>
  <si>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</si>
  <si>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</si>
  <si>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</si>
  <si>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</si>
  <si>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</si>
  <si>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</si>
  <si>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</si>
  <si>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</si>
  <si>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</si>
  <si>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</si>
  <si>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</si>
  <si>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</si>
  <si>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</si>
  <si>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</si>
  <si>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</si>
  <si>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</si>
  <si>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</si>
  <si>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</si>
  <si>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</si>
  <si>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</si>
  <si>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</si>
  <si>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</si>
  <si>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</si>
  <si>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</si>
  <si>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</si>
  <si>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</si>
  <si>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</si>
  <si>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</si>
  <si>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</si>
  <si>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</si>
  <si>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</si>
  <si>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</si>
  <si>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</si>
  <si>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</si>
  <si>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</si>
  <si>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</si>
  <si>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</si>
  <si>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</si>
  <si>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</si>
  <si>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</si>
  <si>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</si>
  <si>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</si>
  <si>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</si>
  <si>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</si>
  <si>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</si>
  <si>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</si>
  <si>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</si>
  <si>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</si>
  <si>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</si>
  <si>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</si>
  <si>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</si>
  <si>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</si>
  <si>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</si>
  <si>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</si>
  <si>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</si>
  <si>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</si>
  <si>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</si>
  <si>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</si>
  <si>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</si>
  <si>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</si>
  <si>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</si>
  <si>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</si>
  <si>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</si>
  <si>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</si>
  <si>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</si>
  <si>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</si>
  <si>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</si>
  <si>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</si>
  <si>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</si>
  <si>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</si>
  <si>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</si>
  <si>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</si>
  <si>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</si>
  <si>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</si>
  <si>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</si>
  <si>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</si>
  <si>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</si>
  <si>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</si>
  <si>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</si>
  <si>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</si>
  <si>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</si>
  <si>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</si>
  <si>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</si>
  <si>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</si>
  <si>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</si>
  <si>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</si>
  <si>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</si>
  <si>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</si>
  <si>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</si>
  <si>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</si>
  <si>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</si>
  <si>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</si>
  <si>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</si>
  <si>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</si>
  <si>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</si>
  <si>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</si>
  <si>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</si>
  <si>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</si>
  <si>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</si>
  <si>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</si>
  <si>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</si>
  <si>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</si>
  <si>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</si>
  <si>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</si>
  <si>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</si>
  <si>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</si>
  <si>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</si>
  <si>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</si>
  <si>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</si>
  <si>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</si>
  <si>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</si>
  <si>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</si>
  <si>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</si>
  <si>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</si>
  <si>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</si>
  <si>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</si>
  <si>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</si>
  <si>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</si>
  <si>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</si>
  <si>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</si>
  <si>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</si>
  <si>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</si>
  <si>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</si>
  <si>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</si>
  <si>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</si>
  <si>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</si>
  <si>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</si>
  <si>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</si>
  <si>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</si>
  <si>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</si>
  <si>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</si>
  <si>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</si>
  <si>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</si>
  <si>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</si>
  <si>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</si>
  <si>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</si>
  <si>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</si>
  <si>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</si>
  <si>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</si>
  <si>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</si>
  <si>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</si>
  <si>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</si>
  <si>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</si>
  <si>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</si>
  <si>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</si>
  <si>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</si>
  <si>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</si>
  <si>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</si>
  <si>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</si>
  <si>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</si>
  <si>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</si>
  <si>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</si>
  <si>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</si>
  <si>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</si>
  <si>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</si>
  <si>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</si>
  <si>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</si>
  <si>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</si>
  <si>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</si>
  <si>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</si>
  <si>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</si>
  <si>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</si>
  <si>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</si>
  <si>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</si>
  <si>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</si>
  <si>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</si>
  <si>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</si>
  <si>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</si>
  <si>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</si>
  <si>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</si>
  <si>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</si>
  <si>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</si>
  <si>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</si>
  <si>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</si>
  <si>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</si>
  <si>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</si>
  <si>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</si>
  <si>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</si>
  <si>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</si>
  <si>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</si>
  <si>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</si>
  <si>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</si>
  <si>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</si>
  <si>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</si>
  <si>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</si>
  <si>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</si>
  <si>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</si>
  <si>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</si>
  <si>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</si>
  <si>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</si>
  <si>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</si>
  <si>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</si>
  <si>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</si>
  <si>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</si>
  <si>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</si>
  <si>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</si>
  <si>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</si>
  <si>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</si>
  <si>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</si>
  <si>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</si>
  <si>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</si>
  <si>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</si>
  <si>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</si>
  <si>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</si>
  <si>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</si>
  <si>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</si>
  <si>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</si>
  <si>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</si>
  <si>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</si>
  <si>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</si>
  <si>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</si>
  <si>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</si>
  <si>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</si>
  <si>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</si>
  <si>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</si>
  <si>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</si>
  <si>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</si>
  <si>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</si>
  <si>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</si>
  <si>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</si>
  <si>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</si>
  <si>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</si>
  <si>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</si>
  <si>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</si>
  <si>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</si>
  <si>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</si>
  <si>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</si>
  <si>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</si>
  <si>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</si>
  <si>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</si>
  <si>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</si>
  <si>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</si>
  <si>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</si>
  <si>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</si>
  <si>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</si>
  <si>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</si>
  <si>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</si>
  <si>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</si>
  <si>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</si>
  <si>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</si>
  <si>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</si>
  <si>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</si>
  <si>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</si>
  <si>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</si>
  <si>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</si>
  <si>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</si>
  <si>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</si>
  <si>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</si>
  <si>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</si>
  <si>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</si>
  <si>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</si>
  <si>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</si>
  <si>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</si>
  <si>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</si>
  <si>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</si>
  <si>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</si>
  <si>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</si>
  <si>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</si>
  <si>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</si>
  <si>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</si>
  <si>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</si>
  <si>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</si>
  <si>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</si>
  <si>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</si>
  <si>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</si>
  <si>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</si>
  <si>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</si>
  <si>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</si>
  <si>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</si>
  <si>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</si>
  <si>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</si>
  <si>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</si>
  <si>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</si>
  <si>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</si>
  <si>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</si>
  <si>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</si>
  <si>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</si>
  <si>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</si>
  <si>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</si>
  <si>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</si>
  <si>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</si>
  <si>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</si>
  <si>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</si>
  <si>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</si>
  <si>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</si>
  <si>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</si>
  <si>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</si>
  <si>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</si>
  <si>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</si>
  <si>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</si>
  <si>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</si>
  <si>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</si>
  <si>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</si>
  <si>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</si>
  <si>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</si>
  <si>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</si>
  <si>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</si>
  <si>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</si>
  <si>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</si>
  <si>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</si>
  <si>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</si>
  <si>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</si>
  <si>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</si>
  <si>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</si>
  <si>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</si>
  <si>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</si>
  <si>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</si>
  <si>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</si>
  <si>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</si>
  <si>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</si>
  <si>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</si>
  <si>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</si>
  <si>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</si>
  <si>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</si>
  <si>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</si>
  <si>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</si>
  <si>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</si>
  <si>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</si>
  <si>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</si>
  <si>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</si>
  <si>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</si>
  <si>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</si>
  <si>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</si>
  <si>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</si>
  <si>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</si>
  <si>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</si>
  <si>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</si>
  <si>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</si>
  <si>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</si>
  <si>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</si>
  <si>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</si>
  <si>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</si>
  <si>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</si>
  <si>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</si>
  <si>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</si>
  <si>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</si>
  <si>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</si>
  <si>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</si>
  <si>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</si>
  <si>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</si>
  <si>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</si>
  <si>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</si>
  <si>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</si>
  <si>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</si>
  <si>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</si>
  <si>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</si>
  <si>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</si>
  <si>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</si>
  <si>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</si>
  <si>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</si>
  <si>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</si>
  <si>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</si>
  <si>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</si>
  <si>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</si>
  <si>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</si>
  <si>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</si>
  <si>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</si>
  <si>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</si>
  <si>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</si>
  <si>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</si>
  <si>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</si>
  <si>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</si>
  <si>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</si>
  <si>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</si>
  <si>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</si>
  <si>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</si>
  <si>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</si>
  <si>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</si>
  <si>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</si>
  <si>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</si>
  <si>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</si>
  <si>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</si>
  <si>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</si>
  <si>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</si>
  <si>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</si>
  <si>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</si>
  <si>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</si>
  <si>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</si>
  <si>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</si>
  <si>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</si>
  <si>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</si>
  <si>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</si>
  <si>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</si>
  <si>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</si>
  <si>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</si>
  <si>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</si>
  <si>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</si>
  <si>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</si>
  <si>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</si>
  <si>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</si>
  <si>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</si>
  <si>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</si>
  <si>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</si>
  <si>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</si>
  <si>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</si>
  <si>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</si>
  <si>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</si>
  <si>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</si>
  <si>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</si>
  <si>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</si>
  <si>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</si>
  <si>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</si>
  <si>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白景生</t>
    <phoneticPr fontId="4" type="noConversion"/>
  </si>
  <si>
    <t>2018-3</t>
    <phoneticPr fontId="144" type="noConversion"/>
  </si>
  <si>
    <t>2018-2</t>
    <phoneticPr fontId="4" type="noConversion"/>
  </si>
  <si>
    <t>五矿信托有限责任公司</t>
    <phoneticPr fontId="7" type="noConversion"/>
  </si>
  <si>
    <t>济南世茂天城置业有限公司</t>
    <phoneticPr fontId="7" type="noConversion"/>
  </si>
  <si>
    <t>企业</t>
  </si>
  <si>
    <t>其他：</t>
  </si>
  <si>
    <t>山东省济南市</t>
    <phoneticPr fontId="7" type="noConversion"/>
  </si>
  <si>
    <t>天桥区世茂天城</t>
    <phoneticPr fontId="7" type="noConversion"/>
  </si>
  <si>
    <t>出让</t>
  </si>
  <si>
    <t>商业</t>
    <phoneticPr fontId="7" type="noConversion"/>
  </si>
  <si>
    <t>《不动产权证书》[鲁（2018）济南市不动产权第0005486号]</t>
    <phoneticPr fontId="7" type="noConversion"/>
  </si>
  <si>
    <t>不动产单元号</t>
    <phoneticPr fontId="144" type="noConversion"/>
  </si>
  <si>
    <t>用途</t>
    <phoneticPr fontId="144" type="noConversion"/>
  </si>
  <si>
    <t>建筑面积</t>
  </si>
  <si>
    <t>建筑面积</t>
    <phoneticPr fontId="144" type="noConversion"/>
  </si>
  <si>
    <t>备注</t>
    <phoneticPr fontId="144" type="noConversion"/>
  </si>
  <si>
    <t>商铺</t>
    <phoneticPr fontId="144" type="noConversion"/>
  </si>
  <si>
    <r>
      <t>天桥区世茂天城商业C</t>
    </r>
    <r>
      <rPr>
        <sz val="11"/>
        <color theme="1"/>
        <rFont val="宋体"/>
        <family val="3"/>
        <charset val="134"/>
        <scheme val="minor"/>
      </rPr>
      <t>102</t>
    </r>
    <phoneticPr fontId="144" type="noConversion"/>
  </si>
  <si>
    <r>
      <t>天桥区世茂天城商业C</t>
    </r>
    <r>
      <rPr>
        <sz val="11"/>
        <color theme="1"/>
        <rFont val="宋体"/>
        <family val="3"/>
        <charset val="134"/>
        <scheme val="minor"/>
      </rPr>
      <t>103</t>
    </r>
    <r>
      <rPr>
        <sz val="11"/>
        <color theme="1"/>
        <rFont val="宋体"/>
        <family val="2"/>
        <charset val="134"/>
        <scheme val="minor"/>
      </rPr>
      <t/>
    </r>
  </si>
  <si>
    <r>
      <t>天桥区世茂天城商业C</t>
    </r>
    <r>
      <rPr>
        <sz val="11"/>
        <color theme="1"/>
        <rFont val="宋体"/>
        <family val="3"/>
        <charset val="134"/>
        <scheme val="minor"/>
      </rPr>
      <t>104</t>
    </r>
    <r>
      <rPr>
        <sz val="11"/>
        <color theme="1"/>
        <rFont val="宋体"/>
        <family val="2"/>
        <charset val="134"/>
        <scheme val="minor"/>
      </rPr>
      <t/>
    </r>
  </si>
  <si>
    <r>
      <t>天桥区世茂天城商业C</t>
    </r>
    <r>
      <rPr>
        <sz val="11"/>
        <color theme="1"/>
        <rFont val="宋体"/>
        <family val="3"/>
        <charset val="134"/>
        <scheme val="minor"/>
      </rPr>
      <t>105</t>
    </r>
    <r>
      <rPr>
        <sz val="11"/>
        <color theme="1"/>
        <rFont val="宋体"/>
        <family val="2"/>
        <charset val="134"/>
        <scheme val="minor"/>
      </rPr>
      <t/>
    </r>
  </si>
  <si>
    <r>
      <t>天桥区世茂天城商业C</t>
    </r>
    <r>
      <rPr>
        <sz val="11"/>
        <color theme="1"/>
        <rFont val="宋体"/>
        <family val="3"/>
        <charset val="134"/>
        <scheme val="minor"/>
      </rPr>
      <t>106</t>
    </r>
    <r>
      <rPr>
        <sz val="11"/>
        <color theme="1"/>
        <rFont val="宋体"/>
        <family val="2"/>
        <charset val="134"/>
        <scheme val="minor"/>
      </rPr>
      <t/>
    </r>
  </si>
  <si>
    <r>
      <t>天桥区世茂天城商业C</t>
    </r>
    <r>
      <rPr>
        <sz val="11"/>
        <color theme="1"/>
        <rFont val="宋体"/>
        <family val="3"/>
        <charset val="134"/>
        <scheme val="minor"/>
      </rPr>
      <t>107</t>
    </r>
    <r>
      <rPr>
        <sz val="11"/>
        <color theme="1"/>
        <rFont val="宋体"/>
        <family val="2"/>
        <charset val="134"/>
        <scheme val="minor"/>
      </rPr>
      <t/>
    </r>
  </si>
  <si>
    <r>
      <t>天桥区世茂天城商业C</t>
    </r>
    <r>
      <rPr>
        <sz val="11"/>
        <color theme="1"/>
        <rFont val="宋体"/>
        <family val="3"/>
        <charset val="134"/>
        <scheme val="minor"/>
      </rPr>
      <t>108</t>
    </r>
    <r>
      <rPr>
        <sz val="11"/>
        <color theme="1"/>
        <rFont val="宋体"/>
        <family val="2"/>
        <charset val="134"/>
        <scheme val="minor"/>
      </rPr>
      <t/>
    </r>
  </si>
  <si>
    <r>
      <t>天桥区世茂天城商业C</t>
    </r>
    <r>
      <rPr>
        <sz val="11"/>
        <color theme="1"/>
        <rFont val="宋体"/>
        <family val="3"/>
        <charset val="134"/>
        <scheme val="minor"/>
      </rPr>
      <t>109</t>
    </r>
    <r>
      <rPr>
        <sz val="11"/>
        <color theme="1"/>
        <rFont val="宋体"/>
        <family val="2"/>
        <charset val="134"/>
        <scheme val="minor"/>
      </rPr>
      <t/>
    </r>
  </si>
  <si>
    <t>天桥区世茂天城商业C111</t>
    <phoneticPr fontId="144" type="noConversion"/>
  </si>
  <si>
    <t>天桥区世茂天城商业C112</t>
    <phoneticPr fontId="144" type="noConversion"/>
  </si>
  <si>
    <t>天桥区世茂天城商业C202</t>
    <phoneticPr fontId="144" type="noConversion"/>
  </si>
  <si>
    <t>天桥区世茂天城商业C203</t>
  </si>
  <si>
    <t>天桥区世茂天城商业C204</t>
  </si>
  <si>
    <t>天桥区世茂天城商业C205</t>
  </si>
  <si>
    <t>天桥区世茂天城商业C206</t>
  </si>
  <si>
    <t>天桥区世茂天城商业C207</t>
  </si>
  <si>
    <t>天桥区世茂天城商业C208</t>
  </si>
  <si>
    <t>天桥区世茂天城商业C209</t>
  </si>
  <si>
    <t>天桥区世茂天城商业C211</t>
    <phoneticPr fontId="144" type="noConversion"/>
  </si>
  <si>
    <t>天桥区世茂天城商业C212</t>
  </si>
  <si>
    <t>天桥区世茂天城商业C213</t>
  </si>
  <si>
    <t>天桥区世茂天城商业C214</t>
  </si>
  <si>
    <t>天桥区世茂天城商业C301</t>
    <phoneticPr fontId="144" type="noConversion"/>
  </si>
  <si>
    <t>天桥区世茂天城商业C302</t>
  </si>
  <si>
    <t>天桥区世茂天城商业C303</t>
  </si>
  <si>
    <t>抵押</t>
  </si>
  <si>
    <t>房地产抵押价值</t>
  </si>
  <si>
    <t>否</t>
  </si>
  <si>
    <t>《不动产权证书》</t>
  </si>
  <si>
    <t>现房</t>
  </si>
  <si>
    <t>通路</t>
  </si>
  <si>
    <t>通电</t>
  </si>
  <si>
    <t>通讯</t>
  </si>
  <si>
    <t>通上水</t>
  </si>
  <si>
    <t>通下水</t>
  </si>
  <si>
    <t>是</t>
  </si>
  <si>
    <t>地上</t>
  </si>
  <si>
    <t>成新度</t>
  </si>
  <si>
    <t>钢混</t>
  </si>
  <si>
    <t>非生产用房</t>
  </si>
  <si>
    <t>按租金收入计税</t>
  </si>
  <si>
    <t>收益法</t>
  </si>
  <si>
    <t>比较法-商业</t>
  </si>
  <si>
    <t>收益比率</t>
  </si>
  <si>
    <t>建筑物价值</t>
  </si>
  <si>
    <t>土地面积</t>
  </si>
  <si>
    <t>售价</t>
  </si>
  <si>
    <t>正常</t>
  </si>
  <si>
    <t>商业</t>
    <phoneticPr fontId="32" type="noConversion"/>
  </si>
  <si>
    <t>30-40（含）</t>
  </si>
  <si>
    <t>比较法</t>
    <phoneticPr fontId="144" type="noConversion"/>
  </si>
  <si>
    <t>收益法</t>
    <phoneticPr fontId="144" type="noConversion"/>
  </si>
  <si>
    <t>权重</t>
    <phoneticPr fontId="144" type="noConversion"/>
  </si>
  <si>
    <t>综合</t>
    <phoneticPr fontId="144" type="noConversion"/>
  </si>
  <si>
    <t>总价</t>
    <phoneticPr fontId="144" type="noConversion"/>
  </si>
  <si>
    <t>售价</t>
    <phoneticPr fontId="144" type="noConversion"/>
  </si>
  <si>
    <t>租金</t>
    <phoneticPr fontId="144" type="noConversion"/>
  </si>
  <si>
    <t>临时合同编号</t>
  </si>
  <si>
    <t>正式合同编号</t>
  </si>
  <si>
    <t>楼栋名称</t>
  </si>
  <si>
    <t>单元名称</t>
  </si>
  <si>
    <t>房间名称</t>
  </si>
  <si>
    <t>客户名称</t>
  </si>
  <si>
    <t>付款方式名称</t>
  </si>
  <si>
    <t>合同状态</t>
  </si>
  <si>
    <t>销售面积</t>
  </si>
  <si>
    <t>最终协议单价</t>
  </si>
  <si>
    <t>最终协议总价</t>
  </si>
  <si>
    <t>销售统计日期</t>
  </si>
  <si>
    <t>地块</t>
  </si>
  <si>
    <t>分期</t>
  </si>
  <si>
    <t>产品类型</t>
  </si>
  <si>
    <t>1000312303</t>
  </si>
  <si>
    <t>销售(字)201819201634</t>
  </si>
  <si>
    <t>5#独立商业</t>
  </si>
  <si>
    <t>1单元</t>
  </si>
  <si>
    <t>126</t>
  </si>
  <si>
    <t>庞海霞</t>
  </si>
  <si>
    <t>一次性</t>
  </si>
  <si>
    <t>A地块</t>
  </si>
  <si>
    <t>1.5期</t>
  </si>
  <si>
    <t>独立商业</t>
  </si>
  <si>
    <t>1000312301</t>
  </si>
  <si>
    <t>销售(字)201818099192</t>
  </si>
  <si>
    <t>224</t>
  </si>
  <si>
    <t>杨波</t>
  </si>
  <si>
    <t>按揭付款</t>
  </si>
  <si>
    <t>1000312300</t>
  </si>
  <si>
    <t>销售(字)201818099090</t>
  </si>
  <si>
    <t>225</t>
  </si>
  <si>
    <t>1000312134</t>
  </si>
  <si>
    <t>销售(字)201818427496</t>
  </si>
  <si>
    <t>146</t>
  </si>
  <si>
    <t>刘智梅</t>
  </si>
  <si>
    <t>1000310984</t>
  </si>
  <si>
    <t>销售(字)201818320082</t>
  </si>
  <si>
    <t>201</t>
  </si>
  <si>
    <t>程金燕</t>
  </si>
  <si>
    <t>1000310983</t>
  </si>
  <si>
    <t>销售(字)201818319958</t>
  </si>
  <si>
    <t>202</t>
  </si>
  <si>
    <t>1000310982</t>
  </si>
  <si>
    <t>销售(字)201818319725</t>
  </si>
  <si>
    <t>203</t>
  </si>
  <si>
    <t>1000309873</t>
  </si>
  <si>
    <t>销售(字)201816965005</t>
  </si>
  <si>
    <t>265</t>
  </si>
  <si>
    <t>王晓</t>
  </si>
  <si>
    <t>1000309469</t>
  </si>
  <si>
    <t>销售(字)201816737599</t>
  </si>
  <si>
    <t>147</t>
  </si>
  <si>
    <t>李玉珍</t>
  </si>
  <si>
    <t>1000308620</t>
  </si>
  <si>
    <t>销售(字)201818226347</t>
  </si>
  <si>
    <t>124</t>
  </si>
  <si>
    <t>陈洪山</t>
  </si>
  <si>
    <t>1000308609</t>
  </si>
  <si>
    <t>销售(字)201818226276</t>
  </si>
  <si>
    <t>123</t>
  </si>
  <si>
    <t>1000306173</t>
  </si>
  <si>
    <t>销售(字)201816445455</t>
  </si>
  <si>
    <t>139</t>
  </si>
  <si>
    <t>杨兆梅</t>
  </si>
  <si>
    <t>1000306171</t>
  </si>
  <si>
    <t>销售(字)201816445727</t>
  </si>
  <si>
    <t>138</t>
  </si>
  <si>
    <t>1000305514</t>
  </si>
  <si>
    <t>销售(字)201816143343</t>
  </si>
  <si>
    <t>164</t>
  </si>
  <si>
    <t>韩云</t>
  </si>
  <si>
    <t>1000305513</t>
  </si>
  <si>
    <t>销售(字)201816143562</t>
  </si>
  <si>
    <t>163</t>
  </si>
  <si>
    <t>1000305487</t>
  </si>
  <si>
    <t>销售(字)201815872914</t>
  </si>
  <si>
    <t>184</t>
  </si>
  <si>
    <t>刘树华</t>
  </si>
  <si>
    <t>1000305486</t>
  </si>
  <si>
    <t>销售(字)201815705441</t>
  </si>
  <si>
    <t>117</t>
  </si>
  <si>
    <t>石家臣</t>
  </si>
  <si>
    <t>1000304704</t>
  </si>
  <si>
    <t>销售(字)201816083758</t>
  </si>
  <si>
    <t>110</t>
  </si>
  <si>
    <t>姬广彬</t>
  </si>
  <si>
    <t>1000304274</t>
  </si>
  <si>
    <t>销售(字)201816258116</t>
  </si>
  <si>
    <t>179</t>
  </si>
  <si>
    <t>刘会娟</t>
  </si>
  <si>
    <t>1000304209</t>
  </si>
  <si>
    <t>销售(字)201816539475</t>
  </si>
  <si>
    <t>177</t>
  </si>
  <si>
    <t>方春芝</t>
  </si>
  <si>
    <t>1000304165</t>
  </si>
  <si>
    <t>销售(字)201815873917</t>
  </si>
  <si>
    <t>181</t>
  </si>
  <si>
    <t>杨元静</t>
  </si>
  <si>
    <t>1000304154</t>
  </si>
  <si>
    <t>销售(字)201815870495</t>
  </si>
  <si>
    <t>118</t>
  </si>
  <si>
    <t>吴树安</t>
  </si>
  <si>
    <t>1000304153</t>
  </si>
  <si>
    <t>销售(字)201815992698</t>
  </si>
  <si>
    <t>104</t>
  </si>
  <si>
    <t>王阳</t>
  </si>
  <si>
    <t>1000304152</t>
  </si>
  <si>
    <t>销售(字)201816554491</t>
  </si>
  <si>
    <t>247</t>
  </si>
  <si>
    <t>王新</t>
  </si>
  <si>
    <t>1000304150</t>
  </si>
  <si>
    <t>销售(字)201819739007</t>
  </si>
  <si>
    <t>114</t>
  </si>
  <si>
    <t>金霞</t>
  </si>
  <si>
    <t>1000303805</t>
  </si>
  <si>
    <t>销售(字)201815669852</t>
  </si>
  <si>
    <t>191</t>
  </si>
  <si>
    <t>张存课</t>
  </si>
  <si>
    <t>1000303735</t>
  </si>
  <si>
    <t>销售(字)201816522347</t>
  </si>
  <si>
    <t>249</t>
  </si>
  <si>
    <t>郑珊珊</t>
  </si>
  <si>
    <t>1000303732</t>
  </si>
  <si>
    <t>销售(字)201816522585</t>
  </si>
  <si>
    <t>248</t>
  </si>
  <si>
    <t>1000303721</t>
  </si>
  <si>
    <t>销售(字)201815706017</t>
  </si>
  <si>
    <t>119</t>
  </si>
  <si>
    <t>马明艳</t>
  </si>
  <si>
    <t>1000303699</t>
  </si>
  <si>
    <t>销售(字)201815682236</t>
  </si>
  <si>
    <t>162</t>
  </si>
  <si>
    <t>曾国强</t>
  </si>
  <si>
    <t>1000303698</t>
  </si>
  <si>
    <t>销售(字)201815910101</t>
  </si>
  <si>
    <t>160</t>
  </si>
  <si>
    <t>王路</t>
  </si>
  <si>
    <t>1000303697</t>
  </si>
  <si>
    <t>销售(字)201815645632</t>
  </si>
  <si>
    <t>180</t>
  </si>
  <si>
    <t>刘玉秀</t>
  </si>
  <si>
    <t>1000303695</t>
  </si>
  <si>
    <t>销售(字)201815724579</t>
  </si>
  <si>
    <t>111</t>
  </si>
  <si>
    <t>李广平</t>
  </si>
  <si>
    <t>1000303415</t>
  </si>
  <si>
    <t>销售(字)201815656671</t>
  </si>
  <si>
    <t>153</t>
  </si>
  <si>
    <t>张欢欢</t>
  </si>
  <si>
    <t>1000303412</t>
  </si>
  <si>
    <t>销售(字)201816126084</t>
  </si>
  <si>
    <t>250</t>
  </si>
  <si>
    <t>刘停霞</t>
  </si>
  <si>
    <t>1000303337</t>
  </si>
  <si>
    <t>销售(字)201815761907</t>
  </si>
  <si>
    <t>120</t>
  </si>
  <si>
    <t>宋宝英</t>
  </si>
  <si>
    <t>1000303316</t>
  </si>
  <si>
    <t>销售(字)201816089897</t>
  </si>
  <si>
    <t>112</t>
  </si>
  <si>
    <t>朱先锋</t>
  </si>
  <si>
    <t>1000303314</t>
  </si>
  <si>
    <t>销售(字)201816000968</t>
  </si>
  <si>
    <t>158</t>
  </si>
  <si>
    <t>岳秀娟</t>
  </si>
  <si>
    <t>1000303271</t>
  </si>
  <si>
    <t>销售(字)201816094622</t>
  </si>
  <si>
    <t>144</t>
  </si>
  <si>
    <t>田智广</t>
  </si>
  <si>
    <t>1000303259</t>
  </si>
  <si>
    <t>销售(字)201815649300</t>
  </si>
  <si>
    <t>151</t>
  </si>
  <si>
    <t>柳娟</t>
  </si>
  <si>
    <t>1000303258</t>
  </si>
  <si>
    <t>销售(字)201816822349</t>
  </si>
  <si>
    <t>148</t>
  </si>
  <si>
    <t>王晓鸣</t>
  </si>
  <si>
    <t>1000303257</t>
  </si>
  <si>
    <t>销售(字)201816820568</t>
  </si>
  <si>
    <t>149</t>
  </si>
  <si>
    <t>王运婕</t>
  </si>
  <si>
    <t>1000303255</t>
  </si>
  <si>
    <t>销售(字)201815876458</t>
  </si>
  <si>
    <t>107</t>
  </si>
  <si>
    <t>刘翠平</t>
  </si>
  <si>
    <t>1000303253</t>
  </si>
  <si>
    <t>销售(字)201815706651</t>
  </si>
  <si>
    <t>116</t>
  </si>
  <si>
    <t>黄芬</t>
  </si>
  <si>
    <t>1000303252</t>
  </si>
  <si>
    <t>销售(字)201816071999</t>
  </si>
  <si>
    <t>145</t>
  </si>
  <si>
    <t>杜志鹏</t>
  </si>
  <si>
    <t>1000303251</t>
  </si>
  <si>
    <t>销售(字)201815647534</t>
  </si>
  <si>
    <t>192</t>
  </si>
  <si>
    <t>张国新</t>
  </si>
  <si>
    <t>1000303090</t>
  </si>
  <si>
    <t>销售(字)201815743811</t>
  </si>
  <si>
    <t>246</t>
  </si>
  <si>
    <t>张晓英</t>
  </si>
  <si>
    <t>1000303068</t>
  </si>
  <si>
    <t>销售(字)201815705964</t>
  </si>
  <si>
    <t>115</t>
  </si>
  <si>
    <t>王春明</t>
  </si>
  <si>
    <t>1000303067</t>
  </si>
  <si>
    <t>销售(字)201816572725</t>
  </si>
  <si>
    <t>109</t>
  </si>
  <si>
    <t>白俊英</t>
  </si>
  <si>
    <t>1000303065</t>
  </si>
  <si>
    <t>销售(字)201815658323</t>
  </si>
  <si>
    <t>150</t>
  </si>
  <si>
    <t>刘四航</t>
  </si>
  <si>
    <t>1000303062</t>
  </si>
  <si>
    <t>销售(字)201815745581</t>
  </si>
  <si>
    <t>152</t>
  </si>
  <si>
    <t>沈敏起</t>
  </si>
  <si>
    <t>1000302946</t>
  </si>
  <si>
    <t>销售(字)201817273637</t>
  </si>
  <si>
    <t>190</t>
  </si>
  <si>
    <t>王洪明</t>
  </si>
  <si>
    <t>1000302944</t>
  </si>
  <si>
    <t>销售(字)201818642656</t>
  </si>
  <si>
    <t>182</t>
  </si>
  <si>
    <t>翟配海</t>
  </si>
  <si>
    <t>1000302943</t>
  </si>
  <si>
    <t>销售(字)201815879962</t>
  </si>
  <si>
    <t>105</t>
  </si>
  <si>
    <t>高吉水</t>
  </si>
  <si>
    <t>1000302856</t>
  </si>
  <si>
    <t>销售(字)201815745799</t>
  </si>
  <si>
    <t>102</t>
  </si>
  <si>
    <t>曹婷</t>
  </si>
  <si>
    <t>1000302853</t>
  </si>
  <si>
    <t>销售(字)201815651896</t>
  </si>
  <si>
    <t>187</t>
  </si>
  <si>
    <t>张澎</t>
  </si>
  <si>
    <t>1000302852</t>
  </si>
  <si>
    <t>销售(字)201815663580</t>
  </si>
  <si>
    <t>106</t>
  </si>
  <si>
    <t>张艳平</t>
  </si>
  <si>
    <t>1000302711</t>
  </si>
  <si>
    <t>销售(字)201815742410</t>
  </si>
  <si>
    <t>186</t>
  </si>
  <si>
    <t>高吉庆</t>
  </si>
  <si>
    <t>1000302710</t>
  </si>
  <si>
    <t>销售(字)201815808259</t>
  </si>
  <si>
    <t>276</t>
  </si>
  <si>
    <t>周美华</t>
  </si>
  <si>
    <t>1000302631</t>
  </si>
  <si>
    <t>销售(字)201815797095</t>
  </si>
  <si>
    <t>226</t>
  </si>
  <si>
    <t>赵卓</t>
  </si>
  <si>
    <t>1000302608</t>
  </si>
  <si>
    <t>销售(字)201815718359</t>
  </si>
  <si>
    <t>108</t>
  </si>
  <si>
    <t>孔亚辉</t>
  </si>
  <si>
    <t>1000302606</t>
  </si>
  <si>
    <t>销售(字)201815706428</t>
  </si>
  <si>
    <t>223</t>
  </si>
  <si>
    <t>姜绪柏</t>
  </si>
  <si>
    <t>1000302559</t>
  </si>
  <si>
    <t>销售(字)201816123424</t>
  </si>
  <si>
    <t>125</t>
  </si>
  <si>
    <t>常保法</t>
  </si>
  <si>
    <t>1000302205</t>
  </si>
  <si>
    <t>销售(字)201815720297</t>
  </si>
  <si>
    <t>280</t>
  </si>
  <si>
    <t>张妮妮</t>
  </si>
  <si>
    <t>1000302196</t>
  </si>
  <si>
    <t>销售(字)201816055549</t>
  </si>
  <si>
    <t>221</t>
  </si>
  <si>
    <t>李艳</t>
  </si>
  <si>
    <t>1000302195</t>
  </si>
  <si>
    <t>销售(字)201815673923</t>
  </si>
  <si>
    <t>154</t>
  </si>
  <si>
    <t>王艳英</t>
  </si>
  <si>
    <t>1000302192</t>
  </si>
  <si>
    <t>销售(字)201815698891</t>
  </si>
  <si>
    <t>222</t>
  </si>
  <si>
    <t>张曼</t>
  </si>
  <si>
    <t>1000302191</t>
  </si>
  <si>
    <t>销售(字)201815733747</t>
  </si>
  <si>
    <t>289</t>
  </si>
  <si>
    <t>殷世长</t>
  </si>
  <si>
    <t>1000302190</t>
  </si>
  <si>
    <t>销售(字)201815674307</t>
  </si>
  <si>
    <t>155</t>
  </si>
  <si>
    <t>王艳荣</t>
  </si>
  <si>
    <t>1000302163</t>
  </si>
  <si>
    <t>销售(字)201815701932</t>
  </si>
  <si>
    <t>288</t>
  </si>
  <si>
    <t>孙龙</t>
  </si>
  <si>
    <t>1000302162</t>
  </si>
  <si>
    <t>销售(字)201815692630</t>
  </si>
  <si>
    <t>287</t>
  </si>
  <si>
    <t>栾少峰</t>
  </si>
  <si>
    <t>1000302137</t>
  </si>
  <si>
    <t>销售(字)201815748305</t>
  </si>
  <si>
    <t>282</t>
  </si>
  <si>
    <t>陈晨</t>
  </si>
  <si>
    <t>1000302134</t>
  </si>
  <si>
    <t>销售(字)201815686496</t>
  </si>
  <si>
    <t>277</t>
  </si>
  <si>
    <t>张杰</t>
  </si>
  <si>
    <t>1000302133</t>
  </si>
  <si>
    <t>销售(字)201815899799</t>
  </si>
  <si>
    <t>194</t>
  </si>
  <si>
    <t>李强</t>
  </si>
  <si>
    <t>1000302127</t>
  </si>
  <si>
    <t>销售(字)201815646494</t>
  </si>
  <si>
    <t>294</t>
  </si>
  <si>
    <t>崔亚男</t>
  </si>
  <si>
    <t>1000302125</t>
  </si>
  <si>
    <t>销售(字)201815671459</t>
  </si>
  <si>
    <t>293</t>
  </si>
  <si>
    <t>东春兰</t>
  </si>
  <si>
    <t>1000302124</t>
  </si>
  <si>
    <t>销售(字)201815668613</t>
  </si>
  <si>
    <t>295</t>
  </si>
  <si>
    <t>东玲</t>
  </si>
  <si>
    <t>1000302123</t>
  </si>
  <si>
    <t>20180626001</t>
  </si>
  <si>
    <t>142</t>
  </si>
  <si>
    <t>董志峰</t>
  </si>
  <si>
    <t>1000302122</t>
  </si>
  <si>
    <t>销售(字)201815675642</t>
  </si>
  <si>
    <t>291</t>
  </si>
  <si>
    <t>张士广</t>
  </si>
  <si>
    <t>1000302110</t>
  </si>
  <si>
    <t>销售(字)201816338763</t>
  </si>
  <si>
    <t>285</t>
  </si>
  <si>
    <t>梁雪</t>
  </si>
  <si>
    <t>1000302095</t>
  </si>
  <si>
    <t>销售(字)201815653771</t>
  </si>
  <si>
    <t>292</t>
  </si>
  <si>
    <t>龙玉梅</t>
  </si>
  <si>
    <t>1000302093</t>
  </si>
  <si>
    <t>销售(字)201815728007</t>
  </si>
  <si>
    <t>159</t>
  </si>
  <si>
    <t>吴登洋</t>
  </si>
  <si>
    <t>1000302034</t>
  </si>
  <si>
    <t>销售(字)201815702268</t>
  </si>
  <si>
    <t>183</t>
  </si>
  <si>
    <t>李宗全</t>
  </si>
  <si>
    <t>1000301981</t>
  </si>
  <si>
    <t>销售(字)201815663282</t>
  </si>
  <si>
    <t>189</t>
  </si>
  <si>
    <t>杨官亭</t>
  </si>
  <si>
    <t>1000301979</t>
  </si>
  <si>
    <t>销售(字)201815664812</t>
  </si>
  <si>
    <t>101</t>
  </si>
  <si>
    <t>屈绍银</t>
  </si>
  <si>
    <t>1000301973</t>
  </si>
  <si>
    <t>20180626002</t>
  </si>
  <si>
    <t>290</t>
  </si>
  <si>
    <t>李语涵</t>
  </si>
  <si>
    <t>1000301505</t>
  </si>
  <si>
    <t>销售(字)201815669211</t>
  </si>
  <si>
    <t>252</t>
  </si>
  <si>
    <t>刘桂青</t>
  </si>
  <si>
    <t>1000301504</t>
  </si>
  <si>
    <t>销售(字)201816286757</t>
  </si>
  <si>
    <t>228</t>
  </si>
  <si>
    <t>刘朋</t>
  </si>
  <si>
    <t>1000301502</t>
  </si>
  <si>
    <t>销售(字)201815709750</t>
  </si>
  <si>
    <t>281</t>
  </si>
  <si>
    <t>颜克玲</t>
  </si>
  <si>
    <t>1000301448</t>
  </si>
  <si>
    <t>销售(字)201816615114</t>
  </si>
  <si>
    <t>286</t>
  </si>
  <si>
    <t>张佳</t>
  </si>
  <si>
    <t>1000301341</t>
  </si>
  <si>
    <t>销售(字)201815702116</t>
  </si>
  <si>
    <t>227</t>
  </si>
  <si>
    <t>孙树新</t>
  </si>
  <si>
    <t>1000301340</t>
  </si>
  <si>
    <t>销售(字)201815733098</t>
  </si>
  <si>
    <t>253</t>
  </si>
  <si>
    <t>孟祥民</t>
  </si>
  <si>
    <t>1000301315</t>
  </si>
  <si>
    <t>销售(字)201818564146</t>
  </si>
  <si>
    <t>284</t>
  </si>
  <si>
    <t>谢秀荣</t>
  </si>
  <si>
    <t>1000301313</t>
  </si>
  <si>
    <t>销售(字)201819068161</t>
  </si>
  <si>
    <t>193</t>
  </si>
  <si>
    <t>王善芹</t>
  </si>
  <si>
    <t>1000301312</t>
  </si>
  <si>
    <t>销售(字)201815870138</t>
  </si>
  <si>
    <t>143</t>
  </si>
  <si>
    <t>赵群</t>
  </si>
  <si>
    <t>1000300898</t>
  </si>
  <si>
    <t>销售(字)201815683115</t>
  </si>
  <si>
    <t>257</t>
  </si>
  <si>
    <t>傅汪洋</t>
  </si>
  <si>
    <t>1000300794</t>
  </si>
  <si>
    <t>销售(字)201815694339</t>
  </si>
  <si>
    <t>264</t>
  </si>
  <si>
    <t>梅有振</t>
  </si>
  <si>
    <t>1000300660</t>
  </si>
  <si>
    <t>销售(字)201816081298</t>
  </si>
  <si>
    <t>103</t>
  </si>
  <si>
    <t>杨传江</t>
  </si>
  <si>
    <t>1000300659</t>
  </si>
  <si>
    <t>销售(字)201815888380</t>
  </si>
  <si>
    <t>279</t>
  </si>
  <si>
    <t>石怀印</t>
  </si>
  <si>
    <t>1000300656</t>
  </si>
  <si>
    <t>销售(字)201815716332</t>
  </si>
  <si>
    <t>137</t>
  </si>
  <si>
    <t>田森</t>
  </si>
  <si>
    <t>1000300467</t>
  </si>
  <si>
    <t>销售(字)201815694718</t>
  </si>
  <si>
    <t>161</t>
  </si>
  <si>
    <t>周冬冬</t>
  </si>
  <si>
    <t>1000300462</t>
  </si>
  <si>
    <t>销售(字)201815725783</t>
  </si>
  <si>
    <t>256</t>
  </si>
  <si>
    <t>邵红</t>
  </si>
  <si>
    <t>1000300459</t>
  </si>
  <si>
    <t>销售(字)201815693378</t>
  </si>
  <si>
    <t>129</t>
  </si>
  <si>
    <t>闫常</t>
  </si>
  <si>
    <t>1000300458</t>
  </si>
  <si>
    <t>销售(字)201815712970</t>
  </si>
  <si>
    <t>255</t>
  </si>
  <si>
    <t>张真真</t>
  </si>
  <si>
    <t>1000300452</t>
  </si>
  <si>
    <t>销售(字)201815709089</t>
  </si>
  <si>
    <t>254</t>
  </si>
  <si>
    <t>周云</t>
  </si>
  <si>
    <t>1000300371</t>
  </si>
  <si>
    <t>销售(字)201815794801</t>
  </si>
  <si>
    <t>132</t>
  </si>
  <si>
    <t>王福永</t>
  </si>
  <si>
    <t>1000300370</t>
  </si>
  <si>
    <t>销售(字)201815646265</t>
  </si>
  <si>
    <t>140</t>
  </si>
  <si>
    <t>栾金灏</t>
  </si>
  <si>
    <t>1000300369</t>
  </si>
  <si>
    <t>销售(字)201815744500</t>
  </si>
  <si>
    <t>258</t>
  </si>
  <si>
    <t>陈松林</t>
  </si>
  <si>
    <t>1000300367</t>
  </si>
  <si>
    <t>销售(字)201815679291</t>
  </si>
  <si>
    <t>259</t>
  </si>
  <si>
    <t>黄雪敏</t>
  </si>
  <si>
    <t>1000300364</t>
  </si>
  <si>
    <t>销售(字)201815747328</t>
  </si>
  <si>
    <t>136</t>
  </si>
  <si>
    <t>马丽敏</t>
  </si>
  <si>
    <t>1000300362</t>
  </si>
  <si>
    <t>销售(字)201815731882</t>
  </si>
  <si>
    <t>263</t>
  </si>
  <si>
    <t>王强</t>
  </si>
  <si>
    <t>1000300361</t>
  </si>
  <si>
    <t>销售(字)201815720128</t>
  </si>
  <si>
    <t>128</t>
  </si>
  <si>
    <t>陈桂珍</t>
  </si>
  <si>
    <t>1000300360</t>
  </si>
  <si>
    <t>销售(字)201816339553</t>
  </si>
  <si>
    <t>156</t>
  </si>
  <si>
    <t>李恭文</t>
  </si>
  <si>
    <t>1000300359</t>
  </si>
  <si>
    <t>销售(字)201815691908</t>
  </si>
  <si>
    <t>283</t>
  </si>
  <si>
    <t>王英</t>
  </si>
  <si>
    <t>1000300358</t>
  </si>
  <si>
    <t>销售(字)201816333252</t>
  </si>
  <si>
    <t>157</t>
  </si>
  <si>
    <t>1000300357</t>
  </si>
  <si>
    <t>销售(字)201815932162</t>
  </si>
  <si>
    <t>127</t>
  </si>
  <si>
    <t>王涛</t>
  </si>
  <si>
    <t>1000300356</t>
  </si>
  <si>
    <t>销售(字)201815755178</t>
  </si>
  <si>
    <t>131</t>
  </si>
  <si>
    <t>丁瑞峰</t>
  </si>
  <si>
    <t>1000300355</t>
  </si>
  <si>
    <t>销售(字)201815712867</t>
  </si>
  <si>
    <t>133</t>
  </si>
  <si>
    <t>高丽婷</t>
  </si>
  <si>
    <t>1000300354</t>
  </si>
  <si>
    <t>销售(字)201815651675</t>
  </si>
  <si>
    <t>278</t>
  </si>
  <si>
    <t>丁凯</t>
  </si>
  <si>
    <t>1000300353</t>
  </si>
  <si>
    <t>销售(字)201816694729</t>
  </si>
  <si>
    <t>185</t>
  </si>
  <si>
    <t>张友根</t>
  </si>
  <si>
    <t>1000300352</t>
  </si>
  <si>
    <t>销售(字)201815649882</t>
  </si>
  <si>
    <t>135</t>
  </si>
  <si>
    <t>吴淑珍</t>
  </si>
  <si>
    <t>1000300351</t>
  </si>
  <si>
    <t>销售(字)201816496738</t>
  </si>
  <si>
    <t>175</t>
  </si>
  <si>
    <t>谢学忠</t>
  </si>
  <si>
    <t>1000300350</t>
  </si>
  <si>
    <t>销售(字)201815725524</t>
  </si>
  <si>
    <t>130</t>
  </si>
  <si>
    <t>寇洪娟</t>
  </si>
  <si>
    <t>1000300339</t>
  </si>
  <si>
    <t>销售(字)201816661023</t>
  </si>
  <si>
    <t>141</t>
  </si>
  <si>
    <t>刘一然</t>
  </si>
  <si>
    <t>1000300338</t>
  </si>
  <si>
    <t>销售(字)201815703946</t>
  </si>
  <si>
    <t>262</t>
  </si>
  <si>
    <t>郭欣</t>
  </si>
  <si>
    <t>1000300335</t>
  </si>
  <si>
    <t>销售(字)201819002759</t>
  </si>
  <si>
    <t>173</t>
  </si>
  <si>
    <t>王旭东</t>
  </si>
  <si>
    <t>1000300334</t>
  </si>
  <si>
    <t>销售(字)201816147404</t>
  </si>
  <si>
    <t>251</t>
  </si>
  <si>
    <t>李新</t>
  </si>
  <si>
    <t>1000300332</t>
  </si>
  <si>
    <t>销售(字)201815900595</t>
  </si>
  <si>
    <t>260</t>
  </si>
  <si>
    <t>孟杰</t>
  </si>
  <si>
    <t>1000300331</t>
  </si>
  <si>
    <t>销售(字)201815679839</t>
  </si>
  <si>
    <t>134</t>
  </si>
  <si>
    <t>裴冉</t>
  </si>
  <si>
    <t>1000300330</t>
  </si>
  <si>
    <t>销售(字)201815713196</t>
  </si>
  <si>
    <t>269</t>
  </si>
  <si>
    <t>任林林</t>
  </si>
  <si>
    <t>1000300318</t>
  </si>
  <si>
    <t>销售(字)201815717388</t>
  </si>
  <si>
    <t>261</t>
  </si>
  <si>
    <t>侯晓飞</t>
  </si>
  <si>
    <t>1000300316</t>
  </si>
  <si>
    <t>销售(字)201815704193</t>
  </si>
  <si>
    <t>266</t>
  </si>
  <si>
    <t>韩远莉</t>
  </si>
  <si>
    <t>1000300314</t>
  </si>
  <si>
    <t>销售(字)201815746774</t>
  </si>
  <si>
    <t>113</t>
  </si>
  <si>
    <t>张红生</t>
  </si>
  <si>
    <t>1000300311</t>
  </si>
  <si>
    <t>销售(字)201815652174</t>
  </si>
  <si>
    <t>174</t>
  </si>
  <si>
    <t>程艳</t>
  </si>
  <si>
    <t>1000300289</t>
  </si>
  <si>
    <t>销售(字)201815699013</t>
  </si>
  <si>
    <t>176</t>
  </si>
  <si>
    <t>刘风云</t>
  </si>
  <si>
    <t>1000300288</t>
  </si>
  <si>
    <t>销售(字)201815648431</t>
  </si>
  <si>
    <t>178</t>
  </si>
  <si>
    <t>王世印</t>
  </si>
  <si>
    <t>1000300286</t>
  </si>
  <si>
    <t>销售(字)201815652025</t>
  </si>
  <si>
    <t>268</t>
  </si>
  <si>
    <t>王丽娟</t>
  </si>
  <si>
    <t>1000300285</t>
  </si>
  <si>
    <t>销售(字)201815700581</t>
  </si>
  <si>
    <t>267</t>
  </si>
  <si>
    <t>王川</t>
  </si>
  <si>
    <t>1000300284</t>
  </si>
  <si>
    <t>销售(字)201816121561</t>
  </si>
  <si>
    <t>188</t>
  </si>
  <si>
    <t>卢春刚</t>
  </si>
  <si>
    <t>1000264741</t>
  </si>
  <si>
    <t>销售(字)201728846608</t>
  </si>
  <si>
    <t>2#独立商业</t>
  </si>
  <si>
    <t>235</t>
  </si>
  <si>
    <t>陈新房</t>
  </si>
  <si>
    <t>2期</t>
  </si>
  <si>
    <t>1000261327</t>
  </si>
  <si>
    <t>销售(字)201727313254</t>
  </si>
  <si>
    <t>孟阳</t>
  </si>
  <si>
    <t>1000258174</t>
  </si>
  <si>
    <t>215</t>
  </si>
  <si>
    <t>李金玲</t>
  </si>
  <si>
    <t>1000258158</t>
  </si>
  <si>
    <t>王娜</t>
  </si>
  <si>
    <t>1000256015</t>
  </si>
  <si>
    <t>销售(字)201729700898</t>
  </si>
  <si>
    <t>122</t>
  </si>
  <si>
    <t>刘壮</t>
  </si>
  <si>
    <t>1000256013</t>
  </si>
  <si>
    <t>销售(字)201725856470</t>
  </si>
  <si>
    <t>1000255610</t>
  </si>
  <si>
    <t>201726010027</t>
  </si>
  <si>
    <t>董银生</t>
  </si>
  <si>
    <t>1000255599</t>
  </si>
  <si>
    <t>201726009818</t>
  </si>
  <si>
    <t>董东见</t>
  </si>
  <si>
    <t>1000255598</t>
  </si>
  <si>
    <t>201726009750</t>
  </si>
  <si>
    <t>121</t>
  </si>
  <si>
    <t>季敬伟</t>
  </si>
  <si>
    <t>1000255596</t>
  </si>
  <si>
    <t>销售(字)201725637942</t>
  </si>
  <si>
    <t>王博文</t>
  </si>
  <si>
    <t>1000255595</t>
  </si>
  <si>
    <t>234</t>
  </si>
  <si>
    <t>滕莉莉</t>
  </si>
  <si>
    <t>1000255594</t>
  </si>
  <si>
    <t>209</t>
  </si>
  <si>
    <t>刘书培</t>
  </si>
  <si>
    <t>1000255590</t>
  </si>
  <si>
    <t>214</t>
  </si>
  <si>
    <t>田利</t>
  </si>
  <si>
    <t>1000255589</t>
  </si>
  <si>
    <t>213</t>
  </si>
  <si>
    <t>1000255581</t>
  </si>
  <si>
    <t>销售(字)201725401007</t>
  </si>
  <si>
    <t>王宪林</t>
  </si>
  <si>
    <t>1000255568</t>
  </si>
  <si>
    <t>销售(字)201725647335</t>
  </si>
  <si>
    <t>李僖萍</t>
  </si>
  <si>
    <t>1000255402</t>
  </si>
  <si>
    <t>马宗良</t>
  </si>
  <si>
    <t>1000254970</t>
  </si>
  <si>
    <t>郑光亮</t>
  </si>
  <si>
    <t>1000254422</t>
  </si>
  <si>
    <t>销售(字)201725911004</t>
  </si>
  <si>
    <t>徐茜</t>
  </si>
  <si>
    <t>1000254321</t>
  </si>
  <si>
    <t>销售(字)201725807722</t>
  </si>
  <si>
    <t>李文丽</t>
  </si>
  <si>
    <t>1000254180</t>
  </si>
  <si>
    <t>董延成</t>
  </si>
  <si>
    <t>1000253920</t>
  </si>
  <si>
    <t>206</t>
  </si>
  <si>
    <t>魏慧芳</t>
  </si>
  <si>
    <t>1000253875</t>
  </si>
  <si>
    <t>212</t>
  </si>
  <si>
    <t>李平</t>
  </si>
  <si>
    <t>1000253870</t>
  </si>
  <si>
    <t>销售(字)201725975202</t>
  </si>
  <si>
    <t>208</t>
  </si>
  <si>
    <t>王道信</t>
  </si>
  <si>
    <t>1000253869</t>
  </si>
  <si>
    <t>销售(字)201725392090</t>
  </si>
  <si>
    <t>朱宝花</t>
  </si>
  <si>
    <t>1000253575</t>
  </si>
  <si>
    <t>1000253406</t>
  </si>
  <si>
    <t>李春红</t>
  </si>
  <si>
    <t>销售(字)201725267166</t>
  </si>
  <si>
    <t>唐仁明</t>
  </si>
  <si>
    <t>1000253404</t>
  </si>
  <si>
    <t>销售(字)201725307364</t>
  </si>
  <si>
    <t>216</t>
  </si>
  <si>
    <t>刘涛</t>
  </si>
  <si>
    <t>1000253395</t>
  </si>
  <si>
    <t>仇春梅</t>
  </si>
  <si>
    <t>1000253394</t>
  </si>
  <si>
    <t>销售(字)201725564031</t>
  </si>
  <si>
    <t>吴美桑</t>
  </si>
  <si>
    <t>1000253393</t>
  </si>
  <si>
    <t>销售(字)201725563849</t>
  </si>
  <si>
    <t>1000253392</t>
  </si>
  <si>
    <t>211</t>
  </si>
  <si>
    <t>华丽娜</t>
  </si>
  <si>
    <t>1000253391</t>
  </si>
  <si>
    <t>销售(字)201725414491</t>
  </si>
  <si>
    <t>林杉</t>
  </si>
  <si>
    <t>1000253390</t>
  </si>
  <si>
    <t>销售(字)201725270063</t>
  </si>
  <si>
    <t>安毅</t>
  </si>
  <si>
    <t>1000253389</t>
  </si>
  <si>
    <t>销售(字)201725589354</t>
  </si>
  <si>
    <t>210</t>
  </si>
  <si>
    <t>芦怡</t>
  </si>
  <si>
    <t>1000253388</t>
  </si>
  <si>
    <t>刘延新</t>
  </si>
  <si>
    <t>1000253387</t>
  </si>
  <si>
    <t>销售(字)201725325708</t>
  </si>
  <si>
    <t>207</t>
  </si>
  <si>
    <t>尹廷伟</t>
  </si>
  <si>
    <t>1000253386</t>
  </si>
  <si>
    <t>销售(字)201725510804</t>
  </si>
  <si>
    <t>217</t>
  </si>
  <si>
    <t>潘银</t>
  </si>
  <si>
    <t>1000253385</t>
  </si>
  <si>
    <t>刘芃</t>
  </si>
  <si>
    <t>1000253384</t>
  </si>
  <si>
    <t>销售(字)201725369763</t>
  </si>
  <si>
    <t>205</t>
  </si>
  <si>
    <t>葛方圆</t>
  </si>
  <si>
    <t>1000253383</t>
  </si>
  <si>
    <t>沈巍</t>
  </si>
  <si>
    <t>1000253382</t>
  </si>
  <si>
    <t>销售(字)201725512245</t>
  </si>
  <si>
    <t>204</t>
  </si>
  <si>
    <t>郭涛</t>
  </si>
  <si>
    <t>1000253381</t>
  </si>
  <si>
    <t>销售(字)201725484884</t>
  </si>
  <si>
    <t>隋勇意</t>
  </si>
  <si>
    <t>1000253380</t>
  </si>
  <si>
    <t>许延明</t>
  </si>
  <si>
    <t>1000253369</t>
  </si>
  <si>
    <t>销售(字)201725313040</t>
  </si>
  <si>
    <t>李斌</t>
  </si>
  <si>
    <t>1000252166</t>
  </si>
  <si>
    <t>销售(字)201725483861</t>
  </si>
  <si>
    <t>236</t>
  </si>
  <si>
    <t>杨珂</t>
  </si>
  <si>
    <t>1000252082</t>
  </si>
  <si>
    <t>销售(字)201725345202</t>
  </si>
  <si>
    <t>济南超旺兴餐饮管理有限公司</t>
  </si>
  <si>
    <t>1000252081</t>
  </si>
  <si>
    <t>销售(字)201725345041</t>
  </si>
  <si>
    <t>1000249962</t>
  </si>
  <si>
    <t>销售(字)201724467422</t>
  </si>
  <si>
    <t>孔涛</t>
  </si>
  <si>
    <t>1000249961</t>
  </si>
  <si>
    <t>张雨丝</t>
  </si>
  <si>
    <t>1000249539</t>
  </si>
  <si>
    <t>销售(字)201724584393</t>
  </si>
  <si>
    <t>1000249538</t>
  </si>
  <si>
    <t>张欣</t>
  </si>
  <si>
    <t>1000249537</t>
  </si>
  <si>
    <t>1000249148</t>
  </si>
  <si>
    <t>销售(字)201725129870</t>
  </si>
  <si>
    <t>232</t>
  </si>
  <si>
    <t>白俊梅</t>
  </si>
  <si>
    <t>1000249147</t>
  </si>
  <si>
    <t>销售(字)201725130054</t>
  </si>
  <si>
    <t>231</t>
  </si>
  <si>
    <t>1000249144</t>
  </si>
  <si>
    <t>销售(字)201724405603</t>
  </si>
  <si>
    <t>233</t>
  </si>
  <si>
    <t>邓小红</t>
  </si>
  <si>
    <t>1000248857</t>
  </si>
  <si>
    <t>张亮</t>
  </si>
  <si>
    <t>1000248856</t>
  </si>
  <si>
    <t>陈宁</t>
  </si>
  <si>
    <t>1000248781</t>
  </si>
  <si>
    <t>销售(字)201724452865</t>
  </si>
  <si>
    <t>王燕</t>
  </si>
  <si>
    <t>1000248777</t>
  </si>
  <si>
    <t>销售(字)201724614893</t>
  </si>
  <si>
    <t>杨建新</t>
  </si>
  <si>
    <t>1000248773</t>
  </si>
  <si>
    <t>许延伟</t>
  </si>
  <si>
    <t>1000248771</t>
  </si>
  <si>
    <t>1000248758</t>
  </si>
  <si>
    <t>销售(字)201724391219</t>
  </si>
  <si>
    <t>周科学</t>
  </si>
  <si>
    <t>1000248757</t>
  </si>
  <si>
    <t>销售(字)201724405501</t>
  </si>
  <si>
    <t>1000248756</t>
  </si>
  <si>
    <t>吴瑞洋</t>
  </si>
  <si>
    <t>1000248754</t>
  </si>
  <si>
    <t>销售(字)201725111557</t>
  </si>
  <si>
    <t>巩曰度</t>
  </si>
  <si>
    <t>1000248753</t>
  </si>
  <si>
    <t>销售(字)201724396240</t>
  </si>
  <si>
    <t>姚倩</t>
  </si>
  <si>
    <t>1000248751</t>
  </si>
  <si>
    <t>销售(字)201724402051</t>
  </si>
  <si>
    <t>迟永敏</t>
  </si>
  <si>
    <t>1000248750</t>
  </si>
  <si>
    <t>销售(字)201724367984</t>
  </si>
  <si>
    <t>王振钢</t>
  </si>
  <si>
    <t>1000248749</t>
  </si>
  <si>
    <t>219</t>
  </si>
  <si>
    <t>米文龙</t>
  </si>
  <si>
    <t>1000248748</t>
  </si>
  <si>
    <t>销售(字)201724635917</t>
  </si>
  <si>
    <t>220</t>
  </si>
  <si>
    <t>王飞</t>
  </si>
  <si>
    <t>1000248747</t>
  </si>
  <si>
    <t>于昌富</t>
  </si>
  <si>
    <t>1000248746</t>
  </si>
  <si>
    <t>1000248745</t>
  </si>
  <si>
    <t>1000248744</t>
  </si>
  <si>
    <t>1000248743</t>
  </si>
  <si>
    <t>销售(字)201724401720</t>
  </si>
  <si>
    <t>贾晓东</t>
  </si>
  <si>
    <t>1000248741</t>
  </si>
  <si>
    <t>李昊</t>
  </si>
  <si>
    <t>1000248740</t>
  </si>
  <si>
    <t>销售(字)201724396353</t>
  </si>
  <si>
    <t>罗玉芝</t>
  </si>
  <si>
    <t>1000248739</t>
  </si>
  <si>
    <t>销售(字)201724433060</t>
  </si>
  <si>
    <t>孙良</t>
  </si>
  <si>
    <t>1000248738</t>
  </si>
  <si>
    <t>销售(字)201724398302</t>
  </si>
  <si>
    <t>218</t>
  </si>
  <si>
    <t>吴红玲</t>
  </si>
  <si>
    <t>1000248737</t>
  </si>
  <si>
    <t>销售(字)201724436169</t>
  </si>
  <si>
    <t>谭雪英</t>
  </si>
  <si>
    <t>1000248736</t>
  </si>
  <si>
    <t>销售(字)201724381396</t>
  </si>
  <si>
    <t>艾明莲</t>
  </si>
  <si>
    <t>1000248735</t>
  </si>
  <si>
    <t>销售(字)201724435832</t>
  </si>
  <si>
    <t>徐泳</t>
  </si>
  <si>
    <t>1000248734</t>
  </si>
  <si>
    <t>销售(字)201724446430</t>
  </si>
  <si>
    <t>230</t>
  </si>
  <si>
    <t>祝刚</t>
  </si>
  <si>
    <t>1000248733</t>
  </si>
  <si>
    <t>229</t>
  </si>
  <si>
    <t>张月</t>
  </si>
  <si>
    <t>1000248732</t>
  </si>
  <si>
    <t>郭瑞</t>
  </si>
  <si>
    <t>1000248731</t>
  </si>
  <si>
    <t>销售(字)201724393782</t>
  </si>
  <si>
    <t>孔令毅</t>
  </si>
  <si>
    <t>1000248729</t>
  </si>
  <si>
    <t>销售(字)201724431960</t>
  </si>
  <si>
    <t>王娟</t>
  </si>
  <si>
    <t>1000248728</t>
  </si>
  <si>
    <t>销售(字)201724663145</t>
  </si>
  <si>
    <t>张爱华</t>
  </si>
  <si>
    <r>
      <t>2</t>
    </r>
    <r>
      <rPr>
        <sz val="11"/>
        <color theme="1"/>
        <rFont val="宋体"/>
        <family val="3"/>
        <charset val="134"/>
        <scheme val="minor"/>
      </rPr>
      <t>#</t>
    </r>
    <phoneticPr fontId="144" type="noConversion"/>
  </si>
  <si>
    <r>
      <t>5</t>
    </r>
    <r>
      <rPr>
        <sz val="11"/>
        <color theme="1"/>
        <rFont val="宋体"/>
        <family val="3"/>
        <charset val="134"/>
        <scheme val="minor"/>
      </rPr>
      <t>#</t>
    </r>
    <phoneticPr fontId="144" type="noConversion"/>
  </si>
  <si>
    <t>楼层</t>
    <phoneticPr fontId="144" type="noConversion"/>
  </si>
  <si>
    <t>单价</t>
    <phoneticPr fontId="144" type="noConversion"/>
  </si>
  <si>
    <t>商业5#</t>
    <phoneticPr fontId="4" type="noConversion"/>
  </si>
  <si>
    <t>较好</t>
  </si>
  <si>
    <t>七通</t>
  </si>
  <si>
    <t>一般</t>
  </si>
  <si>
    <t>1000346361</t>
  </si>
  <si>
    <t/>
  </si>
  <si>
    <t>22#住宅底商</t>
  </si>
  <si>
    <t>杨元秋</t>
  </si>
  <si>
    <t>临时合同</t>
  </si>
  <si>
    <t>住宅底商</t>
  </si>
  <si>
    <t>1000343723</t>
  </si>
  <si>
    <t>2单元</t>
  </si>
  <si>
    <t>崔秀文 陈华</t>
  </si>
  <si>
    <t>1000343381</t>
  </si>
  <si>
    <t>1000342668</t>
  </si>
  <si>
    <t>许天宇</t>
  </si>
  <si>
    <t>1000342388</t>
  </si>
  <si>
    <t>邵美超</t>
  </si>
  <si>
    <t>1000340323</t>
  </si>
  <si>
    <t>刘开磊</t>
  </si>
  <si>
    <t>1000340322</t>
  </si>
  <si>
    <t>1000340321</t>
  </si>
  <si>
    <t>1000340320</t>
  </si>
  <si>
    <t>1000340265</t>
  </si>
  <si>
    <t>李正萍</t>
  </si>
  <si>
    <t>1000340264</t>
  </si>
  <si>
    <t>1000339907</t>
  </si>
  <si>
    <t>销售(字)201822834119</t>
  </si>
  <si>
    <t>1000338352</t>
  </si>
  <si>
    <t>颜吉贤</t>
  </si>
  <si>
    <t>1000338351</t>
  </si>
  <si>
    <t>1000338350</t>
  </si>
  <si>
    <t>麻灵艳</t>
  </si>
  <si>
    <t>1000338319</t>
  </si>
  <si>
    <t>祝喜敏</t>
  </si>
  <si>
    <t>1000338318</t>
  </si>
  <si>
    <t>1000338317</t>
  </si>
  <si>
    <t>1000338316</t>
  </si>
  <si>
    <t>1000336139</t>
  </si>
  <si>
    <t>销售(字)201822329973</t>
  </si>
  <si>
    <t>3单元</t>
  </si>
  <si>
    <t>杨洋</t>
  </si>
  <si>
    <t>1000330764</t>
  </si>
  <si>
    <t>王菲</t>
  </si>
  <si>
    <t>1000330058</t>
  </si>
  <si>
    <t>田恒慧</t>
  </si>
  <si>
    <t>1000328432</t>
  </si>
  <si>
    <t>张国栋</t>
  </si>
  <si>
    <t>1000328429</t>
  </si>
  <si>
    <t>高东师</t>
  </si>
  <si>
    <t>1000328425</t>
  </si>
  <si>
    <t>亓新强</t>
  </si>
  <si>
    <t>1000328421</t>
  </si>
  <si>
    <t>1000328419</t>
  </si>
  <si>
    <t>孔令菊</t>
  </si>
  <si>
    <t>1000328415</t>
  </si>
  <si>
    <t>销售(字)201822338722</t>
  </si>
  <si>
    <t>张芳</t>
  </si>
  <si>
    <t>1000328413</t>
  </si>
  <si>
    <t>于传莹</t>
  </si>
  <si>
    <t>较好</t>
    <phoneticPr fontId="32" type="noConversion"/>
  </si>
  <si>
    <t>一般</t>
    <phoneticPr fontId="32" type="noConversion"/>
  </si>
  <si>
    <t>毛坯</t>
  </si>
  <si>
    <t>毛坯</t>
    <phoneticPr fontId="32" type="noConversion"/>
  </si>
  <si>
    <t>标准层高</t>
  </si>
  <si>
    <t>标准层高</t>
    <phoneticPr fontId="32" type="noConversion"/>
  </si>
  <si>
    <t>不可餐饮</t>
  </si>
  <si>
    <t>精装修</t>
  </si>
  <si>
    <t>精装修</t>
    <phoneticPr fontId="32" type="noConversion"/>
  </si>
  <si>
    <t>钢混</t>
    <phoneticPr fontId="32" type="noConversion"/>
  </si>
  <si>
    <t>独立商业</t>
    <phoneticPr fontId="32" type="noConversion"/>
  </si>
  <si>
    <t>写字楼配套商业</t>
    <phoneticPr fontId="32" type="noConversion"/>
  </si>
  <si>
    <t>住宅配套商业</t>
    <phoneticPr fontId="32" type="noConversion"/>
  </si>
  <si>
    <t>可餐饮</t>
    <phoneticPr fontId="32" type="noConversion"/>
  </si>
  <si>
    <t>不可餐饮</t>
    <phoneticPr fontId="32" type="noConversion"/>
  </si>
  <si>
    <r>
      <t>1</t>
    </r>
    <r>
      <rPr>
        <sz val="11"/>
        <color indexed="8"/>
        <rFont val="宋体"/>
        <family val="3"/>
        <charset val="134"/>
      </rPr>
      <t>层</t>
    </r>
    <phoneticPr fontId="32" type="noConversion"/>
  </si>
  <si>
    <t>较大</t>
    <phoneticPr fontId="32" type="noConversion"/>
  </si>
  <si>
    <t>较小</t>
    <phoneticPr fontId="32" type="noConversion"/>
  </si>
  <si>
    <t>较差</t>
    <phoneticPr fontId="32" type="noConversion"/>
  </si>
  <si>
    <t>商业2#</t>
    <phoneticPr fontId="4" type="noConversion"/>
  </si>
  <si>
    <r>
      <t>2</t>
    </r>
    <r>
      <rPr>
        <sz val="11"/>
        <color theme="1"/>
        <rFont val="宋体"/>
        <family val="3"/>
        <charset val="134"/>
        <scheme val="minor"/>
      </rPr>
      <t>2#底商</t>
    </r>
    <phoneticPr fontId="144" type="noConversion"/>
  </si>
  <si>
    <t>1层</t>
  </si>
  <si>
    <t>1层</t>
    <phoneticPr fontId="26" type="noConversion"/>
  </si>
  <si>
    <r>
      <t>2</t>
    </r>
    <r>
      <rPr>
        <sz val="10"/>
        <color indexed="8"/>
        <rFont val="宋体"/>
        <family val="3"/>
        <charset val="134"/>
      </rPr>
      <t>层</t>
    </r>
    <phoneticPr fontId="26" type="noConversion"/>
  </si>
  <si>
    <r>
      <t>3</t>
    </r>
    <r>
      <rPr>
        <sz val="10"/>
        <color indexed="8"/>
        <rFont val="宋体"/>
        <family val="3"/>
        <charset val="134"/>
      </rPr>
      <t>层</t>
    </r>
    <phoneticPr fontId="26" type="noConversion"/>
  </si>
  <si>
    <t>商业1层</t>
  </si>
  <si>
    <t>商业1层</t>
    <phoneticPr fontId="8" type="noConversion"/>
  </si>
  <si>
    <r>
      <t>1</t>
    </r>
    <r>
      <rPr>
        <sz val="10"/>
        <color indexed="8"/>
        <rFont val="宋体"/>
        <family val="3"/>
        <charset val="134"/>
      </rPr>
      <t>层</t>
    </r>
    <phoneticPr fontId="26" type="noConversion"/>
  </si>
  <si>
    <t>2层</t>
  </si>
  <si>
    <t>3层</t>
  </si>
  <si>
    <t>一般</t>
    <phoneticPr fontId="32" type="noConversion"/>
  </si>
  <si>
    <t>和信城市广场</t>
    <phoneticPr fontId="4" type="noConversion"/>
  </si>
  <si>
    <t>租金</t>
    <phoneticPr fontId="144" type="noConversion"/>
  </si>
  <si>
    <t>位置</t>
    <phoneticPr fontId="144" type="noConversion"/>
  </si>
  <si>
    <t>底商</t>
    <phoneticPr fontId="144" type="noConversion"/>
  </si>
  <si>
    <t>内</t>
    <phoneticPr fontId="144" type="noConversion"/>
  </si>
  <si>
    <t>独立（商业C北）</t>
    <phoneticPr fontId="144" type="noConversion"/>
  </si>
  <si>
    <t>独立（5#）</t>
    <phoneticPr fontId="144" type="noConversion"/>
  </si>
  <si>
    <t>独立（商业C北）</t>
    <phoneticPr fontId="144" type="noConversion"/>
  </si>
  <si>
    <t>4块多</t>
    <phoneticPr fontId="144" type="noConversion"/>
  </si>
  <si>
    <t>外</t>
    <phoneticPr fontId="144" type="noConversion"/>
  </si>
  <si>
    <t>项目局部</t>
  </si>
  <si>
    <t>王鹏</t>
  </si>
  <si>
    <t>郑燚</t>
  </si>
  <si>
    <t>商业项目</t>
  </si>
  <si>
    <r>
      <t>3</t>
    </r>
    <r>
      <rPr>
        <sz val="11"/>
        <color theme="1"/>
        <rFont val="宋体"/>
        <family val="3"/>
        <charset val="134"/>
        <scheme val="minor"/>
      </rPr>
      <t>70105011003GB00021F10020003</t>
    </r>
    <phoneticPr fontId="144" type="noConversion"/>
  </si>
  <si>
    <r>
      <t>3</t>
    </r>
    <r>
      <rPr>
        <sz val="11"/>
        <color theme="1"/>
        <rFont val="宋体"/>
        <family val="3"/>
        <charset val="134"/>
        <scheme val="minor"/>
      </rPr>
      <t>70105011003GB00021F10020004</t>
    </r>
    <r>
      <rPr>
        <sz val="11"/>
        <color theme="1"/>
        <rFont val="宋体"/>
        <family val="2"/>
        <charset val="134"/>
        <scheme val="minor"/>
      </rPr>
      <t/>
    </r>
  </si>
  <si>
    <r>
      <t>3</t>
    </r>
    <r>
      <rPr>
        <sz val="11"/>
        <color theme="1"/>
        <rFont val="宋体"/>
        <family val="3"/>
        <charset val="134"/>
        <scheme val="minor"/>
      </rPr>
      <t>70105011003GB00021F10020005</t>
    </r>
    <r>
      <rPr>
        <sz val="11"/>
        <color theme="1"/>
        <rFont val="宋体"/>
        <family val="2"/>
        <charset val="134"/>
        <scheme val="minor"/>
      </rPr>
      <t/>
    </r>
  </si>
  <si>
    <r>
      <t>3</t>
    </r>
    <r>
      <rPr>
        <sz val="11"/>
        <color theme="1"/>
        <rFont val="宋体"/>
        <family val="3"/>
        <charset val="134"/>
        <scheme val="minor"/>
      </rPr>
      <t>70105011003GB00021F10020006</t>
    </r>
    <r>
      <rPr>
        <sz val="11"/>
        <color theme="1"/>
        <rFont val="宋体"/>
        <family val="2"/>
        <charset val="134"/>
        <scheme val="minor"/>
      </rPr>
      <t/>
    </r>
  </si>
  <si>
    <r>
      <t>3</t>
    </r>
    <r>
      <rPr>
        <sz val="11"/>
        <color theme="1"/>
        <rFont val="宋体"/>
        <family val="3"/>
        <charset val="134"/>
        <scheme val="minor"/>
      </rPr>
      <t>70105011003GB00021F10020007</t>
    </r>
    <r>
      <rPr>
        <sz val="11"/>
        <color theme="1"/>
        <rFont val="宋体"/>
        <family val="2"/>
        <charset val="134"/>
        <scheme val="minor"/>
      </rPr>
      <t/>
    </r>
  </si>
  <si>
    <r>
      <t>3</t>
    </r>
    <r>
      <rPr>
        <sz val="11"/>
        <color theme="1"/>
        <rFont val="宋体"/>
        <family val="3"/>
        <charset val="134"/>
        <scheme val="minor"/>
      </rPr>
      <t>70105011003GB00021F10020008</t>
    </r>
    <r>
      <rPr>
        <sz val="11"/>
        <color theme="1"/>
        <rFont val="宋体"/>
        <family val="2"/>
        <charset val="134"/>
        <scheme val="minor"/>
      </rPr>
      <t/>
    </r>
  </si>
  <si>
    <r>
      <t>3</t>
    </r>
    <r>
      <rPr>
        <sz val="11"/>
        <color theme="1"/>
        <rFont val="宋体"/>
        <family val="3"/>
        <charset val="134"/>
        <scheme val="minor"/>
      </rPr>
      <t>70105011003GB00021F10020009</t>
    </r>
    <r>
      <rPr>
        <sz val="11"/>
        <color theme="1"/>
        <rFont val="宋体"/>
        <family val="2"/>
        <charset val="134"/>
        <scheme val="minor"/>
      </rPr>
      <t/>
    </r>
  </si>
  <si>
    <r>
      <t>3</t>
    </r>
    <r>
      <rPr>
        <sz val="11"/>
        <color theme="1"/>
        <rFont val="宋体"/>
        <family val="3"/>
        <charset val="134"/>
        <scheme val="minor"/>
      </rPr>
      <t>70105011003GB00021F10020010</t>
    </r>
    <r>
      <rPr>
        <sz val="11"/>
        <color theme="1"/>
        <rFont val="宋体"/>
        <family val="2"/>
        <charset val="134"/>
        <scheme val="minor"/>
      </rPr>
      <t/>
    </r>
  </si>
  <si>
    <r>
      <t>3</t>
    </r>
    <r>
      <rPr>
        <sz val="11"/>
        <color theme="1"/>
        <rFont val="宋体"/>
        <family val="3"/>
        <charset val="134"/>
        <scheme val="minor"/>
      </rPr>
      <t>70105011003GB00021F10020011</t>
    </r>
    <r>
      <rPr>
        <sz val="11"/>
        <color theme="1"/>
        <rFont val="宋体"/>
        <family val="2"/>
        <charset val="134"/>
        <scheme val="minor"/>
      </rPr>
      <t/>
    </r>
  </si>
  <si>
    <r>
      <t>3</t>
    </r>
    <r>
      <rPr>
        <sz val="11"/>
        <color theme="1"/>
        <rFont val="宋体"/>
        <family val="3"/>
        <charset val="134"/>
        <scheme val="minor"/>
      </rPr>
      <t>70105011003GB00021F10020012</t>
    </r>
    <r>
      <rPr>
        <sz val="11"/>
        <color theme="1"/>
        <rFont val="宋体"/>
        <family val="2"/>
        <charset val="134"/>
        <scheme val="minor"/>
      </rPr>
      <t/>
    </r>
  </si>
  <si>
    <r>
      <t>3</t>
    </r>
    <r>
      <rPr>
        <sz val="11"/>
        <color theme="1"/>
        <rFont val="宋体"/>
        <family val="3"/>
        <charset val="134"/>
        <scheme val="minor"/>
      </rPr>
      <t>70105011003GB00021F10020013</t>
    </r>
    <r>
      <rPr>
        <sz val="11"/>
        <color theme="1"/>
        <rFont val="宋体"/>
        <family val="2"/>
        <charset val="134"/>
        <scheme val="minor"/>
      </rPr>
      <t/>
    </r>
  </si>
  <si>
    <r>
      <t>3</t>
    </r>
    <r>
      <rPr>
        <sz val="11"/>
        <color theme="1"/>
        <rFont val="宋体"/>
        <family val="3"/>
        <charset val="134"/>
        <scheme val="minor"/>
      </rPr>
      <t>70105011003GB00021F10020014</t>
    </r>
    <r>
      <rPr>
        <sz val="11"/>
        <color theme="1"/>
        <rFont val="宋体"/>
        <family val="2"/>
        <charset val="134"/>
        <scheme val="minor"/>
      </rPr>
      <t/>
    </r>
  </si>
  <si>
    <r>
      <t>3</t>
    </r>
    <r>
      <rPr>
        <sz val="11"/>
        <color theme="1"/>
        <rFont val="宋体"/>
        <family val="3"/>
        <charset val="134"/>
        <scheme val="minor"/>
      </rPr>
      <t>70105011003GB00021F10020015</t>
    </r>
    <r>
      <rPr>
        <sz val="11"/>
        <color theme="1"/>
        <rFont val="宋体"/>
        <family val="2"/>
        <charset val="134"/>
        <scheme val="minor"/>
      </rPr>
      <t/>
    </r>
  </si>
  <si>
    <r>
      <t>3</t>
    </r>
    <r>
      <rPr>
        <sz val="11"/>
        <color theme="1"/>
        <rFont val="宋体"/>
        <family val="3"/>
        <charset val="134"/>
        <scheme val="minor"/>
      </rPr>
      <t>70105011003GB00021F10020016</t>
    </r>
    <r>
      <rPr>
        <sz val="11"/>
        <color theme="1"/>
        <rFont val="宋体"/>
        <family val="2"/>
        <charset val="134"/>
        <scheme val="minor"/>
      </rPr>
      <t/>
    </r>
  </si>
  <si>
    <r>
      <t>3</t>
    </r>
    <r>
      <rPr>
        <sz val="11"/>
        <color theme="1"/>
        <rFont val="宋体"/>
        <family val="3"/>
        <charset val="134"/>
        <scheme val="minor"/>
      </rPr>
      <t>70105011003GB00021F10020017</t>
    </r>
    <r>
      <rPr>
        <sz val="11"/>
        <color theme="1"/>
        <rFont val="宋体"/>
        <family val="2"/>
        <charset val="134"/>
        <scheme val="minor"/>
      </rPr>
      <t/>
    </r>
  </si>
  <si>
    <r>
      <t>3</t>
    </r>
    <r>
      <rPr>
        <sz val="11"/>
        <color theme="1"/>
        <rFont val="宋体"/>
        <family val="3"/>
        <charset val="134"/>
        <scheme val="minor"/>
      </rPr>
      <t>70105011003GB00021F10020018</t>
    </r>
    <r>
      <rPr>
        <sz val="11"/>
        <color theme="1"/>
        <rFont val="宋体"/>
        <family val="2"/>
        <charset val="134"/>
        <scheme val="minor"/>
      </rPr>
      <t/>
    </r>
  </si>
  <si>
    <r>
      <t>3</t>
    </r>
    <r>
      <rPr>
        <sz val="11"/>
        <color theme="1"/>
        <rFont val="宋体"/>
        <family val="3"/>
        <charset val="134"/>
        <scheme val="minor"/>
      </rPr>
      <t>70105011003GB00021F10020019</t>
    </r>
    <r>
      <rPr>
        <sz val="11"/>
        <color theme="1"/>
        <rFont val="宋体"/>
        <family val="2"/>
        <charset val="134"/>
        <scheme val="minor"/>
      </rPr>
      <t/>
    </r>
  </si>
  <si>
    <r>
      <t>3</t>
    </r>
    <r>
      <rPr>
        <sz val="11"/>
        <color theme="1"/>
        <rFont val="宋体"/>
        <family val="3"/>
        <charset val="134"/>
        <scheme val="minor"/>
      </rPr>
      <t>70105011003GB00021F10020020</t>
    </r>
    <r>
      <rPr>
        <sz val="11"/>
        <color theme="1"/>
        <rFont val="宋体"/>
        <family val="2"/>
        <charset val="134"/>
        <scheme val="minor"/>
      </rPr>
      <t/>
    </r>
  </si>
  <si>
    <r>
      <t>3</t>
    </r>
    <r>
      <rPr>
        <sz val="11"/>
        <color theme="1"/>
        <rFont val="宋体"/>
        <family val="3"/>
        <charset val="134"/>
        <scheme val="minor"/>
      </rPr>
      <t>70105011003GB00021F10020021</t>
    </r>
    <r>
      <rPr>
        <sz val="11"/>
        <color theme="1"/>
        <rFont val="宋体"/>
        <family val="2"/>
        <charset val="134"/>
        <scheme val="minor"/>
      </rPr>
      <t/>
    </r>
  </si>
  <si>
    <r>
      <t>3</t>
    </r>
    <r>
      <rPr>
        <sz val="11"/>
        <color theme="1"/>
        <rFont val="宋体"/>
        <family val="3"/>
        <charset val="134"/>
        <scheme val="minor"/>
      </rPr>
      <t>70105011003GB00021F10020022</t>
    </r>
    <r>
      <rPr>
        <sz val="11"/>
        <color theme="1"/>
        <rFont val="宋体"/>
        <family val="2"/>
        <charset val="134"/>
        <scheme val="minor"/>
      </rPr>
      <t/>
    </r>
  </si>
  <si>
    <r>
      <t>3</t>
    </r>
    <r>
      <rPr>
        <sz val="11"/>
        <color theme="1"/>
        <rFont val="宋体"/>
        <family val="3"/>
        <charset val="134"/>
        <scheme val="minor"/>
      </rPr>
      <t>70105011003GB00021F10020023</t>
    </r>
    <r>
      <rPr>
        <sz val="11"/>
        <color theme="1"/>
        <rFont val="宋体"/>
        <family val="2"/>
        <charset val="134"/>
        <scheme val="minor"/>
      </rPr>
      <t/>
    </r>
  </si>
  <si>
    <r>
      <t>3</t>
    </r>
    <r>
      <rPr>
        <sz val="11"/>
        <color theme="1"/>
        <rFont val="宋体"/>
        <family val="3"/>
        <charset val="134"/>
        <scheme val="minor"/>
      </rPr>
      <t>70105011003GB00021F10020024</t>
    </r>
    <r>
      <rPr>
        <sz val="11"/>
        <color theme="1"/>
        <rFont val="宋体"/>
        <family val="2"/>
        <charset val="134"/>
        <scheme val="minor"/>
      </rPr>
      <t/>
    </r>
  </si>
  <si>
    <r>
      <t>3</t>
    </r>
    <r>
      <rPr>
        <sz val="11"/>
        <color theme="1"/>
        <rFont val="宋体"/>
        <family val="3"/>
        <charset val="134"/>
        <scheme val="minor"/>
      </rPr>
      <t>70105011003GB00021F10020025</t>
    </r>
    <r>
      <rPr>
        <sz val="11"/>
        <color theme="1"/>
        <rFont val="宋体"/>
        <family val="2"/>
        <charset val="134"/>
        <scheme val="minor"/>
      </rPr>
      <t/>
    </r>
  </si>
  <si>
    <t>370105011003GB00021F10020001</t>
    <phoneticPr fontId="144" type="noConversion"/>
  </si>
  <si>
    <t>370105011003GB00021F10020002</t>
  </si>
  <si>
    <t>合计</t>
    <phoneticPr fontId="144" type="noConversion"/>
  </si>
  <si>
    <t>——</t>
    <phoneticPr fontId="144" type="noConversion"/>
  </si>
  <si>
    <r>
      <rPr>
        <sz val="12"/>
        <color theme="9" tint="-0.249977111117893"/>
        <rFont val="宋体"/>
        <family val="3"/>
        <charset val="134"/>
      </rPr>
      <t>商业</t>
    </r>
    <r>
      <rPr>
        <sz val="12"/>
        <color theme="9" tint="-0.249977111117893"/>
        <rFont val="Arial"/>
        <family val="2"/>
      </rPr>
      <t>36.05</t>
    </r>
    <r>
      <rPr>
        <sz val="12"/>
        <color theme="9" tint="-0.249977111117893"/>
        <rFont val="宋体"/>
        <family val="3"/>
        <charset val="134"/>
      </rPr>
      <t>年</t>
    </r>
    <phoneticPr fontId="7"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</si>
  <si>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鲁（</t>
    </r>
    <r>
      <rPr>
        <sz val="12"/>
        <color theme="9" tint="-0.249977111117893"/>
        <rFont val="Arial"/>
        <family val="2"/>
      </rPr>
      <t>2018</t>
    </r>
    <r>
      <rPr>
        <sz val="12"/>
        <color theme="9" tint="-0.249977111117893"/>
        <rFont val="宋体"/>
        <family val="3"/>
        <charset val="134"/>
      </rPr>
      <t>）济南市不动产权第</t>
    </r>
    <r>
      <rPr>
        <sz val="12"/>
        <color theme="9" tint="-0.249977111117893"/>
        <rFont val="Arial"/>
        <family val="2"/>
      </rPr>
      <t>0005486</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7" type="noConversion"/>
  </si>
  <si>
    <t>情况3</t>
  </si>
  <si>
    <t>非个人房产</t>
  </si>
  <si>
    <t>押二</t>
  </si>
  <si>
    <t>一层平均面积</t>
    <phoneticPr fontId="144" type="noConversion"/>
  </si>
  <si>
    <t>二层平均面积</t>
    <phoneticPr fontId="144" type="noConversion"/>
  </si>
  <si>
    <t>三层平均面积</t>
    <phoneticPr fontId="144" type="noConversion"/>
  </si>
  <si>
    <t>住宅配套商业</t>
  </si>
  <si>
    <t>户均面积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</si>
</sst>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9" fontId="255" fillId="0" borderId="0" applyFont="0" applyFill="0" applyBorder="0" applyAlignment="0" applyProtection="0">
      <alignment vertical="center"/>
    </xf>
    <xf numFmtId="0" fontId="57" fillId="0" borderId="0"/>
  </cellStyleXfs>
  <cellXfs count="3320">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49" fontId="65" fillId="6" borderId="2" xfId="0" applyNumberFormat="1" applyFont="1" applyFill="1" applyBorder="1" applyAlignment="1" applyProtection="1">
      <alignment horizontal="left" vertical="center" wrapText="1"/>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153" fillId="12" borderId="126" xfId="9" applyFont="1" applyFill="1" applyBorder="1" applyAlignment="1" applyProtection="1">
      <alignment horizontal="center" vertical="center" wrapText="1"/>
    </xf>
    <xf numFmtId="0" fontId="191" fillId="7" borderId="5" xfId="0" applyFont="1" applyFill="1" applyBorder="1" applyAlignment="1" applyProtection="1">
      <alignment vertical="center"/>
      <protection locked="0"/>
    </xf>
    <xf numFmtId="0" fontId="191" fillId="7" borderId="54" xfId="0" applyFont="1" applyFill="1" applyBorder="1" applyAlignment="1" applyProtection="1">
      <alignment vertical="center" wrapText="1"/>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0" fillId="0" borderId="0" xfId="0" applyAlignment="1">
      <alignment horizontal="left" vertical="center"/>
    </xf>
    <xf numFmtId="0" fontId="100" fillId="0" borderId="0" xfId="0" applyFont="1" applyAlignment="1">
      <alignment horizontal="left" vertical="center"/>
    </xf>
    <xf numFmtId="177" fontId="81" fillId="0" borderId="1" xfId="1" applyNumberFormat="1" applyFont="1" applyFill="1" applyBorder="1" applyAlignment="1" applyProtection="1">
      <alignment vertical="center"/>
      <protection locked="0" hidden="1"/>
    </xf>
    <xf numFmtId="0" fontId="138" fillId="0" borderId="51" xfId="0" applyNumberFormat="1" applyFont="1" applyFill="1" applyBorder="1" applyAlignment="1" applyProtection="1">
      <alignment horizontal="center" vertical="center" wrapText="1"/>
      <protection locked="0"/>
    </xf>
    <xf numFmtId="10" fontId="0" fillId="0" borderId="0" xfId="13" applyNumberFormat="1" applyFont="1">
      <alignment vertical="center"/>
    </xf>
    <xf numFmtId="197" fontId="0" fillId="0" borderId="0" xfId="0" applyNumberFormat="1">
      <alignment vertical="center"/>
    </xf>
    <xf numFmtId="1" fontId="0" fillId="0" borderId="0" xfId="0" applyNumberFormat="1">
      <alignment vertical="center"/>
    </xf>
    <xf numFmtId="0" fontId="100" fillId="0" borderId="0" xfId="0" applyFont="1">
      <alignment vertical="center"/>
    </xf>
    <xf numFmtId="9" fontId="0" fillId="0" borderId="0" xfId="0" applyNumberFormat="1">
      <alignment vertical="center"/>
    </xf>
    <xf numFmtId="0" fontId="57" fillId="17" borderId="1" xfId="14" applyFill="1" applyBorder="1" applyAlignment="1">
      <alignment vertical="top"/>
    </xf>
    <xf numFmtId="0" fontId="57" fillId="0" borderId="0" xfId="14" applyAlignment="1">
      <alignment vertical="top"/>
    </xf>
    <xf numFmtId="2" fontId="57" fillId="0" borderId="0" xfId="14" applyNumberFormat="1" applyAlignment="1">
      <alignment horizontal="right" vertical="top"/>
    </xf>
    <xf numFmtId="14" fontId="57" fillId="0" borderId="0" xfId="14" applyNumberFormat="1" applyAlignment="1">
      <alignment horizontal="right" vertical="top"/>
    </xf>
    <xf numFmtId="14" fontId="0" fillId="0" borderId="0" xfId="0" applyNumberFormat="1">
      <alignment vertical="center"/>
    </xf>
    <xf numFmtId="1" fontId="74" fillId="3" borderId="51" xfId="0" applyNumberFormat="1" applyFont="1" applyFill="1" applyBorder="1" applyAlignment="1" applyProtection="1">
      <alignment vertical="center" wrapText="1"/>
      <protection locked="0"/>
    </xf>
    <xf numFmtId="0" fontId="99" fillId="0" borderId="37"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193" fillId="0" borderId="1" xfId="0" applyFont="1" applyFill="1" applyBorder="1" applyAlignment="1" applyProtection="1">
      <alignment horizontal="center" vertical="center"/>
      <protection locked="0"/>
    </xf>
    <xf numFmtId="0" fontId="55" fillId="0" borderId="69" xfId="0" applyNumberFormat="1" applyFont="1" applyFill="1" applyBorder="1" applyAlignment="1" applyProtection="1">
      <alignment horizontal="center" vertical="center" wrapText="1"/>
      <protection locked="0"/>
    </xf>
    <xf numFmtId="49" fontId="55" fillId="2" borderId="25" xfId="0" applyNumberFormat="1" applyFont="1" applyFill="1" applyBorder="1" applyAlignment="1" applyProtection="1">
      <alignment horizontal="center" vertical="center" wrapText="1"/>
      <protection locked="0"/>
    </xf>
    <xf numFmtId="0" fontId="100" fillId="0" borderId="1" xfId="0" applyFont="1" applyBorder="1" applyAlignment="1">
      <alignment horizontal="left" vertical="center"/>
    </xf>
    <xf numFmtId="0" fontId="0" fillId="0" borderId="1" xfId="0" applyBorder="1" applyAlignment="1">
      <alignment horizontal="left" vertical="center"/>
    </xf>
    <xf numFmtId="0" fontId="100" fillId="0" borderId="6" xfId="0" applyFont="1" applyBorder="1" applyAlignment="1">
      <alignment horizontal="left" vertical="center"/>
    </xf>
    <xf numFmtId="0" fontId="100" fillId="0" borderId="9" xfId="0" applyFont="1" applyBorder="1" applyAlignment="1">
      <alignment horizontal="left" vertical="center"/>
    </xf>
    <xf numFmtId="0" fontId="100" fillId="0" borderId="10" xfId="0" applyFont="1" applyBorder="1" applyAlignment="1">
      <alignment horizontal="left" vertical="center"/>
    </xf>
    <xf numFmtId="0" fontId="100" fillId="0" borderId="23" xfId="0" applyFont="1" applyBorder="1" applyAlignment="1">
      <alignment horizontal="left" vertical="center"/>
    </xf>
    <xf numFmtId="0" fontId="100" fillId="0" borderId="24" xfId="0" applyFont="1" applyBorder="1" applyAlignment="1">
      <alignment horizontal="left" vertical="center"/>
    </xf>
    <xf numFmtId="0" fontId="100" fillId="0" borderId="25" xfId="0" applyFont="1" applyBorder="1" applyAlignment="1">
      <alignment horizontal="left" vertical="center"/>
    </xf>
    <xf numFmtId="0" fontId="100" fillId="0" borderId="32" xfId="0" applyFont="1" applyBorder="1" applyAlignment="1">
      <alignment horizontal="left" vertical="center"/>
    </xf>
    <xf numFmtId="0" fontId="0" fillId="0" borderId="32" xfId="0" applyBorder="1" applyAlignment="1">
      <alignment horizontal="left" vertical="center"/>
    </xf>
    <xf numFmtId="0" fontId="100" fillId="0" borderId="49" xfId="0" applyFont="1" applyBorder="1" applyAlignment="1">
      <alignment horizontal="left" vertical="center"/>
    </xf>
    <xf numFmtId="0" fontId="57" fillId="9" borderId="32" xfId="0" applyNumberFormat="1" applyFont="1" applyFill="1" applyBorder="1" applyAlignment="1" applyProtection="1">
      <alignment horizontal="center" vertical="center" wrapText="1"/>
      <protection locked="0"/>
    </xf>
    <xf numFmtId="181" fontId="56" fillId="9" borderId="61" xfId="0" applyNumberFormat="1" applyFont="1" applyFill="1" applyBorder="1" applyAlignment="1" applyProtection="1">
      <alignment horizontal="center" vertical="center"/>
      <protection locked="0"/>
    </xf>
    <xf numFmtId="0" fontId="172" fillId="6" borderId="13" xfId="12" applyFont="1" applyFill="1" applyBorder="1" applyAlignment="1" applyProtection="1">
      <alignment horizontal="center" vertical="center" wrapText="1"/>
      <protection locked="0"/>
    </xf>
    <xf numFmtId="0" fontId="101" fillId="5" borderId="0" xfId="0" applyFont="1" applyFill="1" applyAlignment="1">
      <alignment horizontal="left" vertical="center"/>
    </xf>
    <xf numFmtId="0" fontId="101" fillId="5" borderId="0" xfId="0" applyFont="1" applyFill="1">
      <alignment vertical="center"/>
    </xf>
    <xf numFmtId="0" fontId="100" fillId="0" borderId="0" xfId="0" applyFont="1" applyFill="1" applyBorder="1" applyAlignment="1">
      <alignment horizontal="left" vertical="center"/>
    </xf>
    <xf numFmtId="181" fontId="51" fillId="9" borderId="24" xfId="0" applyNumberFormat="1" applyFont="1" applyFill="1" applyBorder="1" applyAlignment="1" applyProtection="1">
      <alignment horizontal="center" vertical="center"/>
      <protection locked="0"/>
    </xf>
    <xf numFmtId="0" fontId="242" fillId="9" borderId="109" xfId="0" applyNumberFormat="1" applyFont="1" applyFill="1" applyBorder="1" applyAlignment="1" applyProtection="1">
      <alignment horizontal="center" vertical="center" wrapText="1"/>
      <protection locked="0"/>
    </xf>
    <xf numFmtId="0" fontId="57" fillId="9" borderId="100" xfId="0" applyNumberFormat="1" applyFont="1" applyFill="1" applyBorder="1" applyAlignment="1" applyProtection="1">
      <alignment horizontal="center" vertical="center" wrapText="1"/>
    </xf>
    <xf numFmtId="0" fontId="51" fillId="9" borderId="110" xfId="0" applyNumberFormat="1" applyFont="1" applyFill="1" applyBorder="1" applyAlignment="1" applyProtection="1">
      <alignment horizontal="center" vertical="center" wrapText="1"/>
      <protection locked="0"/>
    </xf>
    <xf numFmtId="0" fontId="51" fillId="9" borderId="111" xfId="0" applyNumberFormat="1"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25"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25" xfId="0" applyFont="1" applyFill="1" applyBorder="1" applyAlignment="1" applyProtection="1">
      <alignment horizontal="center" vertical="center" wrapText="1"/>
      <protection locked="0"/>
    </xf>
    <xf numFmtId="0" fontId="179" fillId="0" borderId="49"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222"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179" fillId="0" borderId="3" xfId="0" applyFont="1" applyFill="1" applyBorder="1" applyAlignment="1" applyProtection="1">
      <alignment horizontal="center" vertical="center" wrapText="1"/>
      <protection locked="0"/>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15">
    <cellStyle name="百分比" xfId="13" builtinId="5"/>
    <cellStyle name="常规" xfId="0" builtinId="0"/>
    <cellStyle name="常规 10" xfId="14"/>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40" zoomScale="80" zoomScaleNormal="80" workbookViewId="0">
      <selection sqref="A1:XFD74"/>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山东省济南市天桥区世茂天城房地产抵押价值预评估</v>
      </c>
    </row>
    <row r="3" spans="1:2" s="1595" customFormat="1">
      <c r="A3" s="1593" t="s">
        <v>1221</v>
      </c>
      <c r="B3" s="1594" t="str">
        <f>'预评函-封皮'!B40</f>
        <v>五矿信托有限责任公司</v>
      </c>
    </row>
    <row r="4" spans="1:2" s="1595" customFormat="1">
      <c r="A4" s="1593" t="s">
        <v>1222</v>
      </c>
      <c r="B4" s="1594" t="str">
        <f ca="1">'预评函-封皮'!B46</f>
        <v>王鹏（注册号：1120050019)、郑燚（注册号：1120070131)</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受贵公司委托，我公司对山东省济南市天桥区世茂天城房地产抵押价值进行了预评估。</v>
      </c>
    </row>
    <row r="7" spans="1:2" s="1595" customFormat="1">
      <c r="A7" s="1593" t="s">
        <v>1264</v>
      </c>
      <c r="B7" s="1594" t="str">
        <f>'预评函-1'!A7</f>
        <v>估价对象为山东省济南市天桥区世茂天城房地产，为济南世茂天城置业有限公司所有。根据《不动产权证书》[鲁（2018）济南市不动产权第0005486号]，估价对象（分摊）出让国有建设用地使用权面积为6332.52平方米，建筑面积为1380.28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山东省济南市天桥区世茂天城房地产,属济南世茂天城置业有限公司开发建设的商业项目，该项目尚在开发建设中。根据《不动产权证书》[鲁（2018）济南市不动产权第0005486号]，估价对象（分摊）出让国有建设用地使用权面积为6332.52平方米，规划建筑面积为1380.28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济南世茂天城置业有限公司拟使用山东省济南市天桥区世茂天城房地产作为抵押担保物，向五矿信托有限责任公司办理贷款手续。五矿信托有限责任公司特委托北京康正宏基房地产评估有限公司对上述抵押物进行评估。本次评估为确定房地产抵押贷款额度提供参考依据而评估房地产抵押价值。</v>
      </c>
    </row>
    <row r="12" spans="1:2" s="1595" customFormat="1">
      <c r="A12" s="1593" t="s">
        <v>1226</v>
      </c>
      <c r="B12" s="1594" t="str">
        <f>'预评函-1'!A15</f>
        <v>2018年8月9日（评估专业人员实地查勘之日）</v>
      </c>
    </row>
    <row r="13" spans="1:2" s="1595" customFormat="1">
      <c r="A13" s="1593" t="s">
        <v>1227</v>
      </c>
      <c r="B13" s="1594" t="str">
        <f>'预评函-1'!A18</f>
        <v>本次估价的“房地产价值”是指在正常市场情况下，在价值时点2018年8月9日，估价对象规划用途为商业，土地取得方式为出让，出让国有建设用地使用权剩余土地使用年限为商业36.05年，假定未设立法定优先受偿款下的房地产市场价值。</v>
      </c>
    </row>
    <row r="14" spans="1:2" s="1595" customFormat="1">
      <c r="A14" s="1593" t="s">
        <v>1228</v>
      </c>
      <c r="B14" s="1594" t="str">
        <f>'预评函-1'!A19</f>
        <v>其中，“出让国有建设用地使用权价值”是指估价对象用途为商业，实际开发程度为宗地红线外“七通”（即通路、通电、通讯、通上水、通下水、、）、红线内场地平整条件下，剩余土地使用年限为商业36.05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本次评估采用的主估价方法为比较法和收益法。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3800</v>
      </c>
    </row>
    <row r="21" spans="1:2" s="1595" customFormat="1">
      <c r="A21" s="1593" t="s">
        <v>1235</v>
      </c>
      <c r="B21" s="1594">
        <f ca="1">'预评函-2'!D7</f>
        <v>27531</v>
      </c>
    </row>
    <row r="22" spans="1:2" s="1595" customFormat="1">
      <c r="A22" s="1593" t="s">
        <v>1236</v>
      </c>
      <c r="B22" s="1594" t="str">
        <f ca="1">'预评函-2'!D6</f>
        <v>叁仟捌佰万元整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3800</v>
      </c>
    </row>
    <row r="31" spans="1:2" s="1595" customFormat="1">
      <c r="A31" s="1593" t="s">
        <v>1274</v>
      </c>
      <c r="B31" s="1594">
        <f ca="1">'预评函-2'!D15</f>
        <v>27531</v>
      </c>
    </row>
    <row r="32" spans="1:2" s="1595" customFormat="1">
      <c r="A32" s="1593" t="s">
        <v>1241</v>
      </c>
      <c r="B32" s="1594" t="str">
        <f ca="1">'预评函-2'!D14</f>
        <v>叁仟捌佰万元整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山东省济南市天桥区世茂天城房地产</v>
      </c>
    </row>
    <row r="42" spans="1:2" s="1595" customFormat="1">
      <c r="A42" s="1593" t="s">
        <v>1288</v>
      </c>
      <c r="B42" s="1594" t="str">
        <f>'预评函-3'!B2</f>
        <v>建筑面积</v>
      </c>
    </row>
    <row r="43" spans="1:2" s="1595" customFormat="1">
      <c r="A43" s="1593" t="s">
        <v>1289</v>
      </c>
      <c r="B43" s="1594">
        <f>'预评函-3'!B4</f>
        <v>1380.28</v>
      </c>
    </row>
    <row r="44" spans="1:2" s="1595" customFormat="1">
      <c r="A44" s="1593" t="s">
        <v>1273</v>
      </c>
      <c r="B44" s="1594" t="str">
        <f>'预评函-3'!C2</f>
        <v>(分摊)土地面积</v>
      </c>
    </row>
    <row r="45" spans="1:2" s="1595" customFormat="1">
      <c r="A45" s="1593" t="s">
        <v>1245</v>
      </c>
      <c r="B45" s="1594">
        <f>'预评函-3'!C4</f>
        <v>6332.52</v>
      </c>
    </row>
    <row r="46" spans="1:2" s="1595" customFormat="1">
      <c r="A46" s="1593" t="s">
        <v>1271</v>
      </c>
      <c r="B46" s="1594" t="str">
        <f>'预评函-3'!D2</f>
        <v>出让国有建设用地使用权价值</v>
      </c>
    </row>
    <row r="47" spans="1:2" s="1595" customFormat="1">
      <c r="A47" s="1593" t="s">
        <v>1246</v>
      </c>
      <c r="B47" s="1594">
        <f ca="1">'预评函-3'!D4</f>
        <v>2238</v>
      </c>
    </row>
    <row r="48" spans="1:2" s="1595" customFormat="1">
      <c r="A48" s="1593" t="s">
        <v>1247</v>
      </c>
      <c r="B48" s="1594">
        <f ca="1">'预评函-3'!E4</f>
        <v>16214</v>
      </c>
    </row>
    <row r="49" spans="1:2" s="1595" customFormat="1">
      <c r="A49" s="1593" t="s">
        <v>1248</v>
      </c>
      <c r="B49" s="1594" t="str">
        <f ca="1">'预评函-3'!D5</f>
        <v>贰仟贰佰叁拾捌万元整</v>
      </c>
    </row>
    <row r="50" spans="1:2" s="1595" customFormat="1">
      <c r="A50" s="1593" t="s">
        <v>1272</v>
      </c>
      <c r="B50" s="1594" t="str">
        <f>'预评函-3'!F2</f>
        <v>建筑物价值</v>
      </c>
    </row>
    <row r="51" spans="1:2" s="1595" customFormat="1">
      <c r="A51" s="1593" t="s">
        <v>1249</v>
      </c>
      <c r="B51" s="1594">
        <f ca="1">'预评函-3'!F4</f>
        <v>1562</v>
      </c>
    </row>
    <row r="52" spans="1:2" s="1595" customFormat="1">
      <c r="A52" s="1593" t="s">
        <v>1250</v>
      </c>
      <c r="B52" s="1594">
        <f ca="1">'预评函-3'!G4</f>
        <v>11317</v>
      </c>
    </row>
    <row r="53" spans="1:2" s="1595" customFormat="1">
      <c r="A53" s="1593" t="s">
        <v>1278</v>
      </c>
      <c r="B53" s="1594" t="str">
        <f ca="1">'预评函-3'!F5</f>
        <v>壹仟伍佰陆拾贰万元整</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（1）根据估价对象《不动产权证书》原件、，截至价值时点，估价对象抵押权未见登记。</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王鹏</v>
      </c>
    </row>
    <row r="71" spans="1:2">
      <c r="A71" s="1593" t="s">
        <v>1261</v>
      </c>
      <c r="B71" s="1594">
        <f ca="1">'预评函-4'!B4</f>
        <v>1120050019</v>
      </c>
    </row>
    <row r="72" spans="1:2">
      <c r="A72" s="1593" t="s">
        <v>1262</v>
      </c>
      <c r="B72" s="1602" t="str">
        <f>'预评函-4'!A5</f>
        <v>郑燚</v>
      </c>
    </row>
    <row r="73" spans="1:2" s="1589" customFormat="1" ht="15" thickBot="1">
      <c r="A73" s="1596" t="s">
        <v>1263</v>
      </c>
      <c r="B73" s="1597">
        <f ca="1">'预评函-4'!B5</f>
        <v>1120070131</v>
      </c>
    </row>
    <row r="74" spans="1:2" ht="15" thickTop="1">
      <c r="A74" s="1586" t="s">
        <v>1299</v>
      </c>
      <c r="B74" s="1603"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4" sqref="Y14"/>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6" t="s">
        <v>1732</v>
      </c>
      <c r="C5" s="2017" t="s">
        <v>763</v>
      </c>
      <c r="F5" s="2018" t="s">
        <v>1733</v>
      </c>
      <c r="H5" s="2018" t="s">
        <v>1734</v>
      </c>
      <c r="I5" s="2018" t="s">
        <v>1735</v>
      </c>
      <c r="K5" s="2018" t="s">
        <v>1736</v>
      </c>
      <c r="L5" s="2018" t="s">
        <v>1736</v>
      </c>
      <c r="M5" s="2018" t="s">
        <v>1736</v>
      </c>
      <c r="N5" s="2018" t="s">
        <v>1736</v>
      </c>
      <c r="O5" s="2018" t="s">
        <v>1736</v>
      </c>
      <c r="P5" s="2018" t="s">
        <v>1736</v>
      </c>
      <c r="Q5" s="2018" t="s">
        <v>1736</v>
      </c>
      <c r="R5" s="2018" t="s">
        <v>1142</v>
      </c>
      <c r="S5" s="2018" t="s">
        <v>1736</v>
      </c>
      <c r="T5" s="2018" t="s">
        <v>1737</v>
      </c>
      <c r="U5" s="2018" t="s">
        <v>1736</v>
      </c>
      <c r="W5" s="2018" t="s">
        <v>1736</v>
      </c>
    </row>
    <row r="6" spans="1:23">
      <c r="A6" s="2016" t="s">
        <v>1738</v>
      </c>
      <c r="B6" s="2019" t="s">
        <v>1146</v>
      </c>
      <c r="C6" s="2022" t="s">
        <v>30</v>
      </c>
      <c r="F6" s="2018" t="s">
        <v>1734</v>
      </c>
      <c r="H6" s="2018" t="s">
        <v>1739</v>
      </c>
      <c r="I6" s="2018" t="s">
        <v>1740</v>
      </c>
      <c r="K6" s="2018" t="s">
        <v>1741</v>
      </c>
      <c r="L6" s="2018" t="s">
        <v>1741</v>
      </c>
      <c r="M6" s="2018" t="s">
        <v>1741</v>
      </c>
      <c r="N6" s="2018" t="s">
        <v>1741</v>
      </c>
      <c r="O6" s="2018" t="s">
        <v>1741</v>
      </c>
      <c r="P6" s="2018" t="s">
        <v>1741</v>
      </c>
      <c r="Q6" s="2018" t="s">
        <v>1741</v>
      </c>
      <c r="R6" s="2018" t="s">
        <v>1143</v>
      </c>
      <c r="S6" s="2018" t="s">
        <v>1741</v>
      </c>
      <c r="T6" s="2018"/>
      <c r="U6" s="2018" t="s">
        <v>1741</v>
      </c>
      <c r="W6" s="2018" t="s">
        <v>1741</v>
      </c>
    </row>
    <row r="7" spans="1:23">
      <c r="A7" s="2016" t="s">
        <v>1742</v>
      </c>
      <c r="B7" s="2019" t="s">
        <v>1147</v>
      </c>
      <c r="C7" s="2017" t="s">
        <v>31</v>
      </c>
      <c r="F7" s="2018" t="s">
        <v>1743</v>
      </c>
      <c r="H7" s="2018" t="s">
        <v>1744</v>
      </c>
      <c r="I7" s="2018" t="s">
        <v>1745</v>
      </c>
    </row>
    <row r="8" spans="1:23">
      <c r="A8" s="2016" t="s">
        <v>1746</v>
      </c>
      <c r="B8" s="2016" t="s">
        <v>1747</v>
      </c>
      <c r="C8" s="2017" t="s">
        <v>764</v>
      </c>
      <c r="F8" s="2018" t="s">
        <v>1748</v>
      </c>
      <c r="H8" s="2018"/>
      <c r="I8" s="2018" t="s">
        <v>1749</v>
      </c>
    </row>
    <row r="9" spans="1:23">
      <c r="A9" s="2016" t="s">
        <v>1750</v>
      </c>
      <c r="B9" s="2016" t="s">
        <v>1751</v>
      </c>
      <c r="C9" s="2017" t="s">
        <v>765</v>
      </c>
      <c r="F9" s="2018" t="s">
        <v>1752</v>
      </c>
      <c r="H9" s="2018"/>
    </row>
    <row r="10" spans="1:23">
      <c r="A10" s="2016" t="s">
        <v>1753</v>
      </c>
      <c r="B10" s="2016" t="s">
        <v>1754</v>
      </c>
      <c r="C10" s="2017" t="s">
        <v>766</v>
      </c>
      <c r="F10" s="2018" t="s">
        <v>16</v>
      </c>
    </row>
    <row r="11" spans="1:23">
      <c r="A11" s="2016" t="s">
        <v>1755</v>
      </c>
      <c r="B11" s="2016" t="s">
        <v>1756</v>
      </c>
      <c r="C11" s="2017" t="s">
        <v>767</v>
      </c>
    </row>
    <row r="12" spans="1:23">
      <c r="A12" s="2016" t="s">
        <v>1757</v>
      </c>
      <c r="B12" s="2016" t="s">
        <v>1758</v>
      </c>
      <c r="C12" s="2017" t="s">
        <v>768</v>
      </c>
    </row>
    <row r="13" spans="1:23">
      <c r="A13" s="2016" t="s">
        <v>1759</v>
      </c>
      <c r="B13" s="2016" t="s">
        <v>1760</v>
      </c>
      <c r="C13" s="2017" t="s">
        <v>769</v>
      </c>
    </row>
    <row r="14" spans="1:23">
      <c r="A14" s="2016" t="s">
        <v>1761</v>
      </c>
      <c r="B14" s="2016" t="s">
        <v>1762</v>
      </c>
      <c r="C14" s="2018" t="s">
        <v>16</v>
      </c>
    </row>
    <row r="15" spans="1:23">
      <c r="A15" s="2016" t="s">
        <v>1763</v>
      </c>
      <c r="B15" s="2016" t="s">
        <v>1764</v>
      </c>
      <c r="C15" s="2017"/>
    </row>
    <row r="16" spans="1:23">
      <c r="A16" s="2016" t="s">
        <v>1765</v>
      </c>
      <c r="B16" s="2016" t="s">
        <v>756</v>
      </c>
      <c r="C16" s="2017"/>
    </row>
    <row r="17" spans="1:3">
      <c r="A17" s="2016" t="s">
        <v>1766</v>
      </c>
      <c r="B17" s="2016" t="s">
        <v>757</v>
      </c>
      <c r="C17" s="2017"/>
    </row>
    <row r="18" spans="1:3">
      <c r="A18" s="2016" t="s">
        <v>1767</v>
      </c>
      <c r="B18" s="2016" t="s">
        <v>757</v>
      </c>
      <c r="C18" s="2017"/>
    </row>
    <row r="19" spans="1:3">
      <c r="A19" s="2016" t="s">
        <v>1768</v>
      </c>
      <c r="B19" s="2016" t="s">
        <v>757</v>
      </c>
      <c r="C19" s="2017"/>
    </row>
    <row r="20" spans="1:3">
      <c r="A20" s="2016" t="s">
        <v>1769</v>
      </c>
      <c r="B20" s="2016" t="s">
        <v>757</v>
      </c>
      <c r="C20" s="2017"/>
    </row>
    <row r="21" spans="1:3">
      <c r="A21" s="2016" t="s">
        <v>1770</v>
      </c>
      <c r="B21" s="2016" t="s">
        <v>757</v>
      </c>
      <c r="C21" s="2017"/>
    </row>
    <row r="22" spans="1:3">
      <c r="A22" s="2016" t="s">
        <v>1771</v>
      </c>
      <c r="B22" s="2016" t="s">
        <v>757</v>
      </c>
      <c r="C22" s="2017"/>
    </row>
    <row r="23" spans="1:3">
      <c r="A23" s="2016" t="s">
        <v>1772</v>
      </c>
      <c r="B23" s="2016" t="s">
        <v>757</v>
      </c>
      <c r="C23" s="2017"/>
    </row>
    <row r="24" spans="1:3">
      <c r="A24" s="2016" t="s">
        <v>1773</v>
      </c>
      <c r="B24" s="2016" t="s">
        <v>757</v>
      </c>
      <c r="C24" s="2017"/>
    </row>
    <row r="25" spans="1:3">
      <c r="A25" s="2016" t="s">
        <v>1774</v>
      </c>
      <c r="B25" s="2016" t="s">
        <v>757</v>
      </c>
      <c r="C25" s="2017"/>
    </row>
    <row r="26" spans="1:3">
      <c r="A26" s="2016" t="s">
        <v>1775</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为估价委托人在向五矿信托有限责任公司办理贷款手续过程中，确定房地产抵押贷款额度提供参考依据而评估房地产抵押价值。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济南世茂天城置业有限公司拟使用山东省济南市天桥区世茂天城房地产作为抵押担保物，向五矿信托有限责任公司办理贷款手续。五矿信托有限责任公司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34"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9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34"/>
      <c r="B54" s="2024" t="s">
        <v>864</v>
      </c>
      <c r="C54" s="2021" t="s">
        <v>1281</v>
      </c>
    </row>
    <row r="55" spans="1:4">
      <c r="A55" s="3034"/>
      <c r="B55" s="2024" t="s">
        <v>865</v>
      </c>
      <c r="C55" s="2021" t="s">
        <v>1282</v>
      </c>
    </row>
    <row r="56" spans="1:4">
      <c r="A56" s="3034"/>
      <c r="B56" s="2024" t="s">
        <v>866</v>
      </c>
      <c r="C56" s="2021" t="s">
        <v>1286</v>
      </c>
    </row>
    <row r="57" spans="1:4">
      <c r="A57" s="3034"/>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E13" sqref="E13"/>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8" customWidth="1"/>
    <col min="10" max="10" width="10" style="2034" customWidth="1"/>
    <col min="11" max="11" width="10" style="2159" customWidth="1"/>
    <col min="12" max="13" width="10" style="2160" customWidth="1"/>
    <col min="14" max="14" width="10" style="2034" customWidth="1"/>
    <col min="15" max="15" width="10" style="2158" customWidth="1"/>
    <col min="16" max="17" width="10" style="2034"/>
    <col min="18" max="18" width="10" style="2034" customWidth="1"/>
    <col min="19" max="16384" width="10" style="2034"/>
  </cols>
  <sheetData>
    <row r="1" spans="1:19" ht="38.25" customHeight="1" thickBot="1">
      <c r="A1" s="2027" t="s">
        <v>1776</v>
      </c>
      <c r="B1" s="3035" t="str">
        <f>IF(B10="北京市","北京市",C10)&amp;F10&amp;IF(结果表!G1="在建","出让国有建设用地使用权及在建建筑物",IF(结果表!G1="土地","出让国有建设用地使用权",))&amp;B9&amp;"预评估"</f>
        <v>山东省济南市天桥区世茂天城房地产抵押价值预评估</v>
      </c>
      <c r="C1" s="3036"/>
      <c r="D1" s="3036"/>
      <c r="E1" s="3036"/>
      <c r="F1" s="3036"/>
      <c r="G1" s="3036"/>
      <c r="H1" s="3036"/>
      <c r="I1" s="3037"/>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山东省济南市天桥区世茂天城房地产抵押价值</v>
      </c>
    </row>
    <row r="2" spans="1:19" ht="18" customHeight="1">
      <c r="A2" s="2028" t="s">
        <v>1777</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山东省济南市天桥区世茂天城房地产</v>
      </c>
    </row>
    <row r="3" spans="1:19" ht="18" customHeight="1">
      <c r="A3" s="2037" t="s">
        <v>1778</v>
      </c>
      <c r="B3" s="2038">
        <v>43321</v>
      </c>
      <c r="C3" s="2039" t="s">
        <v>1779</v>
      </c>
      <c r="D3" s="2038">
        <f>B3</f>
        <v>43321</v>
      </c>
      <c r="E3" s="2028"/>
      <c r="F3" s="2028"/>
      <c r="G3" s="2028"/>
      <c r="H3" s="2028"/>
      <c r="I3" s="2028"/>
      <c r="J3" s="2028"/>
      <c r="K3" s="2029"/>
      <c r="L3" s="2030"/>
      <c r="M3" s="2030"/>
      <c r="N3" s="2031"/>
      <c r="O3" s="2032"/>
      <c r="P3" s="2031"/>
      <c r="Q3" s="2031"/>
      <c r="R3" s="2031"/>
      <c r="S3" s="2033"/>
    </row>
    <row r="4" spans="1:19" ht="18" customHeight="1" thickBot="1">
      <c r="A4" s="2040" t="s">
        <v>1780</v>
      </c>
      <c r="B4" s="2041" t="s">
        <v>4038</v>
      </c>
      <c r="C4" s="1039">
        <f ca="1">SUMIF(注册房地产估价师,B4,估价师及机构信息!B3:B24)</f>
        <v>1120050019</v>
      </c>
      <c r="D4" s="2041" t="s">
        <v>4039</v>
      </c>
      <c r="E4" s="1040">
        <f ca="1">SUMIF(注册房地产估价师,D4,估价师及机构信息!B3:B24)</f>
        <v>1120070131</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王鹏（注册号：1120050019)、郑燚（注册号：1120070131)</v>
      </c>
      <c r="L4" s="2030"/>
      <c r="M4" s="2030"/>
      <c r="N4" s="2031"/>
      <c r="O4" s="2032"/>
      <c r="P4" s="2031"/>
      <c r="Q4" s="2031"/>
      <c r="R4" s="2031"/>
      <c r="S4" s="2033"/>
    </row>
    <row r="5" spans="1:19" ht="18" customHeight="1" thickTop="1">
      <c r="A5" s="2046" t="s">
        <v>1781</v>
      </c>
      <c r="B5" s="2047" t="str">
        <f>B6</f>
        <v>五矿信托有限责任公司</v>
      </c>
      <c r="C5" s="2048"/>
      <c r="D5" s="2049"/>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50" t="s">
        <v>1782</v>
      </c>
      <c r="B6" s="2944" t="s">
        <v>3040</v>
      </c>
      <c r="C6" s="2051"/>
      <c r="D6" s="2052"/>
      <c r="E6" s="2036"/>
      <c r="F6" s="2044"/>
      <c r="G6" s="2044"/>
      <c r="H6" s="2044"/>
      <c r="I6" s="2044"/>
      <c r="J6" s="2044"/>
      <c r="K6" s="2053" t="str">
        <f>IF(COUNTIF(B6,"*上海银行*"),"上海银行","")</f>
        <v/>
      </c>
      <c r="L6" s="2030"/>
      <c r="M6" s="2030"/>
      <c r="N6" s="2031"/>
      <c r="O6" s="2032"/>
      <c r="P6" s="2031"/>
      <c r="Q6" s="2031"/>
      <c r="R6" s="2031"/>
    </row>
    <row r="7" spans="1:19" ht="18" customHeight="1">
      <c r="A7" s="2050" t="s">
        <v>1783</v>
      </c>
      <c r="B7" s="2054" t="str">
        <f>C11</f>
        <v>济南世茂天城置业有限公司</v>
      </c>
      <c r="C7" s="2051"/>
      <c r="D7" s="2052"/>
      <c r="E7" s="2036"/>
      <c r="F7" s="2044"/>
      <c r="G7" s="2044"/>
      <c r="H7" s="2044"/>
      <c r="I7" s="2044"/>
      <c r="J7" s="2044"/>
      <c r="K7" s="2055"/>
      <c r="L7" s="2030"/>
      <c r="M7" s="2030"/>
      <c r="N7" s="2031"/>
      <c r="O7" s="2032"/>
      <c r="P7" s="2031"/>
      <c r="Q7" s="2031"/>
      <c r="R7" s="2031"/>
    </row>
    <row r="8" spans="1:19" ht="18" customHeight="1">
      <c r="A8" s="2050" t="s">
        <v>1784</v>
      </c>
      <c r="B8" s="2056" t="s">
        <v>3080</v>
      </c>
      <c r="C8" s="2057"/>
      <c r="D8" s="3038" t="s">
        <v>1785</v>
      </c>
      <c r="E8" s="2058" t="s">
        <v>3081</v>
      </c>
      <c r="F8" s="2059"/>
      <c r="G8" s="2028"/>
      <c r="H8" s="2028"/>
      <c r="I8" s="2028"/>
      <c r="J8" s="2044"/>
      <c r="K8" s="2045"/>
      <c r="L8" s="2030"/>
      <c r="M8" s="2030"/>
      <c r="N8" s="2031"/>
      <c r="O8" s="2032"/>
      <c r="P8" s="2031"/>
      <c r="Q8" s="2031"/>
      <c r="R8" s="2031"/>
    </row>
    <row r="9" spans="1:19" ht="18" customHeight="1" thickBot="1">
      <c r="A9" s="2042" t="s">
        <v>1786</v>
      </c>
      <c r="B9" s="2060" t="s">
        <v>3081</v>
      </c>
      <c r="C9" s="2061"/>
      <c r="D9" s="3039"/>
      <c r="E9" s="2060"/>
      <c r="F9" s="2062"/>
      <c r="G9" s="2063"/>
      <c r="H9" s="2063"/>
      <c r="I9" s="2063"/>
      <c r="J9" s="2044"/>
      <c r="K9" s="2055"/>
      <c r="L9" s="2030"/>
      <c r="M9" s="2030"/>
      <c r="N9" s="2031"/>
      <c r="O9" s="2032"/>
      <c r="P9" s="2031"/>
      <c r="Q9" s="2031"/>
      <c r="R9" s="2031"/>
    </row>
    <row r="10" spans="1:19" ht="18" customHeight="1" thickTop="1">
      <c r="A10" s="2064" t="s">
        <v>1787</v>
      </c>
      <c r="B10" s="2065" t="s">
        <v>3043</v>
      </c>
      <c r="C10" s="2946" t="s">
        <v>3044</v>
      </c>
      <c r="D10" s="2049"/>
      <c r="E10" s="2066" t="s">
        <v>1788</v>
      </c>
      <c r="F10" s="2947" t="s">
        <v>3045</v>
      </c>
      <c r="G10" s="2067"/>
      <c r="H10" s="2068"/>
      <c r="I10" s="2049"/>
      <c r="J10" s="2044"/>
      <c r="K10" s="2055"/>
      <c r="L10" s="2030"/>
      <c r="M10" s="2030"/>
      <c r="N10" s="2031"/>
      <c r="O10" s="2032"/>
      <c r="P10" s="2031"/>
      <c r="Q10" s="2031"/>
      <c r="R10" s="2031"/>
    </row>
    <row r="11" spans="1:19" ht="18" customHeight="1">
      <c r="A11" s="2069" t="s">
        <v>1789</v>
      </c>
      <c r="B11" s="2070" t="s">
        <v>3042</v>
      </c>
      <c r="C11" s="2945" t="s">
        <v>3041</v>
      </c>
      <c r="D11" s="2071"/>
      <c r="E11" s="2044"/>
      <c r="F11" s="2044"/>
      <c r="G11" s="2044"/>
      <c r="H11" s="2044"/>
      <c r="I11" s="2044"/>
      <c r="J11" s="2044"/>
      <c r="K11" s="2055"/>
      <c r="L11" s="2030"/>
      <c r="M11" s="2030"/>
      <c r="N11" s="2031"/>
      <c r="O11" s="2032"/>
      <c r="P11" s="2031"/>
      <c r="Q11" s="2031"/>
      <c r="R11" s="2031"/>
    </row>
    <row r="12" spans="1:19" ht="18" customHeight="1">
      <c r="A12" s="2072" t="s">
        <v>1790</v>
      </c>
      <c r="B12" s="2070" t="s">
        <v>3046</v>
      </c>
      <c r="C12" s="2073" t="s">
        <v>1791</v>
      </c>
      <c r="D12" s="2074" t="s">
        <v>1792</v>
      </c>
      <c r="E12" s="2074" t="s">
        <v>1793</v>
      </c>
      <c r="F12" s="2074" t="s">
        <v>1794</v>
      </c>
      <c r="G12" s="2074" t="s">
        <v>1795</v>
      </c>
      <c r="H12" s="2074" t="s">
        <v>1796</v>
      </c>
      <c r="I12" s="2074" t="s">
        <v>1797</v>
      </c>
      <c r="J12" s="2044"/>
      <c r="K12" s="2055"/>
      <c r="L12" s="2030"/>
      <c r="M12" s="2030"/>
      <c r="N12" s="2031"/>
      <c r="O12" s="2032"/>
      <c r="P12" s="2031"/>
      <c r="Q12" s="2031"/>
      <c r="R12" s="2031"/>
    </row>
    <row r="13" spans="1:19" ht="18" customHeight="1">
      <c r="A13" s="2075"/>
      <c r="B13" s="2076"/>
      <c r="C13" s="2077" t="s">
        <v>1798</v>
      </c>
      <c r="D13" s="2078"/>
      <c r="E13" s="2078">
        <v>56482</v>
      </c>
      <c r="F13" s="2078"/>
      <c r="G13" s="2078"/>
      <c r="H13" s="2078"/>
      <c r="I13" s="1049"/>
      <c r="J13" s="2044"/>
      <c r="K13" s="2055"/>
      <c r="L13" s="2030"/>
      <c r="M13" s="2030"/>
      <c r="N13" s="2031"/>
      <c r="O13" s="2032"/>
      <c r="P13" s="2031"/>
      <c r="Q13" s="2031"/>
      <c r="R13" s="2031"/>
    </row>
    <row r="14" spans="1:19" ht="18" customHeight="1">
      <c r="A14" s="2075"/>
      <c r="B14" s="2076"/>
      <c r="C14" s="2077" t="s">
        <v>1799</v>
      </c>
      <c r="D14" s="1052"/>
      <c r="E14" s="1052">
        <v>40</v>
      </c>
      <c r="F14" s="1052"/>
      <c r="G14" s="1052"/>
      <c r="H14" s="1052"/>
      <c r="I14" s="1052"/>
      <c r="J14" s="2044"/>
      <c r="K14" s="2079"/>
      <c r="L14" s="2030"/>
      <c r="M14" s="2030"/>
      <c r="N14" s="2031"/>
      <c r="O14" s="2032"/>
      <c r="P14" s="2031"/>
      <c r="Q14" s="2031"/>
      <c r="R14" s="2031"/>
    </row>
    <row r="15" spans="1:19" ht="18" customHeight="1">
      <c r="A15" s="2064"/>
      <c r="B15" s="2080"/>
      <c r="C15" s="2077" t="s">
        <v>1800</v>
      </c>
      <c r="D15" s="1051" t="str">
        <f>IF(B12="出让",IF(D13="","",ROUNDDOWN(MIN((D13-$D$3)/365,D14),2)),D14)</f>
        <v/>
      </c>
      <c r="E15" s="1051">
        <f>IF(B12="出让",IF(E13="","",ROUNDDOWN(MIN((E13-$D$3)/365,E14),2)),E14)</f>
        <v>36.049999999999997</v>
      </c>
      <c r="F15" s="1051" t="str">
        <f>IF(B12="出让",IF(F13="","",ROUNDDOWN(MIN((F13-$D$3)/365,F14),2)),F14)</f>
        <v/>
      </c>
      <c r="G15" s="1051" t="str">
        <f>IF(B12="出让",IF(G13="","",ROUNDDOWN(MIN((G13-$D$3)/365,G14),2)),G14)</f>
        <v/>
      </c>
      <c r="H15" s="1051" t="str">
        <f>IF(B12="出让",IF(H13="","",ROUNDDOWN(MIN((H13-$D$3)/365,H14),2)),H14)</f>
        <v/>
      </c>
      <c r="I15" s="1051" t="str">
        <f>IF(B12="出让",IF(I13="","",ROUNDDOWN(MIN((I13-$D$3)/365,I14),2)),I14)</f>
        <v/>
      </c>
      <c r="J15" s="2044"/>
      <c r="K15" s="2081"/>
      <c r="L15" s="2082"/>
      <c r="M15" s="2082"/>
      <c r="N15" s="2083"/>
      <c r="O15" s="2082"/>
      <c r="P15" s="2083"/>
      <c r="Q15" s="2031"/>
      <c r="R15" s="2031"/>
    </row>
    <row r="16" spans="1:19" ht="30.75" customHeight="1">
      <c r="A16" s="2066" t="s">
        <v>1801</v>
      </c>
      <c r="B16" s="3045" t="s">
        <v>3047</v>
      </c>
      <c r="C16" s="3046"/>
      <c r="D16" s="3047"/>
      <c r="E16" s="2084" t="s">
        <v>1802</v>
      </c>
      <c r="F16" s="3048" t="s">
        <v>4068</v>
      </c>
      <c r="G16" s="3049"/>
      <c r="H16" s="3049"/>
      <c r="I16" s="3050"/>
      <c r="J16" s="2031"/>
      <c r="K16" s="2081"/>
      <c r="L16" s="2082"/>
      <c r="M16" s="2082"/>
      <c r="N16" s="2083"/>
      <c r="O16" s="2082"/>
      <c r="P16" s="2083"/>
      <c r="Q16" s="2031"/>
      <c r="R16" s="2031"/>
    </row>
    <row r="17" spans="1:22" ht="18" customHeight="1">
      <c r="A17" s="2085" t="s">
        <v>1803</v>
      </c>
      <c r="B17" s="2037" t="s">
        <v>1804</v>
      </c>
      <c r="C17" s="1056">
        <f>'数据-汇总表'!E3</f>
        <v>1380.28</v>
      </c>
      <c r="D17" s="2086" t="s">
        <v>1805</v>
      </c>
      <c r="E17" s="3051" t="s">
        <v>4069</v>
      </c>
      <c r="F17" s="3052"/>
      <c r="G17" s="3052"/>
      <c r="H17" s="3052"/>
      <c r="I17" s="3053"/>
      <c r="J17" s="2031"/>
      <c r="K17" s="2087"/>
      <c r="L17" s="2082"/>
      <c r="M17" s="2082"/>
      <c r="N17" s="2083"/>
      <c r="O17" s="2082"/>
      <c r="P17" s="2083"/>
      <c r="Q17" s="2031"/>
      <c r="R17" s="2031"/>
      <c r="S17" s="2031"/>
      <c r="T17" s="2031"/>
      <c r="U17" s="2031"/>
      <c r="V17" s="2031"/>
    </row>
    <row r="18" spans="1:22" ht="36" customHeight="1" thickBot="1">
      <c r="A18" s="2088" t="s">
        <v>1806</v>
      </c>
      <c r="B18" s="2040" t="s">
        <v>1807</v>
      </c>
      <c r="C18" s="1446">
        <f>'数据-汇总表'!D3</f>
        <v>6332.52</v>
      </c>
      <c r="D18" s="2089" t="s">
        <v>1805</v>
      </c>
      <c r="E18" s="3054" t="s">
        <v>3048</v>
      </c>
      <c r="F18" s="3055"/>
      <c r="G18" s="3055"/>
      <c r="H18" s="3055"/>
      <c r="I18" s="3056"/>
      <c r="J18" s="2031"/>
      <c r="K18" s="2087"/>
      <c r="L18" s="2082"/>
      <c r="M18" s="2082"/>
      <c r="N18" s="2083"/>
      <c r="O18" s="2082"/>
      <c r="P18" s="2083"/>
      <c r="Q18" s="2031"/>
      <c r="R18" s="2031"/>
      <c r="S18" s="2031"/>
      <c r="T18" s="2031"/>
      <c r="U18" s="2031"/>
      <c r="V18" s="2031"/>
    </row>
    <row r="19" spans="1:22" ht="37.5" customHeight="1" thickTop="1" thickBot="1">
      <c r="A19" s="373" t="s">
        <v>1808</v>
      </c>
      <c r="B19" s="352" t="s">
        <v>1809</v>
      </c>
      <c r="C19" s="2090" t="s">
        <v>3082</v>
      </c>
      <c r="D19" s="2091" t="s">
        <v>1810</v>
      </c>
      <c r="E19" s="2092"/>
      <c r="F19" s="2093" t="str">
        <f>IF(AND(C19="是",E19="否"),"是否提供他项权证或相关说明","")</f>
        <v/>
      </c>
      <c r="G19" s="2094"/>
      <c r="H19" s="2044"/>
      <c r="I19" s="2044"/>
      <c r="J19" s="2044"/>
      <c r="K19" s="2055"/>
      <c r="L19" s="2030"/>
      <c r="M19" s="2030"/>
      <c r="N19" s="2083"/>
      <c r="O19" s="2082"/>
      <c r="P19" s="2083"/>
      <c r="Q19" s="2031"/>
      <c r="R19" s="2031"/>
      <c r="S19" s="2031"/>
      <c r="T19" s="2031"/>
      <c r="U19" s="2031"/>
      <c r="V19" s="2031"/>
    </row>
    <row r="20" spans="1:22" ht="18" customHeight="1">
      <c r="A20" s="2095" t="s">
        <v>1811</v>
      </c>
      <c r="B20" s="3041" t="s">
        <v>1812</v>
      </c>
      <c r="C20" s="3042"/>
      <c r="D20" s="3043" t="s">
        <v>1813</v>
      </c>
      <c r="E20" s="3044"/>
      <c r="F20" s="2096" t="s">
        <v>1814</v>
      </c>
      <c r="G20" s="2044"/>
      <c r="H20" s="2044"/>
      <c r="I20" s="2044"/>
      <c r="J20" s="2044"/>
      <c r="K20" s="3040" t="s">
        <v>1815</v>
      </c>
      <c r="L20" s="747"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30"/>
      <c r="N20" s="2083"/>
      <c r="O20" s="2082"/>
      <c r="P20" s="2083"/>
      <c r="Q20" s="2031"/>
      <c r="R20" s="2031"/>
      <c r="S20" s="2031"/>
      <c r="T20" s="2031"/>
      <c r="U20" s="2031"/>
      <c r="V20" s="2031"/>
    </row>
    <row r="21" spans="1:22" ht="24.75" customHeight="1">
      <c r="A21" s="2095"/>
      <c r="B21" s="2097" t="s">
        <v>3083</v>
      </c>
      <c r="C21" s="2098" t="s">
        <v>1816</v>
      </c>
      <c r="D21" s="2099"/>
      <c r="E21" s="2100"/>
      <c r="F21" s="2101"/>
      <c r="G21" s="2044"/>
      <c r="H21" s="2044"/>
      <c r="I21" s="2044"/>
      <c r="J21" s="2044"/>
      <c r="K21" s="304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3"/>
      <c r="O21" s="2082"/>
      <c r="P21" s="2083"/>
      <c r="Q21" s="2031"/>
      <c r="R21" s="2031"/>
      <c r="S21" s="2031"/>
      <c r="T21" s="2031"/>
      <c r="U21" s="2031"/>
      <c r="V21" s="2031"/>
    </row>
    <row r="22" spans="1:22" ht="24.75" customHeight="1" thickBot="1">
      <c r="A22" s="2095"/>
      <c r="B22" s="2102"/>
      <c r="C22" s="2098"/>
      <c r="D22" s="2028"/>
      <c r="E22" s="2028"/>
      <c r="F22" s="2103"/>
      <c r="G22" s="2044"/>
      <c r="H22" s="2044"/>
      <c r="I22" s="2044"/>
      <c r="J22" s="2044"/>
      <c r="K22" s="304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3"/>
      <c r="O22" s="2082"/>
      <c r="P22" s="2083"/>
      <c r="Q22" s="2031"/>
      <c r="R22" s="2031"/>
      <c r="S22" s="2031"/>
      <c r="T22" s="2031"/>
      <c r="U22" s="2031"/>
      <c r="V22" s="2031"/>
    </row>
    <row r="23" spans="1:22" ht="18" customHeight="1">
      <c r="A23" s="2104" t="s">
        <v>1817</v>
      </c>
      <c r="B23" s="183" t="s">
        <v>1818</v>
      </c>
      <c r="C23" s="2105"/>
      <c r="D23" s="2106" t="s">
        <v>1818</v>
      </c>
      <c r="E23" s="2107"/>
      <c r="F23" s="2103"/>
      <c r="G23" s="2044"/>
      <c r="H23" s="2044"/>
      <c r="I23" s="2044"/>
      <c r="J23" s="2044"/>
      <c r="K23" s="2108"/>
      <c r="L23" s="747"/>
      <c r="M23" s="2030"/>
      <c r="N23" s="2083"/>
      <c r="O23" s="2082"/>
      <c r="P23" s="2083"/>
      <c r="Q23" s="2031"/>
      <c r="R23" s="2031"/>
      <c r="S23" s="2031"/>
      <c r="T23" s="2031"/>
      <c r="U23" s="2031"/>
      <c r="V23" s="2031"/>
    </row>
    <row r="24" spans="1:22" ht="18" customHeight="1">
      <c r="A24" s="2109"/>
      <c r="B24" s="183" t="s">
        <v>1819</v>
      </c>
      <c r="C24" s="2110"/>
      <c r="D24" s="2104" t="s">
        <v>1819</v>
      </c>
      <c r="E24" s="2111"/>
      <c r="F24" s="2103"/>
      <c r="G24" s="2044"/>
      <c r="H24" s="2044"/>
      <c r="I24" s="2044"/>
      <c r="J24" s="2044"/>
      <c r="K24" s="2108"/>
      <c r="L24" s="747"/>
      <c r="M24" s="2030"/>
      <c r="N24" s="2083"/>
      <c r="O24" s="2082"/>
      <c r="P24" s="2083"/>
      <c r="Q24" s="2031"/>
      <c r="R24" s="2031"/>
      <c r="S24" s="2031"/>
      <c r="T24" s="2031"/>
      <c r="U24" s="2031"/>
      <c r="V24" s="2031"/>
    </row>
    <row r="25" spans="1:22" ht="18" customHeight="1">
      <c r="A25" s="2109"/>
      <c r="B25" s="183" t="s">
        <v>1820</v>
      </c>
      <c r="C25" s="2110"/>
      <c r="D25" s="2104" t="s">
        <v>1820</v>
      </c>
      <c r="E25" s="2111"/>
      <c r="F25" s="2103"/>
      <c r="G25" s="2044"/>
      <c r="H25" s="2044"/>
      <c r="I25" s="2044"/>
      <c r="J25" s="2044"/>
      <c r="K25" s="2055"/>
      <c r="L25" s="2030"/>
      <c r="M25" s="2030"/>
      <c r="N25" s="2083"/>
      <c r="O25" s="2082"/>
      <c r="P25" s="2083"/>
      <c r="Q25" s="2031"/>
      <c r="R25" s="2031"/>
      <c r="S25" s="2031"/>
      <c r="T25" s="2031"/>
      <c r="U25" s="2031"/>
      <c r="V25" s="2031"/>
    </row>
    <row r="26" spans="1:22" ht="18" customHeight="1" thickBot="1">
      <c r="A26" s="2112"/>
      <c r="B26" s="2113" t="s">
        <v>1821</v>
      </c>
      <c r="C26" s="2114"/>
      <c r="D26" s="2115" t="s">
        <v>1822</v>
      </c>
      <c r="E26" s="2116"/>
      <c r="F26" s="2117"/>
      <c r="G26" s="2063"/>
      <c r="H26" s="2063"/>
      <c r="I26" s="2063"/>
      <c r="J26" s="2044"/>
      <c r="K26" s="2055"/>
      <c r="L26" s="2030"/>
      <c r="M26" s="2030"/>
      <c r="N26" s="2083"/>
      <c r="O26" s="2082"/>
      <c r="P26" s="2083"/>
      <c r="Q26" s="2031"/>
      <c r="R26" s="2031"/>
      <c r="S26" s="2031"/>
      <c r="T26" s="2031"/>
      <c r="U26" s="2031"/>
      <c r="V26" s="2031"/>
    </row>
    <row r="27" spans="1:22" ht="18" customHeight="1" thickTop="1">
      <c r="A27" s="3058" t="s">
        <v>1823</v>
      </c>
      <c r="B27" s="2064" t="s">
        <v>1824</v>
      </c>
      <c r="C27" s="2118" t="s">
        <v>4040</v>
      </c>
      <c r="D27" s="2119"/>
      <c r="E27" s="2044"/>
      <c r="F27" s="2044"/>
      <c r="G27" s="2044"/>
      <c r="H27" s="2044"/>
      <c r="I27" s="2044"/>
      <c r="J27" s="2031"/>
      <c r="K27" s="2081"/>
      <c r="L27" s="2082"/>
      <c r="M27" s="2082"/>
      <c r="N27" s="2083"/>
      <c r="O27" s="2082"/>
      <c r="P27" s="2083"/>
      <c r="Q27" s="2031"/>
      <c r="R27" s="2031"/>
      <c r="S27" s="2031"/>
      <c r="T27" s="2031"/>
      <c r="U27" s="2031"/>
      <c r="V27" s="2031"/>
    </row>
    <row r="28" spans="1:22" ht="18" customHeight="1">
      <c r="A28" s="3058"/>
      <c r="B28" s="2037" t="s">
        <v>1825</v>
      </c>
      <c r="C28" s="2120"/>
      <c r="D28" s="2121"/>
      <c r="E28" s="2044"/>
      <c r="F28" s="2044"/>
      <c r="G28" s="2044"/>
      <c r="H28" s="2044"/>
      <c r="I28" s="2044"/>
      <c r="J28" s="2031"/>
      <c r="K28" s="2122"/>
      <c r="L28" s="2030"/>
      <c r="M28" s="2030"/>
      <c r="N28" s="2031"/>
      <c r="O28" s="2032"/>
      <c r="P28" s="2031"/>
      <c r="Q28" s="2031"/>
      <c r="R28" s="2031"/>
      <c r="S28" s="2031"/>
      <c r="T28" s="2031"/>
      <c r="U28" s="2031"/>
      <c r="V28" s="2031"/>
    </row>
    <row r="29" spans="1:22" ht="18" customHeight="1">
      <c r="A29" s="3058"/>
      <c r="B29" s="2037" t="s">
        <v>1826</v>
      </c>
      <c r="C29" s="2123"/>
      <c r="D29" s="2124"/>
      <c r="E29" s="2044"/>
      <c r="F29" s="2044"/>
      <c r="G29" s="2044"/>
      <c r="H29" s="2044"/>
      <c r="I29" s="2044"/>
      <c r="J29" s="2031"/>
      <c r="K29" s="2122"/>
      <c r="L29" s="2030"/>
      <c r="M29" s="2030"/>
      <c r="N29" s="2031"/>
      <c r="O29" s="2032"/>
      <c r="P29" s="2031"/>
      <c r="Q29" s="2031"/>
      <c r="R29" s="2031"/>
      <c r="S29" s="2031"/>
      <c r="T29" s="2031"/>
      <c r="U29" s="2031"/>
      <c r="V29" s="2031"/>
    </row>
    <row r="30" spans="1:22" ht="18" customHeight="1">
      <c r="A30" s="3059"/>
      <c r="B30" s="2037" t="s">
        <v>1827</v>
      </c>
      <c r="C30" s="3060"/>
      <c r="D30" s="3061"/>
      <c r="E30" s="2044"/>
      <c r="F30" s="2044"/>
      <c r="G30" s="2044"/>
      <c r="H30" s="2044"/>
      <c r="I30" s="2044"/>
      <c r="J30" s="2031"/>
      <c r="K30" s="2122"/>
      <c r="L30" s="2030"/>
      <c r="M30" s="2030"/>
      <c r="N30" s="2031"/>
      <c r="O30" s="2032"/>
      <c r="P30" s="2031"/>
      <c r="Q30" s="2031"/>
      <c r="R30" s="2031"/>
      <c r="S30" s="2031"/>
      <c r="T30" s="2031"/>
      <c r="U30" s="2031"/>
      <c r="V30" s="2031"/>
    </row>
    <row r="31" spans="1:22" ht="18" customHeight="1">
      <c r="A31" s="3062" t="s">
        <v>1828</v>
      </c>
      <c r="B31" s="2125" t="s">
        <v>3084</v>
      </c>
      <c r="C31" s="2126" t="str">
        <f>IF(B31="现房","成新及维护状况正常否",IF(B31="在建","工程状态是否正常",IF(B31="土地","是否闲置","-")))</f>
        <v>成新及维护状况正常否</v>
      </c>
      <c r="D31" s="2127"/>
      <c r="E31" s="2128"/>
      <c r="F31" s="2044"/>
      <c r="G31" s="2044"/>
      <c r="H31" s="2044"/>
      <c r="I31" s="2044"/>
      <c r="J31" s="2044"/>
      <c r="K31" s="2053"/>
      <c r="L31" s="2030"/>
      <c r="M31" s="2030"/>
      <c r="N31" s="2031"/>
      <c r="O31" s="2032"/>
      <c r="P31" s="2031"/>
      <c r="Q31" s="2031"/>
      <c r="R31" s="2031"/>
      <c r="S31" s="2031"/>
      <c r="T31" s="2031"/>
      <c r="U31" s="2031"/>
      <c r="V31" s="2031"/>
    </row>
    <row r="32" spans="1:22" ht="18" customHeight="1">
      <c r="A32" s="3063"/>
      <c r="B32" s="2125"/>
      <c r="C32" s="2126" t="str">
        <f>IF(B32="现房","成新及维护状况是否正常",IF(B32="在建","工程状态是否正常",IF(B32="土地","是否闲置","-")))</f>
        <v>-</v>
      </c>
      <c r="D32" s="2127"/>
      <c r="E32" s="2128"/>
      <c r="F32" s="2044"/>
      <c r="G32" s="2044"/>
      <c r="H32" s="2044"/>
      <c r="I32" s="2044"/>
      <c r="J32" s="2044"/>
      <c r="K32" s="2055"/>
      <c r="L32" s="2030"/>
      <c r="M32" s="2030"/>
      <c r="N32" s="2031"/>
      <c r="O32" s="2032"/>
      <c r="P32" s="2031"/>
      <c r="Q32" s="2031"/>
      <c r="R32" s="2031"/>
      <c r="S32" s="2031"/>
      <c r="T32" s="2031"/>
      <c r="U32" s="2031"/>
      <c r="V32" s="2031"/>
    </row>
    <row r="33" spans="1:22" ht="18" customHeight="1">
      <c r="A33" s="3063"/>
      <c r="B33" s="2129"/>
      <c r="C33" s="2069" t="str">
        <f>IF(B33="现房","成新及维护状况是否正常",IF(B33="在建","工程状态是否正常",IF(B33="土地","是否闲置","-")))</f>
        <v>-</v>
      </c>
      <c r="D33" s="2130"/>
      <c r="E33" s="2131"/>
      <c r="F33" s="2044"/>
      <c r="G33" s="2044"/>
      <c r="H33" s="2044"/>
      <c r="I33" s="2044"/>
      <c r="J33" s="2044"/>
      <c r="K33" s="2055"/>
      <c r="L33" s="2030"/>
      <c r="M33" s="2030"/>
      <c r="N33" s="2031"/>
      <c r="O33" s="2032"/>
      <c r="P33" s="2031"/>
      <c r="Q33" s="2031"/>
      <c r="R33" s="2031"/>
      <c r="S33" s="2031"/>
      <c r="T33" s="2031"/>
      <c r="U33" s="2031"/>
      <c r="V33" s="2031"/>
    </row>
    <row r="34" spans="1:22" ht="18" customHeight="1">
      <c r="A34" s="2037" t="s">
        <v>1829</v>
      </c>
      <c r="B34" s="2132" t="s">
        <v>3085</v>
      </c>
      <c r="C34" s="2132" t="s">
        <v>3086</v>
      </c>
      <c r="D34" s="2132" t="s">
        <v>3087</v>
      </c>
      <c r="E34" s="2132" t="s">
        <v>3088</v>
      </c>
      <c r="F34" s="2132" t="s">
        <v>3089</v>
      </c>
      <c r="G34" s="2132"/>
      <c r="H34" s="2132"/>
      <c r="I34" s="2044"/>
      <c r="J34" s="2044"/>
      <c r="K34" s="1797">
        <f>COUNTIF(B34:H34,"——")</f>
        <v>0</v>
      </c>
      <c r="L34" s="2073" t="s">
        <v>1830</v>
      </c>
      <c r="M34" s="2073" t="s">
        <v>1831</v>
      </c>
      <c r="N34" s="2073" t="s">
        <v>1832</v>
      </c>
      <c r="O34" s="2073" t="s">
        <v>1833</v>
      </c>
      <c r="P34" s="2073" t="s">
        <v>1834</v>
      </c>
      <c r="Q34" s="2073" t="s">
        <v>1835</v>
      </c>
      <c r="R34" s="2073" t="s">
        <v>1836</v>
      </c>
      <c r="S34" s="3057" t="s">
        <v>1837</v>
      </c>
      <c r="T34" s="2133" t="str">
        <f>NUMBERSTRING(7-K34,1)&amp;"通"</f>
        <v>七通</v>
      </c>
      <c r="U34" s="2031"/>
      <c r="V34" s="2031"/>
    </row>
    <row r="35" spans="1:22" ht="18" customHeight="1">
      <c r="A35" s="2134"/>
      <c r="B35" s="3064" t="s">
        <v>1838</v>
      </c>
      <c r="C35" s="3064"/>
      <c r="D35" s="3064"/>
      <c r="E35" s="3064"/>
      <c r="F35" s="2135" t="str">
        <f>C10</f>
        <v>山东省济南市</v>
      </c>
      <c r="G35" s="2044"/>
      <c r="H35" s="2044"/>
      <c r="I35" s="2044"/>
      <c r="J35" s="2044"/>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7"/>
      <c r="T35" s="48" t="str">
        <f>IF(T34="一通",L35,IF(T34="二通",M35,IF(T34="三通",N35,IF(T34="四通",O35,IF(T34="五通",P35,IF(T34="六通",Q35,R35))))))</f>
        <v>通路、通电、通讯、通上水、通下水、、</v>
      </c>
      <c r="U35" s="2031"/>
      <c r="V35" s="2031"/>
    </row>
    <row r="36" spans="1:22" ht="18" customHeight="1">
      <c r="A36" s="2136"/>
      <c r="B36" s="2135" t="s">
        <v>1839</v>
      </c>
      <c r="C36" s="2135" t="s">
        <v>1840</v>
      </c>
      <c r="D36" s="2135" t="s">
        <v>1841</v>
      </c>
      <c r="E36" s="2135" t="s">
        <v>1842</v>
      </c>
      <c r="F36" s="2137"/>
      <c r="G36" s="2044"/>
      <c r="H36" s="2044"/>
      <c r="I36" s="2044"/>
      <c r="J36" s="2044"/>
      <c r="K36" s="2055"/>
      <c r="L36" s="2030"/>
      <c r="M36" s="2030"/>
      <c r="N36" s="2031"/>
      <c r="O36" s="2032"/>
      <c r="P36" s="2031"/>
      <c r="Q36" s="2031"/>
      <c r="R36" s="2031"/>
      <c r="S36" s="2031"/>
      <c r="T36" s="2031"/>
      <c r="U36" s="2031"/>
      <c r="V36" s="2031"/>
    </row>
    <row r="37" spans="1:22" ht="18" customHeight="1">
      <c r="A37" s="2138" t="s">
        <v>1843</v>
      </c>
      <c r="B37" s="2139"/>
      <c r="C37" s="2139"/>
      <c r="D37" s="2139"/>
      <c r="E37" s="2139"/>
      <c r="F37" s="2137"/>
      <c r="G37" s="2044"/>
      <c r="H37" s="2044"/>
      <c r="I37" s="2044"/>
      <c r="J37" s="2044"/>
      <c r="K37" s="2055"/>
      <c r="L37" s="2030"/>
      <c r="M37" s="2030"/>
      <c r="N37" s="2031"/>
      <c r="O37" s="2032"/>
      <c r="P37" s="2031"/>
      <c r="Q37" s="2031"/>
      <c r="R37" s="2031"/>
      <c r="S37" s="2031"/>
      <c r="T37" s="2031"/>
      <c r="U37" s="2031"/>
      <c r="V37" s="2031"/>
    </row>
    <row r="38" spans="1:22" ht="18" customHeight="1" thickBot="1">
      <c r="A38" s="2140" t="s">
        <v>1844</v>
      </c>
      <c r="B38" s="2141"/>
      <c r="C38" s="2141"/>
      <c r="D38" s="2141"/>
      <c r="E38" s="2141"/>
      <c r="F38" s="2142"/>
      <c r="G38" s="2063"/>
      <c r="H38" s="2063"/>
      <c r="I38" s="2063"/>
      <c r="J38" s="2044"/>
      <c r="K38" s="2055"/>
      <c r="L38" s="2030"/>
      <c r="M38" s="2030"/>
      <c r="N38" s="2031"/>
      <c r="O38" s="2032"/>
      <c r="P38" s="2031"/>
      <c r="Q38" s="2031"/>
      <c r="R38" s="2031"/>
      <c r="S38" s="2031"/>
      <c r="T38" s="2031"/>
      <c r="U38" s="2031"/>
      <c r="V38" s="2031"/>
    </row>
    <row r="39" spans="1:22" s="2147" customFormat="1" ht="18" customHeight="1" thickTop="1" thickBot="1">
      <c r="A39" s="2143" t="s">
        <v>1845</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31"/>
      <c r="B40" s="2031"/>
      <c r="C40" s="2031"/>
      <c r="D40" s="2031"/>
      <c r="E40" s="2031"/>
      <c r="F40" s="2031"/>
      <c r="G40" s="2031"/>
      <c r="H40" s="2031"/>
      <c r="I40" s="2148"/>
      <c r="J40" s="2083"/>
      <c r="K40" s="665"/>
      <c r="L40" s="2082"/>
      <c r="M40" s="2082"/>
      <c r="N40" s="2083"/>
      <c r="O40" s="2082"/>
      <c r="P40" s="2031"/>
      <c r="Q40" s="2031"/>
      <c r="R40" s="2031"/>
      <c r="S40" s="2031"/>
      <c r="T40" s="2031"/>
      <c r="U40" s="2031"/>
      <c r="V40" s="2031"/>
    </row>
    <row r="41" spans="1:22" ht="18" customHeight="1">
      <c r="A41" s="8" t="s">
        <v>1846</v>
      </c>
      <c r="B41" s="2149"/>
      <c r="C41" s="2150"/>
      <c r="D41" s="2031"/>
      <c r="E41" s="2031"/>
      <c r="F41" s="2031"/>
      <c r="G41" s="2031"/>
      <c r="H41" s="2031"/>
      <c r="I41" s="2032"/>
      <c r="J41" s="2031"/>
      <c r="K41" s="2122"/>
      <c r="L41" s="2030"/>
      <c r="M41" s="2030"/>
      <c r="N41" s="2031"/>
      <c r="O41" s="2032"/>
      <c r="P41" s="2031"/>
      <c r="Q41" s="2031"/>
      <c r="R41" s="2031"/>
      <c r="S41" s="2031"/>
      <c r="T41" s="2031"/>
      <c r="U41" s="2031"/>
      <c r="V41" s="2031"/>
    </row>
    <row r="42" spans="1:22" ht="18" customHeight="1">
      <c r="A42" s="2073" t="s">
        <v>1847</v>
      </c>
      <c r="B42" s="1797" t="s">
        <v>1848</v>
      </c>
      <c r="C42" s="1797" t="s">
        <v>1849</v>
      </c>
      <c r="D42" s="1797" t="s">
        <v>1850</v>
      </c>
      <c r="E42" s="1797" t="s">
        <v>1851</v>
      </c>
      <c r="F42" s="1797" t="s">
        <v>1852</v>
      </c>
      <c r="G42" s="1797" t="s">
        <v>1853</v>
      </c>
      <c r="H42" s="1797" t="s">
        <v>1854</v>
      </c>
      <c r="I42" s="1797" t="s">
        <v>1855</v>
      </c>
      <c r="J42" s="2151" t="s">
        <v>1856</v>
      </c>
      <c r="K42" s="2074" t="s">
        <v>1857</v>
      </c>
      <c r="L42" s="2074" t="s">
        <v>1858</v>
      </c>
      <c r="M42" s="2074" t="s">
        <v>1859</v>
      </c>
      <c r="N42" s="1797" t="s">
        <v>1860</v>
      </c>
      <c r="O42" s="1797" t="s">
        <v>1861</v>
      </c>
      <c r="P42" s="1797" t="s">
        <v>1862</v>
      </c>
      <c r="Q42" s="2073" t="s">
        <v>1863</v>
      </c>
      <c r="R42" s="2073" t="s">
        <v>1864</v>
      </c>
      <c r="S42" s="2031"/>
      <c r="T42" s="2031"/>
      <c r="U42" s="2031"/>
      <c r="V42" s="2031"/>
    </row>
    <row r="43" spans="1:22" s="2156" customFormat="1" ht="18" customHeight="1">
      <c r="A43" s="2152"/>
      <c r="B43" s="1274"/>
      <c r="C43" s="1274"/>
      <c r="D43" s="1274"/>
      <c r="E43" s="1274"/>
      <c r="F43" s="1274"/>
      <c r="G43" s="1274"/>
      <c r="H43" s="9"/>
      <c r="I43" s="9"/>
      <c r="J43" s="2153"/>
      <c r="K43" s="2154"/>
      <c r="L43" s="2154"/>
      <c r="M43" s="9"/>
      <c r="N43" s="1274"/>
      <c r="O43" s="9"/>
      <c r="P43" s="1274"/>
      <c r="Q43" s="1274"/>
      <c r="R43" s="1274"/>
      <c r="S43" s="2155"/>
      <c r="T43" s="2155"/>
      <c r="U43" s="2155"/>
      <c r="V43" s="2155"/>
    </row>
    <row r="44" spans="1:22" s="2156" customFormat="1" ht="18" customHeight="1">
      <c r="A44" s="2152"/>
      <c r="B44" s="2152"/>
      <c r="C44" s="1274"/>
      <c r="D44" s="1274"/>
      <c r="E44" s="1274"/>
      <c r="F44" s="1274"/>
      <c r="G44" s="1274"/>
      <c r="H44" s="9"/>
      <c r="I44" s="9"/>
      <c r="J44" s="2153"/>
      <c r="K44" s="2154"/>
      <c r="L44" s="2154"/>
      <c r="M44" s="9"/>
      <c r="N44" s="1274"/>
      <c r="O44" s="9"/>
      <c r="P44" s="1274"/>
      <c r="Q44" s="1274"/>
      <c r="R44" s="1274"/>
      <c r="S44" s="2155"/>
      <c r="T44" s="2155"/>
      <c r="U44" s="2155"/>
      <c r="V44" s="2155"/>
    </row>
    <row r="45" spans="1:22" s="2156" customFormat="1" ht="18" customHeight="1">
      <c r="A45" s="2152"/>
      <c r="B45" s="2152"/>
      <c r="C45" s="1274"/>
      <c r="D45" s="1274"/>
      <c r="E45" s="1274"/>
      <c r="F45" s="1274"/>
      <c r="G45" s="1274"/>
      <c r="H45" s="9"/>
      <c r="I45" s="9"/>
      <c r="J45" s="2153"/>
      <c r="K45" s="2154"/>
      <c r="L45" s="2154"/>
      <c r="M45" s="9"/>
      <c r="N45" s="1274"/>
      <c r="O45" s="9"/>
      <c r="P45" s="1274"/>
      <c r="Q45" s="1274"/>
      <c r="R45" s="1274"/>
      <c r="S45" s="2155"/>
      <c r="T45" s="2155"/>
      <c r="U45" s="2155"/>
      <c r="V45" s="2155"/>
    </row>
    <row r="46" spans="1:22" s="2156" customFormat="1" ht="18" customHeight="1">
      <c r="A46" s="2152"/>
      <c r="B46" s="2152"/>
      <c r="C46" s="1274"/>
      <c r="D46" s="1274"/>
      <c r="E46" s="1274"/>
      <c r="F46" s="1274"/>
      <c r="G46" s="1274"/>
      <c r="H46" s="9"/>
      <c r="I46" s="9"/>
      <c r="J46" s="2153"/>
      <c r="K46" s="2154"/>
      <c r="L46" s="2154"/>
      <c r="M46" s="9"/>
      <c r="N46" s="1274"/>
      <c r="O46" s="9"/>
      <c r="P46" s="1274"/>
      <c r="Q46" s="1274"/>
      <c r="R46" s="1274"/>
      <c r="S46" s="2155"/>
      <c r="T46" s="2155"/>
      <c r="U46" s="2155"/>
      <c r="V46" s="2155"/>
    </row>
    <row r="47" spans="1:22" s="2156" customFormat="1" ht="18" customHeight="1">
      <c r="A47" s="2152"/>
      <c r="B47" s="2152"/>
      <c r="C47" s="1274"/>
      <c r="D47" s="1274"/>
      <c r="E47" s="1274"/>
      <c r="F47" s="1274"/>
      <c r="G47" s="1274"/>
      <c r="H47" s="9"/>
      <c r="I47" s="9"/>
      <c r="J47" s="2153"/>
      <c r="K47" s="2154"/>
      <c r="L47" s="2154"/>
      <c r="M47" s="9"/>
      <c r="N47" s="1274"/>
      <c r="O47" s="9"/>
      <c r="P47" s="1274"/>
      <c r="Q47" s="1274"/>
      <c r="R47" s="1274"/>
      <c r="S47" s="2155"/>
      <c r="T47" s="2155"/>
      <c r="U47" s="2155"/>
      <c r="V47" s="2155"/>
    </row>
    <row r="48" spans="1:22" s="2156" customFormat="1" ht="18" customHeight="1">
      <c r="A48" s="2152"/>
      <c r="B48" s="2152"/>
      <c r="C48" s="1274"/>
      <c r="D48" s="1274"/>
      <c r="E48" s="1274"/>
      <c r="F48" s="1274"/>
      <c r="G48" s="1274"/>
      <c r="H48" s="9"/>
      <c r="I48" s="9"/>
      <c r="J48" s="2153"/>
      <c r="K48" s="2154"/>
      <c r="L48" s="2154"/>
      <c r="M48" s="9"/>
      <c r="N48" s="1274"/>
      <c r="O48" s="9"/>
      <c r="P48" s="1274"/>
      <c r="Q48" s="1274"/>
      <c r="R48" s="1274"/>
      <c r="S48" s="2155"/>
      <c r="T48" s="2155"/>
      <c r="U48" s="2155"/>
      <c r="V48" s="2155"/>
    </row>
    <row r="49" spans="1:22" s="2156" customFormat="1" ht="18" customHeight="1">
      <c r="A49" s="2152"/>
      <c r="B49" s="2152"/>
      <c r="C49" s="1274"/>
      <c r="D49" s="1274"/>
      <c r="E49" s="1274"/>
      <c r="F49" s="1274"/>
      <c r="G49" s="1274"/>
      <c r="H49" s="9"/>
      <c r="I49" s="9"/>
      <c r="J49" s="2153"/>
      <c r="K49" s="2154"/>
      <c r="L49" s="2154"/>
      <c r="M49" s="9"/>
      <c r="N49" s="1274"/>
      <c r="O49" s="9"/>
      <c r="P49" s="1274"/>
      <c r="Q49" s="1274"/>
      <c r="R49" s="1274"/>
      <c r="S49" s="2155"/>
      <c r="T49" s="2155"/>
      <c r="U49" s="2155"/>
      <c r="V49" s="2155"/>
    </row>
    <row r="50" spans="1:22" s="2156" customFormat="1" ht="18" customHeight="1">
      <c r="A50" s="2152"/>
      <c r="B50" s="2152"/>
      <c r="C50" s="1274"/>
      <c r="D50" s="1274"/>
      <c r="E50" s="1274"/>
      <c r="F50" s="1274"/>
      <c r="G50" s="1274"/>
      <c r="H50" s="9"/>
      <c r="I50" s="9"/>
      <c r="J50" s="2153"/>
      <c r="K50" s="2154"/>
      <c r="L50" s="2154"/>
      <c r="M50" s="9"/>
      <c r="N50" s="1274"/>
      <c r="O50" s="9"/>
      <c r="P50" s="1274"/>
      <c r="Q50" s="1274"/>
      <c r="R50" s="1274"/>
      <c r="S50" s="2155"/>
      <c r="T50" s="2155"/>
      <c r="U50" s="2155"/>
      <c r="V50" s="2155"/>
    </row>
    <row r="51" spans="1:22" s="2156" customFormat="1" ht="18" customHeight="1">
      <c r="A51" s="2152"/>
      <c r="B51" s="2152"/>
      <c r="C51" s="1274"/>
      <c r="D51" s="1274"/>
      <c r="E51" s="1274"/>
      <c r="F51" s="1274"/>
      <c r="G51" s="1274"/>
      <c r="H51" s="9"/>
      <c r="I51" s="9"/>
      <c r="J51" s="2153"/>
      <c r="K51" s="2154"/>
      <c r="L51" s="2154"/>
      <c r="M51" s="9"/>
      <c r="N51" s="1274"/>
      <c r="O51" s="9"/>
      <c r="P51" s="1274"/>
      <c r="Q51" s="1274"/>
      <c r="R51" s="1274"/>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hidden="1" customWidth="1"/>
    <col min="12" max="14" width="9.5" style="2158" hidden="1" customWidth="1"/>
    <col min="15" max="15" width="9.875" style="2158" hidden="1" customWidth="1"/>
    <col min="16" max="16" width="9.75" style="2158" hidden="1" customWidth="1"/>
    <col min="17" max="17" width="9.375" style="2158" hidden="1" customWidth="1"/>
    <col min="18" max="18" width="9.25" style="2158" hidden="1" customWidth="1"/>
    <col min="19" max="19" width="10.875" style="2158" hidden="1" customWidth="1"/>
    <col min="20" max="21" width="10.75" style="2158" hidden="1" customWidth="1"/>
    <col min="22" max="22" width="10.875" style="2158" hidden="1" customWidth="1"/>
    <col min="23" max="27" width="10.75" style="2158" hidden="1" customWidth="1"/>
    <col min="28" max="28" width="10.875" style="2158" hidden="1"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1865</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2" t="s">
        <v>1866</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6" customFormat="1" ht="24">
      <c r="A2" s="11" t="s">
        <v>1867</v>
      </c>
      <c r="B2" s="11" t="s">
        <v>1868</v>
      </c>
      <c r="C2" s="11" t="s">
        <v>1869</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71" t="s">
        <v>1870</v>
      </c>
      <c r="AZ2" s="1272" t="s">
        <v>1871</v>
      </c>
      <c r="BA2" s="11" t="s">
        <v>1872</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v>17984</v>
      </c>
      <c r="B3" s="14">
        <f>IF(C3="否",G5-AT5,G5)</f>
        <v>3919.92</v>
      </c>
      <c r="C3" s="2167" t="s">
        <v>1873</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3"/>
      <c r="AZ3" s="1274"/>
      <c r="BA3" s="1275"/>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1874</v>
      </c>
      <c r="B5" s="1805"/>
      <c r="C5" s="1805"/>
      <c r="D5" s="1808"/>
      <c r="E5" s="16" t="s">
        <v>1</v>
      </c>
      <c r="F5" s="16">
        <f>SUM(F13:F587)</f>
        <v>0</v>
      </c>
      <c r="G5" s="16">
        <f>SUM(G13:G587)</f>
        <v>3919.92</v>
      </c>
      <c r="H5" s="16">
        <f t="shared" ref="H5:AT5" si="0">SUM(H13:H656)</f>
        <v>3919.92</v>
      </c>
      <c r="I5" s="16">
        <f t="shared" si="0"/>
        <v>3919.92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1874</v>
      </c>
      <c r="AW5" s="1805"/>
      <c r="AX5" s="1805"/>
      <c r="AY5" s="17" t="s">
        <v>3</v>
      </c>
      <c r="AZ5" s="18">
        <f t="shared" ref="AZ5:BT5" si="1">SUM(AZ13:AZ656)</f>
        <v>1380.28</v>
      </c>
      <c r="BA5" s="18">
        <f t="shared" si="1"/>
        <v>1380.28</v>
      </c>
      <c r="BB5" s="18">
        <f t="shared" si="1"/>
        <v>1380.28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1875</v>
      </c>
      <c r="B6" s="2173"/>
      <c r="C6" s="2173"/>
      <c r="D6" s="2174"/>
      <c r="E6" s="16">
        <f>H6+AC6+AT6</f>
        <v>17984</v>
      </c>
      <c r="F6" s="16" t="s">
        <v>1</v>
      </c>
      <c r="G6" s="16" t="s">
        <v>2</v>
      </c>
      <c r="H6" s="20">
        <f>SUMIF(I$12:AB$12,"总值",I6:AB6)</f>
        <v>17984</v>
      </c>
      <c r="I6" s="16">
        <f t="shared" ref="I6:AB6" si="2">ROUND($A$3*I5/$B$3,2)</f>
        <v>17984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1875</v>
      </c>
      <c r="AW6" s="2173"/>
      <c r="AX6" s="2173"/>
      <c r="AY6" s="21">
        <f>IF(AY3&gt;0,AY3,ROUND($A$3*AZ5/$B$3,2))</f>
        <v>6332.52</v>
      </c>
      <c r="AZ6" s="16" t="s">
        <v>3</v>
      </c>
      <c r="BA6" s="16">
        <f>ROUND($AY$6*BA5/$AZ$5,2)</f>
        <v>6332.52</v>
      </c>
      <c r="BB6" s="16">
        <f>ROUND($AY$6*BB5/$AZ$5,2)</f>
        <v>6332.52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1876</v>
      </c>
      <c r="B7" s="2108" t="s">
        <v>1877</v>
      </c>
      <c r="C7" s="2108" t="s">
        <v>1878</v>
      </c>
      <c r="D7" s="2108" t="s">
        <v>1879</v>
      </c>
      <c r="E7" s="2108" t="s">
        <v>1880</v>
      </c>
      <c r="F7" s="2108" t="s">
        <v>1881</v>
      </c>
      <c r="G7" s="2177" t="s">
        <v>1882</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8"/>
      <c r="AU7" s="2178" t="s">
        <v>1883</v>
      </c>
      <c r="AV7" s="23" t="s">
        <v>1884</v>
      </c>
      <c r="AW7" s="2165" t="s">
        <v>1885</v>
      </c>
      <c r="AX7" s="23" t="s">
        <v>1878</v>
      </c>
      <c r="AY7" s="1805" t="s">
        <v>1886</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1887</v>
      </c>
      <c r="H8" s="2183" t="s">
        <v>1888</v>
      </c>
      <c r="I8" s="2184"/>
      <c r="J8" s="1820"/>
      <c r="K8" s="1820"/>
      <c r="L8" s="1820"/>
      <c r="M8" s="1820"/>
      <c r="N8" s="1820"/>
      <c r="O8" s="1820"/>
      <c r="P8" s="1820"/>
      <c r="Q8" s="1820"/>
      <c r="R8" s="1820"/>
      <c r="S8" s="1820"/>
      <c r="T8" s="1820"/>
      <c r="U8" s="1820"/>
      <c r="V8" s="2185"/>
      <c r="W8" s="1820"/>
      <c r="X8" s="1820"/>
      <c r="Y8" s="1820"/>
      <c r="Z8" s="1820"/>
      <c r="AA8" s="2185"/>
      <c r="AB8" s="2186"/>
      <c r="AC8" s="983" t="s">
        <v>1889</v>
      </c>
      <c r="AD8" s="2187"/>
      <c r="AE8" s="2179"/>
      <c r="AF8" s="1820"/>
      <c r="AG8" s="1820"/>
      <c r="AH8" s="1820"/>
      <c r="AI8" s="1820"/>
      <c r="AJ8" s="1820"/>
      <c r="AK8" s="1820"/>
      <c r="AL8" s="1820"/>
      <c r="AM8" s="1820"/>
      <c r="AN8" s="1820"/>
      <c r="AO8" s="1820"/>
      <c r="AP8" s="1820"/>
      <c r="AQ8" s="1820"/>
      <c r="AR8" s="1820"/>
      <c r="AS8" s="1820"/>
      <c r="AT8" s="1294" t="s">
        <v>1890</v>
      </c>
      <c r="AU8" s="2181" t="s">
        <v>1891</v>
      </c>
      <c r="AV8" s="1294"/>
      <c r="AW8" s="2164"/>
      <c r="AX8" s="1294"/>
      <c r="AY8" s="2165" t="s">
        <v>1892</v>
      </c>
      <c r="AZ8" s="1819" t="s">
        <v>1893</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8" customFormat="1" ht="12.75">
      <c r="A9" s="2181"/>
      <c r="B9" s="2181"/>
      <c r="C9" s="2181"/>
      <c r="D9" s="2181"/>
      <c r="E9" s="2181"/>
      <c r="F9" s="2181"/>
      <c r="G9" s="1294"/>
      <c r="H9" s="2189" t="s">
        <v>1894</v>
      </c>
      <c r="I9" s="2190" t="s">
        <v>3091</v>
      </c>
      <c r="J9" s="983"/>
      <c r="K9" s="2190"/>
      <c r="L9" s="983"/>
      <c r="M9" s="2190"/>
      <c r="N9" s="983"/>
      <c r="O9" s="2190"/>
      <c r="P9" s="983"/>
      <c r="Q9" s="2190"/>
      <c r="R9" s="983"/>
      <c r="S9" s="2190"/>
      <c r="T9" s="983"/>
      <c r="U9" s="2190"/>
      <c r="V9" s="983"/>
      <c r="W9" s="2190"/>
      <c r="X9" s="2191"/>
      <c r="Y9" s="2190"/>
      <c r="Z9" s="983"/>
      <c r="AA9" s="2190"/>
      <c r="AB9" s="983"/>
      <c r="AC9" s="2182" t="s">
        <v>1894</v>
      </c>
      <c r="AD9" s="15" t="s">
        <v>1895</v>
      </c>
      <c r="AE9" s="1300"/>
      <c r="AF9" s="15" t="s">
        <v>1896</v>
      </c>
      <c r="AG9" s="1300"/>
      <c r="AH9" s="15" t="s">
        <v>1895</v>
      </c>
      <c r="AI9" s="1300"/>
      <c r="AJ9" s="15" t="s">
        <v>1896</v>
      </c>
      <c r="AK9" s="1300"/>
      <c r="AL9" s="15" t="s">
        <v>1895</v>
      </c>
      <c r="AM9" s="1300"/>
      <c r="AN9" s="15" t="s">
        <v>1896</v>
      </c>
      <c r="AO9" s="1300"/>
      <c r="AP9" s="15" t="s">
        <v>1895</v>
      </c>
      <c r="AQ9" s="1300"/>
      <c r="AR9" s="15" t="s">
        <v>1896</v>
      </c>
      <c r="AS9" s="2192"/>
      <c r="AT9" s="2181"/>
      <c r="AU9" s="2181" t="s">
        <v>1897</v>
      </c>
      <c r="AV9" s="1294"/>
      <c r="AW9" s="2164"/>
      <c r="AX9" s="1294"/>
      <c r="AY9" s="28"/>
      <c r="AZ9" s="28" t="s">
        <v>1887</v>
      </c>
      <c r="BA9" s="2193" t="s">
        <v>1898</v>
      </c>
      <c r="BB9" s="2194"/>
      <c r="BC9" s="1340"/>
      <c r="BD9" s="1340"/>
      <c r="BE9" s="1340"/>
      <c r="BF9" s="1340"/>
      <c r="BG9" s="1340"/>
      <c r="BH9" s="1340"/>
      <c r="BI9" s="1340"/>
      <c r="BJ9" s="1340"/>
      <c r="BK9" s="2195"/>
      <c r="BL9" s="15" t="s">
        <v>1899</v>
      </c>
      <c r="BM9" s="1820"/>
      <c r="BN9" s="2184"/>
      <c r="BO9" s="1820"/>
      <c r="BP9" s="1820"/>
      <c r="BQ9" s="1820"/>
      <c r="BR9" s="1820"/>
      <c r="BS9" s="1820"/>
      <c r="BT9" s="26"/>
    </row>
    <row r="10" spans="1:72" s="2188" customFormat="1" ht="12.75">
      <c r="A10" s="2181"/>
      <c r="B10" s="2181"/>
      <c r="C10" s="2181"/>
      <c r="D10" s="2181"/>
      <c r="E10" s="2181"/>
      <c r="F10" s="2181"/>
      <c r="G10" s="1294"/>
      <c r="H10" s="28"/>
      <c r="I10" s="2190" t="s">
        <v>1377</v>
      </c>
      <c r="J10" s="983"/>
      <c r="K10" s="2196"/>
      <c r="L10" s="983"/>
      <c r="M10" s="2196"/>
      <c r="N10" s="983"/>
      <c r="O10" s="2196"/>
      <c r="P10" s="983"/>
      <c r="Q10" s="2196"/>
      <c r="R10" s="983"/>
      <c r="S10" s="2196"/>
      <c r="T10" s="983"/>
      <c r="U10" s="2196"/>
      <c r="V10" s="983"/>
      <c r="W10" s="2196"/>
      <c r="X10" s="983"/>
      <c r="Y10" s="2196"/>
      <c r="Z10" s="983"/>
      <c r="AA10" s="2196"/>
      <c r="AB10" s="983"/>
      <c r="AC10" s="1294"/>
      <c r="AD10" s="15" t="s">
        <v>1900</v>
      </c>
      <c r="AE10" s="2197"/>
      <c r="AF10" s="15" t="s">
        <v>1900</v>
      </c>
      <c r="AG10" s="2197"/>
      <c r="AH10" s="15" t="s">
        <v>1901</v>
      </c>
      <c r="AI10" s="2197"/>
      <c r="AJ10" s="15" t="s">
        <v>1901</v>
      </c>
      <c r="AK10" s="2197"/>
      <c r="AL10" s="15" t="s">
        <v>1902</v>
      </c>
      <c r="AM10" s="1300"/>
      <c r="AN10" s="15" t="s">
        <v>1902</v>
      </c>
      <c r="AO10" s="1300"/>
      <c r="AP10" s="15" t="s">
        <v>1903</v>
      </c>
      <c r="AQ10" s="1300"/>
      <c r="AR10" s="15" t="s">
        <v>1903</v>
      </c>
      <c r="AS10" s="1300"/>
      <c r="AT10" s="2181"/>
      <c r="AU10" s="2181"/>
      <c r="AV10" s="1294"/>
      <c r="AW10" s="2164"/>
      <c r="AX10" s="1294"/>
      <c r="AY10" s="28"/>
      <c r="AZ10" s="28"/>
      <c r="BA10" s="2198" t="s">
        <v>1894</v>
      </c>
      <c r="BB10" s="2199" t="str">
        <f>I9</f>
        <v>地上</v>
      </c>
      <c r="BC10" s="29">
        <f>K9</f>
        <v>0</v>
      </c>
      <c r="BD10" s="29">
        <f>M9</f>
        <v>0</v>
      </c>
      <c r="BE10" s="29">
        <f>O9</f>
        <v>0</v>
      </c>
      <c r="BF10" s="29">
        <f>Q9</f>
        <v>0</v>
      </c>
      <c r="BG10" s="29">
        <f>S9</f>
        <v>0</v>
      </c>
      <c r="BH10" s="29">
        <f>U9</f>
        <v>0</v>
      </c>
      <c r="BI10" s="29">
        <f>W9</f>
        <v>0</v>
      </c>
      <c r="BJ10" s="29">
        <f>Y9</f>
        <v>0</v>
      </c>
      <c r="BK10" s="29">
        <f>AA9</f>
        <v>0</v>
      </c>
      <c r="BL10" s="25" t="s">
        <v>1894</v>
      </c>
      <c r="BM10" s="1819" t="str">
        <f>AD9</f>
        <v>地上</v>
      </c>
      <c r="BN10" s="29" t="str">
        <f>AF9</f>
        <v>地下</v>
      </c>
      <c r="BO10" s="1819" t="str">
        <f>AH9</f>
        <v>地上</v>
      </c>
      <c r="BP10" s="29" t="str">
        <f>AJ9</f>
        <v>地下</v>
      </c>
      <c r="BQ10" s="1819" t="str">
        <f>AL9</f>
        <v>地上</v>
      </c>
      <c r="BR10" s="29" t="str">
        <f>AN9</f>
        <v>地下</v>
      </c>
      <c r="BS10" s="1819" t="str">
        <f>AP9</f>
        <v>地上</v>
      </c>
      <c r="BT10" s="2200" t="str">
        <f>AR9</f>
        <v>地下</v>
      </c>
    </row>
    <row r="11" spans="1:72" s="2188" customFormat="1" ht="12.75">
      <c r="A11" s="2181"/>
      <c r="B11" s="2181"/>
      <c r="C11" s="2181"/>
      <c r="D11" s="2181"/>
      <c r="E11" s="2181"/>
      <c r="F11" s="2181"/>
      <c r="G11" s="1294"/>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4"/>
      <c r="AD11" s="2203" t="s">
        <v>1904</v>
      </c>
      <c r="AE11" s="1821"/>
      <c r="AF11" s="2203" t="s">
        <v>1904</v>
      </c>
      <c r="AG11" s="1821"/>
      <c r="AH11" s="2203" t="s">
        <v>1905</v>
      </c>
      <c r="AI11" s="2204"/>
      <c r="AJ11" s="2203" t="s">
        <v>1905</v>
      </c>
      <c r="AK11" s="1821"/>
      <c r="AL11" s="1819"/>
      <c r="AM11" s="1821"/>
      <c r="AN11" s="1819"/>
      <c r="AO11" s="1821"/>
      <c r="AP11" s="1819"/>
      <c r="AQ11" s="1821"/>
      <c r="AR11" s="1819"/>
      <c r="AS11" s="1821"/>
      <c r="AT11" s="2164"/>
      <c r="AU11" s="2181"/>
      <c r="AV11" s="1294"/>
      <c r="AW11" s="2164"/>
      <c r="AX11" s="1294"/>
      <c r="AY11" s="28"/>
      <c r="AZ11" s="28"/>
      <c r="BA11" s="28"/>
      <c r="BB11" s="2186" t="str">
        <f>I10</f>
        <v>商业</v>
      </c>
      <c r="BC11" s="2186">
        <f>K10</f>
        <v>0</v>
      </c>
      <c r="BD11" s="2186">
        <f>M10</f>
        <v>0</v>
      </c>
      <c r="BE11" s="2186">
        <f>O10</f>
        <v>0</v>
      </c>
      <c r="BF11" s="2186">
        <f>Q10</f>
        <v>0</v>
      </c>
      <c r="BG11" s="2186">
        <f>S10</f>
        <v>0</v>
      </c>
      <c r="BH11" s="2186">
        <f>U10</f>
        <v>0</v>
      </c>
      <c r="BI11" s="2186">
        <f>W10</f>
        <v>0</v>
      </c>
      <c r="BJ11" s="2186">
        <f>Y10</f>
        <v>0</v>
      </c>
      <c r="BK11" s="2186">
        <f>AA10</f>
        <v>0</v>
      </c>
      <c r="BL11" s="1294"/>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4" t="s">
        <v>1907</v>
      </c>
      <c r="W12" s="11" t="s">
        <v>1906</v>
      </c>
      <c r="X12" s="11" t="s">
        <v>1907</v>
      </c>
      <c r="Y12" s="11" t="s">
        <v>1906</v>
      </c>
      <c r="Z12" s="11" t="s">
        <v>1907</v>
      </c>
      <c r="AA12" s="11" t="s">
        <v>1906</v>
      </c>
      <c r="AB12" s="11" t="s">
        <v>1907</v>
      </c>
      <c r="AC12" s="2208"/>
      <c r="AD12" s="180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6" t="s">
        <v>1907</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4"/>
      <c r="BM12" s="1819" t="str">
        <f>AD11</f>
        <v>（住宅）</v>
      </c>
      <c r="BN12" s="1819" t="str">
        <f>AF11</f>
        <v>（住宅）</v>
      </c>
      <c r="BO12" s="24" t="str">
        <f>AH11</f>
        <v>（住宅、计出让金）</v>
      </c>
      <c r="BP12" s="24" t="str">
        <f>AJ11</f>
        <v>（住宅、计出让金）</v>
      </c>
      <c r="BQ12" s="24">
        <f>AL11</f>
        <v>0</v>
      </c>
      <c r="BR12" s="24">
        <f>AN11</f>
        <v>0</v>
      </c>
      <c r="BS12" s="25">
        <f>AP11</f>
        <v>0</v>
      </c>
      <c r="BT12" s="2205">
        <f>AR11</f>
        <v>0</v>
      </c>
    </row>
    <row r="13" spans="1:72" s="2166" customFormat="1" ht="12.75">
      <c r="A13" s="1274"/>
      <c r="B13" s="1274"/>
      <c r="C13" s="2152">
        <v>1</v>
      </c>
      <c r="D13" s="2212" t="s">
        <v>3090</v>
      </c>
      <c r="E13" s="16">
        <f>IF($C$3="是",ROUND($A$3*G13/$B$3,2),ROUND($A$3*(G13-AT13)/$B$3,2))</f>
        <v>6332.52</v>
      </c>
      <c r="F13" s="32"/>
      <c r="G13" s="33">
        <f>H13+AC13+AT13</f>
        <v>1380.28</v>
      </c>
      <c r="H13" s="20">
        <f>SUMIF(I$12:AB$12,"总值",I13:AB13)</f>
        <v>1380.28</v>
      </c>
      <c r="I13" s="2213">
        <f>SUM(不动产权附页!D3:D12)</f>
        <v>1380.28</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f t="shared" si="6"/>
        <v>1</v>
      </c>
      <c r="AY13" s="1808">
        <f>ROUND($AY$6*AZ13/$AZ$5,2)</f>
        <v>6332.52</v>
      </c>
      <c r="AZ13" s="16">
        <f>BA13+BL13</f>
        <v>1380.28</v>
      </c>
      <c r="BA13" s="16">
        <f>SUM(BB13:BK13)</f>
        <v>1380.28</v>
      </c>
      <c r="BB13" s="16">
        <f>IF($D13="是",I13-J13,0)</f>
        <v>1380.28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4"/>
      <c r="B14" s="1274"/>
      <c r="C14" s="2152">
        <v>2</v>
      </c>
      <c r="D14" s="2212" t="s">
        <v>3082</v>
      </c>
      <c r="E14" s="16">
        <f>IF($C$3="是",ROUND($A$3*G14/$B$3,2),ROUND($A$3*(G14-AT14)/$B$3,2))</f>
        <v>8290.4699999999993</v>
      </c>
      <c r="F14" s="32"/>
      <c r="G14" s="33">
        <f>H14+AC14+AT14</f>
        <v>1807.05</v>
      </c>
      <c r="H14" s="20">
        <f>SUMIF(I$12:AB$12,"总值",I14:AB14)</f>
        <v>1807.05</v>
      </c>
      <c r="I14" s="2213">
        <f>SUM(不动产权附页!D13:D24)</f>
        <v>1807.05</v>
      </c>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2</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4"/>
      <c r="B15" s="1274"/>
      <c r="C15" s="2152">
        <v>3</v>
      </c>
      <c r="D15" s="2212" t="s">
        <v>3082</v>
      </c>
      <c r="E15" s="16">
        <f>IF($C$3="是",ROUND($A$3*G15/$B$3,2),ROUND($A$3*(G15-AT15)/$B$3,2))</f>
        <v>3361.01</v>
      </c>
      <c r="F15" s="32"/>
      <c r="G15" s="33">
        <f>H15+AC15+AT15</f>
        <v>732.58999999999992</v>
      </c>
      <c r="H15" s="20">
        <f>SUMIF(I$12:AB$12,"总值",I15:AB15)</f>
        <v>732.58999999999992</v>
      </c>
      <c r="I15" s="2213">
        <f>SUM(不动产权附页!D25:D27)</f>
        <v>732.58999999999992</v>
      </c>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3</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4"/>
      <c r="B16" s="1274"/>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4"/>
      <c r="B17" s="1274"/>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5" t="s">
        <v>0</v>
      </c>
      <c r="B1" s="3065" t="s">
        <v>4</v>
      </c>
      <c r="C1" s="3065" t="s">
        <v>5</v>
      </c>
      <c r="D1" s="3066" t="s">
        <v>53</v>
      </c>
      <c r="E1" s="3066" t="s">
        <v>54</v>
      </c>
      <c r="F1" s="3066"/>
      <c r="G1" s="3066"/>
      <c r="H1" s="3066"/>
      <c r="I1" s="3066"/>
      <c r="J1" s="3066"/>
      <c r="K1" s="3066"/>
      <c r="L1" s="3066"/>
      <c r="M1" s="3066"/>
    </row>
    <row r="2" spans="1:13" ht="27" customHeight="1">
      <c r="A2" s="3065"/>
      <c r="B2" s="3065"/>
      <c r="C2" s="3065"/>
      <c r="D2" s="3066"/>
      <c r="E2" s="3066" t="s">
        <v>37</v>
      </c>
      <c r="F2" s="3066" t="s">
        <v>38</v>
      </c>
      <c r="G2" s="3066"/>
      <c r="H2" s="3066"/>
      <c r="I2" s="3066"/>
      <c r="J2" s="3066" t="s">
        <v>39</v>
      </c>
      <c r="K2" s="3066"/>
      <c r="L2" s="3066"/>
      <c r="M2" s="3066"/>
    </row>
    <row r="3" spans="1:13" ht="28.5">
      <c r="A3" s="3065"/>
      <c r="B3" s="3065"/>
      <c r="C3" s="3065"/>
      <c r="D3" s="3066"/>
      <c r="E3" s="306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6" t="s">
        <v>55</v>
      </c>
      <c r="B9" s="3066"/>
      <c r="C9" s="306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D33" sqref="D33"/>
    </sheetView>
  </sheetViews>
  <sheetFormatPr defaultRowHeight="13.5"/>
  <cols>
    <col min="1" max="1" width="1.625" customWidth="1"/>
    <col min="2" max="2" width="29.5" customWidth="1"/>
    <col min="3" max="3" width="13.625" customWidth="1"/>
    <col min="4" max="4" width="14.5" customWidth="1"/>
    <col min="5" max="5" width="27.75" customWidth="1"/>
    <col min="8" max="8" width="9.5" bestFit="1" customWidth="1"/>
  </cols>
  <sheetData>
    <row r="1" spans="1:11" ht="14.25" thickBot="1">
      <c r="A1" s="2948"/>
      <c r="B1" s="2948"/>
      <c r="C1" s="2948"/>
      <c r="D1" s="2948"/>
      <c r="E1" s="2948"/>
    </row>
    <row r="2" spans="1:11">
      <c r="A2" s="2948"/>
      <c r="B2" s="2971" t="s">
        <v>3049</v>
      </c>
      <c r="C2" s="2972" t="s">
        <v>3050</v>
      </c>
      <c r="D2" s="2972" t="s">
        <v>3052</v>
      </c>
      <c r="E2" s="2973" t="s">
        <v>3053</v>
      </c>
      <c r="G2" s="2949" t="s">
        <v>3110</v>
      </c>
      <c r="J2" s="2955" t="s">
        <v>3111</v>
      </c>
    </row>
    <row r="3" spans="1:11">
      <c r="A3" s="2948"/>
      <c r="B3" s="2974" t="s">
        <v>4041</v>
      </c>
      <c r="C3" s="2969" t="s">
        <v>3054</v>
      </c>
      <c r="D3" s="2970">
        <v>171.71</v>
      </c>
      <c r="E3" s="2975" t="s">
        <v>3055</v>
      </c>
      <c r="F3" s="2952">
        <f>'数据-基础表'!I13/'数据-基础表'!I5</f>
        <v>0.35211943100879606</v>
      </c>
      <c r="G3">
        <v>35000</v>
      </c>
      <c r="H3" s="2954">
        <f>G3*F3</f>
        <v>12324.180085307862</v>
      </c>
      <c r="J3" s="2953">
        <v>5</v>
      </c>
      <c r="K3">
        <f>J3*F3</f>
        <v>1.7605971550439803</v>
      </c>
    </row>
    <row r="4" spans="1:11">
      <c r="A4" s="2948"/>
      <c r="B4" s="2974" t="s">
        <v>4042</v>
      </c>
      <c r="C4" s="2969" t="s">
        <v>3054</v>
      </c>
      <c r="D4" s="2970">
        <v>156.27000000000001</v>
      </c>
      <c r="E4" s="2975" t="s">
        <v>3056</v>
      </c>
      <c r="F4" s="2952">
        <f>'数据-基础表'!I14/'数据-基础表'!I5</f>
        <v>0.46099155084797649</v>
      </c>
      <c r="G4">
        <f>G3*0.6</f>
        <v>21000</v>
      </c>
      <c r="H4" s="2954">
        <f t="shared" ref="H4:H5" si="0">G4*F4</f>
        <v>9680.8225678075069</v>
      </c>
      <c r="J4" s="2953">
        <f>J3*G4/G3</f>
        <v>3</v>
      </c>
      <c r="K4">
        <f t="shared" ref="K4:K5" si="1">J4*F4</f>
        <v>1.3829746525439295</v>
      </c>
    </row>
    <row r="5" spans="1:11">
      <c r="A5" s="2948"/>
      <c r="B5" s="2974" t="s">
        <v>4043</v>
      </c>
      <c r="C5" s="2969" t="s">
        <v>3054</v>
      </c>
      <c r="D5" s="2970">
        <v>156.27000000000001</v>
      </c>
      <c r="E5" s="2975" t="s">
        <v>3057</v>
      </c>
      <c r="F5" s="2952">
        <f>1-F3-F4</f>
        <v>0.18688901814322745</v>
      </c>
      <c r="G5">
        <f>G3*0.5</f>
        <v>17500</v>
      </c>
      <c r="H5" s="2954">
        <f t="shared" si="0"/>
        <v>3270.5578175064802</v>
      </c>
      <c r="I5" s="2955" t="s">
        <v>3107</v>
      </c>
      <c r="J5" s="2953">
        <f>J3*G5/G3</f>
        <v>2.5</v>
      </c>
      <c r="K5">
        <f t="shared" si="1"/>
        <v>0.46722254535806862</v>
      </c>
    </row>
    <row r="6" spans="1:11">
      <c r="A6" s="2948"/>
      <c r="B6" s="2974" t="s">
        <v>4044</v>
      </c>
      <c r="C6" s="2969" t="s">
        <v>3054</v>
      </c>
      <c r="D6" s="2970">
        <v>119.07</v>
      </c>
      <c r="E6" s="2975" t="s">
        <v>3058</v>
      </c>
      <c r="G6" s="2949" t="s">
        <v>3105</v>
      </c>
      <c r="H6" s="2954">
        <f>SUM(H3:H5)</f>
        <v>25275.560470621851</v>
      </c>
      <c r="I6" s="2956">
        <v>0.5</v>
      </c>
      <c r="K6" s="2953">
        <f>SUM(K3:K5)</f>
        <v>3.6107943529459785</v>
      </c>
    </row>
    <row r="7" spans="1:11">
      <c r="A7" s="2948"/>
      <c r="B7" s="2974" t="s">
        <v>4045</v>
      </c>
      <c r="C7" s="2969" t="s">
        <v>3054</v>
      </c>
      <c r="D7" s="2970">
        <v>119.92</v>
      </c>
      <c r="E7" s="2975" t="s">
        <v>3059</v>
      </c>
      <c r="G7" s="2955" t="s">
        <v>3106</v>
      </c>
      <c r="H7">
        <f ca="1">收益法!C43</f>
        <v>22735</v>
      </c>
      <c r="I7" s="2956">
        <f>1-I6</f>
        <v>0.5</v>
      </c>
    </row>
    <row r="8" spans="1:11">
      <c r="A8" s="2948"/>
      <c r="B8" s="2974" t="s">
        <v>4046</v>
      </c>
      <c r="C8" s="2969" t="s">
        <v>3054</v>
      </c>
      <c r="D8" s="2970">
        <v>155.99</v>
      </c>
      <c r="E8" s="2975" t="s">
        <v>3060</v>
      </c>
      <c r="G8" s="2955" t="s">
        <v>3108</v>
      </c>
      <c r="H8">
        <f ca="1">ROUND((H6*I6+H7*I7),0)</f>
        <v>24005</v>
      </c>
    </row>
    <row r="9" spans="1:11">
      <c r="A9" s="2948"/>
      <c r="B9" s="2974" t="s">
        <v>4047</v>
      </c>
      <c r="C9" s="2969" t="s">
        <v>3054</v>
      </c>
      <c r="D9" s="2970">
        <v>156.27000000000001</v>
      </c>
      <c r="E9" s="2975" t="s">
        <v>3061</v>
      </c>
      <c r="G9" s="2955" t="s">
        <v>3109</v>
      </c>
      <c r="H9" s="2954">
        <f ca="1">H8*D28/10000</f>
        <v>9409.7679600000029</v>
      </c>
    </row>
    <row r="10" spans="1:11">
      <c r="A10" s="2948"/>
      <c r="B10" s="2974" t="s">
        <v>4048</v>
      </c>
      <c r="C10" s="2969" t="s">
        <v>3054</v>
      </c>
      <c r="D10" s="2970">
        <v>171.71</v>
      </c>
      <c r="E10" s="2975" t="s">
        <v>3062</v>
      </c>
    </row>
    <row r="11" spans="1:11">
      <c r="A11" s="2948"/>
      <c r="B11" s="2974" t="s">
        <v>4049</v>
      </c>
      <c r="C11" s="2969" t="s">
        <v>3054</v>
      </c>
      <c r="D11" s="2970">
        <v>79.56</v>
      </c>
      <c r="E11" s="2975" t="s">
        <v>3063</v>
      </c>
    </row>
    <row r="12" spans="1:11">
      <c r="A12" s="2948"/>
      <c r="B12" s="2974" t="s">
        <v>4050</v>
      </c>
      <c r="C12" s="2969" t="s">
        <v>3054</v>
      </c>
      <c r="D12" s="2970">
        <v>93.51</v>
      </c>
      <c r="E12" s="2975" t="s">
        <v>3064</v>
      </c>
    </row>
    <row r="13" spans="1:11">
      <c r="A13" s="2948"/>
      <c r="B13" s="2974" t="s">
        <v>4051</v>
      </c>
      <c r="C13" s="2969" t="s">
        <v>3054</v>
      </c>
      <c r="D13" s="2970">
        <v>168.71</v>
      </c>
      <c r="E13" s="2975" t="s">
        <v>3065</v>
      </c>
    </row>
    <row r="14" spans="1:11">
      <c r="A14" s="2948"/>
      <c r="B14" s="2974" t="s">
        <v>4052</v>
      </c>
      <c r="C14" s="2969" t="s">
        <v>3054</v>
      </c>
      <c r="D14" s="2970">
        <v>153.55000000000001</v>
      </c>
      <c r="E14" s="2975" t="s">
        <v>3066</v>
      </c>
    </row>
    <row r="15" spans="1:11">
      <c r="A15" s="2948"/>
      <c r="B15" s="2974" t="s">
        <v>4053</v>
      </c>
      <c r="C15" s="2969" t="s">
        <v>3054</v>
      </c>
      <c r="D15" s="2970">
        <v>153.55000000000001</v>
      </c>
      <c r="E15" s="2975" t="s">
        <v>3067</v>
      </c>
    </row>
    <row r="16" spans="1:11">
      <c r="A16" s="2948"/>
      <c r="B16" s="2974" t="s">
        <v>4054</v>
      </c>
      <c r="C16" s="2969" t="s">
        <v>3054</v>
      </c>
      <c r="D16" s="2970">
        <v>168.71</v>
      </c>
      <c r="E16" s="2975" t="s">
        <v>3068</v>
      </c>
    </row>
    <row r="17" spans="1:5">
      <c r="A17" s="2948"/>
      <c r="B17" s="2974" t="s">
        <v>4055</v>
      </c>
      <c r="C17" s="2969" t="s">
        <v>3054</v>
      </c>
      <c r="D17" s="2970">
        <v>92.67</v>
      </c>
      <c r="E17" s="2975" t="s">
        <v>3069</v>
      </c>
    </row>
    <row r="18" spans="1:5">
      <c r="A18" s="2948"/>
      <c r="B18" s="2974" t="s">
        <v>4056</v>
      </c>
      <c r="C18" s="2969" t="s">
        <v>3054</v>
      </c>
      <c r="D18" s="2970">
        <v>92.51</v>
      </c>
      <c r="E18" s="2975" t="s">
        <v>3070</v>
      </c>
    </row>
    <row r="19" spans="1:5">
      <c r="A19" s="2948"/>
      <c r="B19" s="2974" t="s">
        <v>4057</v>
      </c>
      <c r="C19" s="2969" t="s">
        <v>3054</v>
      </c>
      <c r="D19" s="2970">
        <v>179.82</v>
      </c>
      <c r="E19" s="2975" t="s">
        <v>3071</v>
      </c>
    </row>
    <row r="20" spans="1:5">
      <c r="A20" s="2948"/>
      <c r="B20" s="2974" t="s">
        <v>4058</v>
      </c>
      <c r="C20" s="2969" t="s">
        <v>3054</v>
      </c>
      <c r="D20" s="2970">
        <v>153.01</v>
      </c>
      <c r="E20" s="2975" t="s">
        <v>3072</v>
      </c>
    </row>
    <row r="21" spans="1:5">
      <c r="A21" s="2948"/>
      <c r="B21" s="2974" t="s">
        <v>4059</v>
      </c>
      <c r="C21" s="2969" t="s">
        <v>3054</v>
      </c>
      <c r="D21" s="2970">
        <v>168.71</v>
      </c>
      <c r="E21" s="2975" t="s">
        <v>3073</v>
      </c>
    </row>
    <row r="22" spans="1:5">
      <c r="A22" s="2948"/>
      <c r="B22" s="2974" t="s">
        <v>4060</v>
      </c>
      <c r="C22" s="2969" t="s">
        <v>3054</v>
      </c>
      <c r="D22" s="2970">
        <v>153.55000000000001</v>
      </c>
      <c r="E22" s="2975" t="s">
        <v>3074</v>
      </c>
    </row>
    <row r="23" spans="1:5">
      <c r="A23" s="2948"/>
      <c r="B23" s="2974" t="s">
        <v>4061</v>
      </c>
      <c r="C23" s="2969" t="s">
        <v>3054</v>
      </c>
      <c r="D23" s="2970">
        <v>153.55000000000001</v>
      </c>
      <c r="E23" s="2975" t="s">
        <v>3075</v>
      </c>
    </row>
    <row r="24" spans="1:5">
      <c r="A24" s="2948"/>
      <c r="B24" s="2974" t="s">
        <v>4062</v>
      </c>
      <c r="C24" s="2969" t="s">
        <v>3054</v>
      </c>
      <c r="D24" s="2970">
        <v>168.71</v>
      </c>
      <c r="E24" s="2975" t="s">
        <v>3076</v>
      </c>
    </row>
    <row r="25" spans="1:5">
      <c r="A25" s="2948"/>
      <c r="B25" s="2974" t="s">
        <v>4063</v>
      </c>
      <c r="C25" s="2969" t="s">
        <v>3054</v>
      </c>
      <c r="D25" s="2970">
        <v>172.32</v>
      </c>
      <c r="E25" s="2975" t="s">
        <v>3077</v>
      </c>
    </row>
    <row r="26" spans="1:5">
      <c r="A26" s="2948"/>
      <c r="B26" s="2974" t="s">
        <v>4064</v>
      </c>
      <c r="C26" s="2969" t="s">
        <v>3054</v>
      </c>
      <c r="D26" s="2970">
        <v>257.57</v>
      </c>
      <c r="E26" s="2975" t="s">
        <v>3078</v>
      </c>
    </row>
    <row r="27" spans="1:5">
      <c r="A27" s="2948"/>
      <c r="B27" s="2974" t="s">
        <v>4065</v>
      </c>
      <c r="C27" s="2969" t="s">
        <v>3054</v>
      </c>
      <c r="D27" s="2970">
        <v>302.7</v>
      </c>
      <c r="E27" s="2975" t="s">
        <v>3079</v>
      </c>
    </row>
    <row r="28" spans="1:5" ht="14.25" thickBot="1">
      <c r="A28" s="2948"/>
      <c r="B28" s="2976" t="s">
        <v>4066</v>
      </c>
      <c r="C28" s="2977" t="s">
        <v>4067</v>
      </c>
      <c r="D28" s="2978">
        <f>SUM(D3:D27)</f>
        <v>3919.920000000001</v>
      </c>
      <c r="E28" s="2979" t="s">
        <v>4067</v>
      </c>
    </row>
    <row r="30" spans="1:5">
      <c r="C30" s="2985" t="s">
        <v>4073</v>
      </c>
      <c r="D30">
        <f>AVERAGE(D3:D12)</f>
        <v>138.02799999999999</v>
      </c>
    </row>
    <row r="31" spans="1:5">
      <c r="C31" s="2985" t="s">
        <v>4074</v>
      </c>
      <c r="D31">
        <f>AVERAGE(D13:D24)</f>
        <v>150.58750000000001</v>
      </c>
    </row>
    <row r="32" spans="1:5">
      <c r="C32" s="2985" t="s">
        <v>4075</v>
      </c>
      <c r="D32">
        <f>AVERAGE(D25:D27)</f>
        <v>244.19666666666663</v>
      </c>
    </row>
  </sheetData>
  <phoneticPr fontId="1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1933</v>
      </c>
      <c r="B1" s="1394"/>
      <c r="C1" s="1394"/>
      <c r="D1" s="1394"/>
      <c r="E1" s="1394"/>
      <c r="F1" s="1394"/>
      <c r="G1" s="1394"/>
      <c r="H1" s="1394"/>
      <c r="I1" s="1394"/>
      <c r="J1" s="1394"/>
      <c r="K1" s="1394"/>
      <c r="L1" s="1394"/>
      <c r="M1" s="1394"/>
      <c r="N1" s="1394"/>
      <c r="O1" s="1394"/>
      <c r="P1" s="1394"/>
    </row>
    <row r="2" spans="1:16" ht="15">
      <c r="A2" s="3076" t="s">
        <v>1934</v>
      </c>
      <c r="B2" s="3076"/>
      <c r="C2" s="3076"/>
      <c r="D2" s="969" t="s">
        <v>1910</v>
      </c>
      <c r="E2" s="2226" t="s">
        <v>1911</v>
      </c>
      <c r="F2" s="1394"/>
      <c r="G2" s="2227"/>
      <c r="H2" s="2228"/>
      <c r="I2" s="2229" t="s">
        <v>1935</v>
      </c>
      <c r="J2" s="1394"/>
      <c r="K2" s="1394"/>
      <c r="L2" s="1394"/>
      <c r="M2" s="1394"/>
      <c r="N2" s="1429"/>
      <c r="O2" s="1394"/>
      <c r="P2" s="1394"/>
    </row>
    <row r="3" spans="1:16" ht="15.75" thickBot="1">
      <c r="A3" s="3077" t="s">
        <v>1908</v>
      </c>
      <c r="B3" s="3077"/>
      <c r="C3" s="3077"/>
      <c r="D3" s="46">
        <f>'数据-基础表'!AY6</f>
        <v>6332.52</v>
      </c>
      <c r="E3" s="46">
        <f>'数据-基础表'!AZ5</f>
        <v>1380.28</v>
      </c>
      <c r="F3" s="1394"/>
      <c r="G3" s="1401"/>
      <c r="H3" s="1249" t="s">
        <v>1909</v>
      </c>
      <c r="I3" s="55">
        <f>ROUND('数据-基础表'!B3/'数据-基础表'!A3,2)</f>
        <v>0.22</v>
      </c>
      <c r="J3" s="1394"/>
      <c r="K3" s="1394"/>
      <c r="L3" s="1394"/>
      <c r="M3" s="1394"/>
      <c r="N3" s="1429"/>
      <c r="O3" s="1394"/>
      <c r="P3" s="1394"/>
    </row>
    <row r="4" spans="1:16" ht="15">
      <c r="A4" s="3078"/>
      <c r="B4" s="3079"/>
      <c r="C4" s="3080"/>
      <c r="D4" s="2230" t="s">
        <v>1910</v>
      </c>
      <c r="E4" s="2231" t="s">
        <v>1911</v>
      </c>
      <c r="F4" s="1394"/>
      <c r="G4" s="2232" t="s">
        <v>1936</v>
      </c>
      <c r="H4" s="1249" t="s">
        <v>1916</v>
      </c>
      <c r="I4" s="55">
        <f>ROUND(SUMIF('数据-基础表'!I9:AS9,"地上",'数据-基础表'!I5:AS5)/'数据-基础表'!A3,2)</f>
        <v>0.22</v>
      </c>
      <c r="J4" s="1394"/>
      <c r="K4" s="1394"/>
      <c r="L4" s="1394"/>
      <c r="M4" s="1394"/>
      <c r="N4" s="1429"/>
      <c r="O4" s="1394"/>
      <c r="P4" s="1394"/>
    </row>
    <row r="5" spans="1:16">
      <c r="A5" s="47" t="s">
        <v>1912</v>
      </c>
      <c r="B5" s="3081" t="s">
        <v>1913</v>
      </c>
      <c r="C5" s="3081"/>
      <c r="D5" s="48">
        <f>ROUND($D$3*E5/$E$3,2)</f>
        <v>0</v>
      </c>
      <c r="E5" s="49">
        <f>SUMIF('数据-基础表'!$11:$11,"住宅",'数据-基础表'!$5:$5)</f>
        <v>0</v>
      </c>
      <c r="F5" s="1394"/>
      <c r="G5" s="1401"/>
      <c r="H5" s="1249" t="s">
        <v>1909</v>
      </c>
      <c r="I5" s="55">
        <f>ROUND(E31/D31,2)</f>
        <v>0.22</v>
      </c>
      <c r="J5" s="1394"/>
      <c r="K5" s="1394"/>
      <c r="L5" s="1394"/>
      <c r="M5" s="1394"/>
      <c r="N5" s="1394"/>
      <c r="O5" s="1394"/>
      <c r="P5" s="1394"/>
    </row>
    <row r="6" spans="1:16" ht="15" thickBot="1">
      <c r="A6" s="2233"/>
      <c r="B6" s="3081" t="s">
        <v>1914</v>
      </c>
      <c r="C6" s="3081"/>
      <c r="D6" s="48">
        <f>ROUND($D$3*E6/$E$3,2)</f>
        <v>6332.52</v>
      </c>
      <c r="E6" s="49">
        <f>E3-E5</f>
        <v>1380.28</v>
      </c>
      <c r="F6" s="1394"/>
      <c r="G6" s="2234" t="s">
        <v>1915</v>
      </c>
      <c r="H6" s="1401" t="s">
        <v>1916</v>
      </c>
      <c r="I6" s="941">
        <f>ROUND(F31/D31,2)</f>
        <v>0.22</v>
      </c>
      <c r="J6" s="1394"/>
      <c r="K6" s="1394"/>
      <c r="L6" s="1394"/>
      <c r="M6" s="1394"/>
      <c r="N6" s="1394"/>
      <c r="O6" s="1394"/>
      <c r="P6" s="1394"/>
    </row>
    <row r="7" spans="1:16" ht="15">
      <c r="A7" s="3073"/>
      <c r="B7" s="3074"/>
      <c r="C7" s="3075"/>
      <c r="D7" s="2230" t="s">
        <v>1910</v>
      </c>
      <c r="E7" s="2235" t="s">
        <v>1917</v>
      </c>
      <c r="F7" s="1394"/>
      <c r="G7" s="2227" t="s">
        <v>1918</v>
      </c>
      <c r="H7" s="64"/>
      <c r="I7" s="420"/>
      <c r="J7" s="1394"/>
      <c r="K7" s="1394"/>
      <c r="L7" s="1394"/>
      <c r="M7" s="1394"/>
      <c r="N7" s="1394"/>
      <c r="O7" s="1394"/>
      <c r="P7" s="1394"/>
    </row>
    <row r="8" spans="1:16">
      <c r="A8" s="47" t="s">
        <v>1919</v>
      </c>
      <c r="B8" s="50" t="s">
        <v>1920</v>
      </c>
      <c r="C8" s="48" t="s">
        <v>1921</v>
      </c>
      <c r="D8" s="48">
        <f t="shared" ref="D8:D15" si="0">ROUND($D$3*E8/$E$3,2)</f>
        <v>6332.52</v>
      </c>
      <c r="E8" s="51">
        <f>SUMIF('数据-基础表'!BB10:BK10,"地上",'数据-基础表'!BB5:BK5)</f>
        <v>1380.28</v>
      </c>
      <c r="F8" s="1394"/>
      <c r="G8" s="2236"/>
      <c r="H8" s="2236"/>
      <c r="I8" s="1394"/>
      <c r="J8" s="1394"/>
      <c r="K8" s="1394"/>
      <c r="L8" s="1394"/>
      <c r="M8" s="1394"/>
      <c r="N8" s="1394"/>
      <c r="O8" s="1394"/>
      <c r="P8" s="1394"/>
    </row>
    <row r="9" spans="1:16">
      <c r="A9" s="2237"/>
      <c r="B9" s="2238"/>
      <c r="C9" s="48" t="s">
        <v>1922</v>
      </c>
      <c r="D9" s="48">
        <f t="shared" si="0"/>
        <v>0</v>
      </c>
      <c r="E9" s="52">
        <v>0</v>
      </c>
      <c r="F9" s="1394"/>
      <c r="G9" s="2236"/>
      <c r="H9" s="2236"/>
      <c r="I9" s="1394"/>
      <c r="J9" s="1394"/>
      <c r="K9" s="1394"/>
      <c r="L9" s="1394"/>
      <c r="M9" s="1394"/>
      <c r="N9" s="1394"/>
      <c r="O9" s="1394"/>
      <c r="P9" s="1394"/>
    </row>
    <row r="10" spans="1:16">
      <c r="A10" s="2237"/>
      <c r="B10" s="2238"/>
      <c r="C10" s="48" t="s">
        <v>1931</v>
      </c>
      <c r="D10" s="48">
        <f t="shared" si="0"/>
        <v>0</v>
      </c>
      <c r="E10" s="51">
        <f>SUMPRODUCT(('数据-基础表'!BB10:BK10="地下")*('数据-基础表'!BB11:BK11="商业")*('数据-基础表'!BB5:BK5))</f>
        <v>0</v>
      </c>
      <c r="F10" s="1394"/>
      <c r="G10" s="2236"/>
      <c r="H10" s="2236"/>
      <c r="I10" s="1394"/>
      <c r="J10" s="1394"/>
      <c r="K10" s="1394"/>
      <c r="L10" s="1394"/>
      <c r="M10" s="1394"/>
      <c r="N10" s="1394"/>
      <c r="O10" s="1394"/>
      <c r="P10" s="1394"/>
    </row>
    <row r="11" spans="1:16">
      <c r="A11" s="2237"/>
      <c r="B11" s="2238"/>
      <c r="C11" s="48" t="s">
        <v>1923</v>
      </c>
      <c r="D11" s="48">
        <f t="shared" si="0"/>
        <v>0</v>
      </c>
      <c r="E11" s="51">
        <f>SUMPRODUCT(('数据-基础表'!BB10:BK10="地下")*('数据-基础表'!BB11:BK11="办公")*('数据-基础表'!BB5:BK5))+'数据-基础表'!BP5</f>
        <v>0</v>
      </c>
      <c r="F11" s="1394"/>
      <c r="G11" s="2236"/>
      <c r="H11" s="2236"/>
      <c r="I11" s="1394"/>
      <c r="J11" s="1394"/>
      <c r="K11" s="1394"/>
      <c r="L11" s="1394"/>
      <c r="M11" s="1394"/>
      <c r="N11" s="1394"/>
      <c r="O11" s="1394"/>
      <c r="P11" s="1394"/>
    </row>
    <row r="12" spans="1:16">
      <c r="A12" s="2237"/>
      <c r="B12" s="2238"/>
      <c r="C12" s="48" t="s">
        <v>1924</v>
      </c>
      <c r="D12" s="48">
        <f t="shared" si="0"/>
        <v>0</v>
      </c>
      <c r="E12" s="51">
        <f>SUMPRODUCT(('数据-基础表'!BB10:BK10="地下")*('数据-基础表'!BB11:BK11="仓储")*('数据-基础表'!BB5:BK5))</f>
        <v>0</v>
      </c>
      <c r="F12" s="1394"/>
      <c r="G12" s="2236"/>
      <c r="H12" s="2236"/>
      <c r="I12" s="1394"/>
      <c r="J12" s="1394"/>
      <c r="K12" s="1394"/>
      <c r="L12" s="1394"/>
      <c r="M12" s="1394"/>
      <c r="N12" s="1394"/>
      <c r="O12" s="1394"/>
      <c r="P12" s="1394"/>
    </row>
    <row r="13" spans="1:16">
      <c r="A13" s="2237"/>
      <c r="B13" s="2238"/>
      <c r="C13" s="48" t="s">
        <v>1925</v>
      </c>
      <c r="D13" s="48">
        <f t="shared" si="0"/>
        <v>0</v>
      </c>
      <c r="E13" s="51">
        <f>SUMPRODUCT(('数据-基础表'!BB10:BK10="地下")*('数据-基础表'!BB11:BK11="车库")*('数据-基础表'!BB5:BK5))</f>
        <v>0</v>
      </c>
      <c r="F13" s="1394"/>
      <c r="G13" s="2236"/>
      <c r="H13" s="2236"/>
      <c r="I13" s="1394"/>
      <c r="J13" s="1394"/>
      <c r="K13" s="1394"/>
      <c r="L13" s="1394"/>
      <c r="M13" s="1394"/>
      <c r="N13" s="1394"/>
      <c r="O13" s="1394"/>
      <c r="P13" s="1394"/>
    </row>
    <row r="14" spans="1:16">
      <c r="A14" s="2237"/>
      <c r="B14" s="2238"/>
      <c r="C14" s="48" t="s">
        <v>1937</v>
      </c>
      <c r="D14" s="48">
        <f t="shared" si="0"/>
        <v>0</v>
      </c>
      <c r="E14" s="51">
        <f>SUMPRODUCT(('数据-基础表'!BB10:BK10="地下")*('数据-基础表'!BB11:BK11="车库—商业")*('数据-基础表'!BB5:BK5))</f>
        <v>0</v>
      </c>
      <c r="F14" s="1394"/>
      <c r="G14" s="2236"/>
      <c r="H14" s="2236"/>
      <c r="I14" s="1394"/>
      <c r="J14" s="1394"/>
      <c r="K14" s="1394"/>
      <c r="L14" s="1394"/>
      <c r="M14" s="1394"/>
      <c r="N14" s="1394"/>
      <c r="O14" s="1394"/>
      <c r="P14" s="1394"/>
    </row>
    <row r="15" spans="1:16" ht="15" thickBot="1">
      <c r="A15" s="2237"/>
      <c r="B15" s="2238"/>
      <c r="C15" s="48" t="s">
        <v>1932</v>
      </c>
      <c r="D15" s="48">
        <f t="shared" si="0"/>
        <v>0</v>
      </c>
      <c r="E15" s="51">
        <f>SUMPRODUCT(('数据-基础表'!BB10:BK10="地下")*('数据-基础表'!BB11:BK11="车库—办公")*('数据-基础表'!BB5:BK5))</f>
        <v>0</v>
      </c>
      <c r="F15" s="1394"/>
      <c r="G15" s="2236"/>
      <c r="H15" s="2236"/>
      <c r="I15" s="1394"/>
      <c r="J15" s="1394"/>
      <c r="K15" s="1394"/>
      <c r="L15" s="1394"/>
      <c r="M15" s="1394"/>
      <c r="N15" s="1394"/>
      <c r="O15" s="1394"/>
      <c r="P15" s="1394"/>
    </row>
    <row r="16" spans="1:16" ht="15.75" thickBot="1">
      <c r="A16" s="2233"/>
      <c r="B16" s="2238"/>
      <c r="C16" s="50" t="s">
        <v>1926</v>
      </c>
      <c r="D16" s="50">
        <f>SUM(D8:D15)</f>
        <v>6332.52</v>
      </c>
      <c r="E16" s="53">
        <f>SUM(E8:E15)</f>
        <v>1380.28</v>
      </c>
      <c r="F16" s="1394"/>
      <c r="G16" s="2236"/>
      <c r="H16" s="2239" t="s">
        <v>1938</v>
      </c>
      <c r="I16" s="2240"/>
      <c r="J16" s="1394"/>
      <c r="K16" s="3070" t="s">
        <v>1938</v>
      </c>
      <c r="L16" s="3071"/>
      <c r="M16" s="3071"/>
      <c r="N16" s="3071"/>
      <c r="O16" s="3071"/>
      <c r="P16" s="3072"/>
    </row>
    <row r="17" spans="1:19" ht="15">
      <c r="A17" s="2241" t="s">
        <v>1939</v>
      </c>
      <c r="B17" s="2242" t="s">
        <v>1940</v>
      </c>
      <c r="C17" s="2243" t="s">
        <v>1941</v>
      </c>
      <c r="D17" s="2244" t="s">
        <v>1929</v>
      </c>
      <c r="E17" s="2245" t="s">
        <v>1930</v>
      </c>
      <c r="F17" s="2246"/>
      <c r="G17" s="2247"/>
      <c r="H17" s="2248" t="s">
        <v>1942</v>
      </c>
      <c r="I17" s="2249" t="s">
        <v>1927</v>
      </c>
      <c r="J17" s="1394"/>
      <c r="K17" s="3067" t="s">
        <v>1943</v>
      </c>
      <c r="L17" s="3068"/>
      <c r="M17" s="3069"/>
      <c r="N17" s="3067" t="s">
        <v>1944</v>
      </c>
      <c r="O17" s="3068"/>
      <c r="P17" s="3069"/>
      <c r="R17" s="2227" t="s">
        <v>1945</v>
      </c>
      <c r="S17" s="64"/>
    </row>
    <row r="18" spans="1:19" ht="15">
      <c r="A18" s="2237"/>
      <c r="B18" s="2250"/>
      <c r="C18" s="2251"/>
      <c r="D18" s="2252"/>
      <c r="E18" s="2253" t="s">
        <v>1946</v>
      </c>
      <c r="F18" s="2254" t="s">
        <v>1947</v>
      </c>
      <c r="G18" s="2255" t="s">
        <v>1948</v>
      </c>
      <c r="H18" s="1264" t="s">
        <v>1949</v>
      </c>
      <c r="I18" s="2256" t="s">
        <v>1950</v>
      </c>
      <c r="J18" s="1394"/>
      <c r="K18" s="1264" t="s">
        <v>1951</v>
      </c>
      <c r="L18" s="2257" t="s">
        <v>1952</v>
      </c>
      <c r="M18" s="1048" t="s">
        <v>1953</v>
      </c>
      <c r="N18" s="1264" t="s">
        <v>1951</v>
      </c>
      <c r="O18" s="2257" t="s">
        <v>1952</v>
      </c>
      <c r="P18" s="1048" t="s">
        <v>1953</v>
      </c>
      <c r="R18" s="1249" t="s">
        <v>1954</v>
      </c>
      <c r="S18" s="1249" t="s">
        <v>1955</v>
      </c>
    </row>
    <row r="19" spans="1:19">
      <c r="A19" s="2258"/>
      <c r="B19" s="50" t="s">
        <v>1928</v>
      </c>
      <c r="C19" s="2950" t="s">
        <v>4022</v>
      </c>
      <c r="D19" s="48">
        <f>ROUND($D$3*E19/$E$3,2)</f>
        <v>6332.52</v>
      </c>
      <c r="E19" s="56">
        <f t="shared" ref="E19:E26" si="1">SUM(F19:G19)</f>
        <v>1380.28</v>
      </c>
      <c r="F19" s="57">
        <f>'数据-基础表'!I13</f>
        <v>1380.28</v>
      </c>
      <c r="G19" s="58"/>
      <c r="H19" s="722">
        <f>ROUND($D$3*I19/$E$3,2)</f>
        <v>0</v>
      </c>
      <c r="I19" s="51">
        <f t="shared" ref="I19:I26" si="2">IF($I$17="自定义",P19,M19)</f>
        <v>0</v>
      </c>
      <c r="J19" s="1394"/>
      <c r="K19" s="1393">
        <f t="shared" ref="K19:K26" si="3">ROUND(E$28*E19/E$27,2)</f>
        <v>0</v>
      </c>
      <c r="L19" s="1249">
        <f t="shared" ref="L19:L26" si="4">ROUND(IF(COUNTIF(C19,"*住宅*")&gt;0,E$29*E19/E$32,0),2)</f>
        <v>0</v>
      </c>
      <c r="M19" s="1405">
        <f>K19+L19</f>
        <v>0</v>
      </c>
      <c r="N19" s="2260"/>
      <c r="O19" s="2261"/>
      <c r="P19" s="1405">
        <f>N19+O19</f>
        <v>0</v>
      </c>
      <c r="R19" s="1249">
        <f t="shared" ref="R19:S26" si="5">D19+H19</f>
        <v>6332.52</v>
      </c>
      <c r="S19" s="1250">
        <f t="shared" si="5"/>
        <v>1380.28</v>
      </c>
    </row>
    <row r="20" spans="1:19">
      <c r="A20" s="2262"/>
      <c r="B20" s="50" t="s">
        <v>1956</v>
      </c>
      <c r="C20" s="2259"/>
      <c r="D20" s="48">
        <f t="shared" ref="D20:D26" si="6">ROUND($D$3*E20/$E$3,2)</f>
        <v>0</v>
      </c>
      <c r="E20" s="56">
        <f t="shared" si="1"/>
        <v>0</v>
      </c>
      <c r="F20" s="57"/>
      <c r="G20" s="58"/>
      <c r="H20" s="722">
        <f t="shared" ref="H20:H26" si="7">ROUND($D$3*I20/$E$3,2)</f>
        <v>0</v>
      </c>
      <c r="I20" s="51">
        <f t="shared" si="2"/>
        <v>0</v>
      </c>
      <c r="J20" s="1394"/>
      <c r="K20" s="1393">
        <f t="shared" si="3"/>
        <v>0</v>
      </c>
      <c r="L20" s="1249">
        <f t="shared" si="4"/>
        <v>0</v>
      </c>
      <c r="M20" s="1405">
        <f t="shared" ref="M20:M26" si="8">K20+L20</f>
        <v>0</v>
      </c>
      <c r="N20" s="2260"/>
      <c r="O20" s="2261"/>
      <c r="P20" s="1405">
        <f t="shared" ref="P20:P26" si="9">N20+O20</f>
        <v>0</v>
      </c>
      <c r="R20" s="1249">
        <f t="shared" si="5"/>
        <v>0</v>
      </c>
      <c r="S20" s="1250">
        <f t="shared" si="5"/>
        <v>0</v>
      </c>
    </row>
    <row r="21" spans="1:19">
      <c r="A21" s="2262"/>
      <c r="B21" s="50" t="s">
        <v>1956</v>
      </c>
      <c r="C21" s="2259"/>
      <c r="D21" s="48">
        <f t="shared" si="6"/>
        <v>0</v>
      </c>
      <c r="E21" s="56">
        <f t="shared" si="1"/>
        <v>0</v>
      </c>
      <c r="F21" s="57"/>
      <c r="G21" s="58"/>
      <c r="H21" s="722">
        <f t="shared" si="7"/>
        <v>0</v>
      </c>
      <c r="I21" s="51">
        <f t="shared" si="2"/>
        <v>0</v>
      </c>
      <c r="J21" s="1394"/>
      <c r="K21" s="1393">
        <f t="shared" si="3"/>
        <v>0</v>
      </c>
      <c r="L21" s="1249">
        <f t="shared" si="4"/>
        <v>0</v>
      </c>
      <c r="M21" s="1405">
        <f t="shared" si="8"/>
        <v>0</v>
      </c>
      <c r="N21" s="2260"/>
      <c r="O21" s="2261"/>
      <c r="P21" s="1405">
        <f t="shared" si="9"/>
        <v>0</v>
      </c>
      <c r="R21" s="1249">
        <f t="shared" si="5"/>
        <v>0</v>
      </c>
      <c r="S21" s="1250">
        <f t="shared" si="5"/>
        <v>0</v>
      </c>
    </row>
    <row r="22" spans="1:19">
      <c r="A22" s="2262"/>
      <c r="B22" s="50" t="s">
        <v>1956</v>
      </c>
      <c r="C22" s="60"/>
      <c r="D22" s="48">
        <f t="shared" si="6"/>
        <v>0</v>
      </c>
      <c r="E22" s="56">
        <f t="shared" si="1"/>
        <v>0</v>
      </c>
      <c r="F22" s="61"/>
      <c r="G22" s="62"/>
      <c r="H22" s="722">
        <f t="shared" si="7"/>
        <v>0</v>
      </c>
      <c r="I22" s="51">
        <f t="shared" si="2"/>
        <v>0</v>
      </c>
      <c r="J22" s="1394"/>
      <c r="K22" s="1393">
        <f t="shared" si="3"/>
        <v>0</v>
      </c>
      <c r="L22" s="1249">
        <f t="shared" si="4"/>
        <v>0</v>
      </c>
      <c r="M22" s="1405">
        <f t="shared" si="8"/>
        <v>0</v>
      </c>
      <c r="N22" s="2260"/>
      <c r="O22" s="2261"/>
      <c r="P22" s="1405">
        <f t="shared" si="9"/>
        <v>0</v>
      </c>
      <c r="R22" s="1249">
        <f t="shared" si="5"/>
        <v>0</v>
      </c>
      <c r="S22" s="1250">
        <f t="shared" si="5"/>
        <v>0</v>
      </c>
    </row>
    <row r="23" spans="1:19">
      <c r="A23" s="2262"/>
      <c r="B23" s="50" t="s">
        <v>1956</v>
      </c>
      <c r="C23" s="60"/>
      <c r="D23" s="48">
        <f>ROUND($D$3*E23/$E$3,2)</f>
        <v>0</v>
      </c>
      <c r="E23" s="56">
        <f>SUM(F23:G23)</f>
        <v>0</v>
      </c>
      <c r="F23" s="61"/>
      <c r="G23" s="62"/>
      <c r="H23" s="722">
        <f>ROUND($D$3*I23/$E$3,2)</f>
        <v>0</v>
      </c>
      <c r="I23" s="51">
        <f t="shared" si="2"/>
        <v>0</v>
      </c>
      <c r="J23" s="1394"/>
      <c r="K23" s="1393">
        <f t="shared" si="3"/>
        <v>0</v>
      </c>
      <c r="L23" s="1249">
        <f t="shared" si="4"/>
        <v>0</v>
      </c>
      <c r="M23" s="1405">
        <f t="shared" si="8"/>
        <v>0</v>
      </c>
      <c r="N23" s="2260"/>
      <c r="O23" s="2261"/>
      <c r="P23" s="1405">
        <f t="shared" si="9"/>
        <v>0</v>
      </c>
      <c r="R23" s="1249">
        <f t="shared" si="5"/>
        <v>0</v>
      </c>
      <c r="S23" s="1250">
        <f t="shared" si="5"/>
        <v>0</v>
      </c>
    </row>
    <row r="24" spans="1:19">
      <c r="A24" s="2262"/>
      <c r="B24" s="50" t="s">
        <v>1956</v>
      </c>
      <c r="C24" s="60"/>
      <c r="D24" s="48">
        <f>ROUND($D$3*E24/$E$3,2)</f>
        <v>0</v>
      </c>
      <c r="E24" s="56">
        <f>SUM(F24:G24)</f>
        <v>0</v>
      </c>
      <c r="F24" s="61"/>
      <c r="G24" s="62"/>
      <c r="H24" s="722">
        <f>ROUND($D$3*I24/$E$3,2)</f>
        <v>0</v>
      </c>
      <c r="I24" s="51">
        <f t="shared" si="2"/>
        <v>0</v>
      </c>
      <c r="J24" s="1394"/>
      <c r="K24" s="1393">
        <f t="shared" si="3"/>
        <v>0</v>
      </c>
      <c r="L24" s="1249">
        <f t="shared" si="4"/>
        <v>0</v>
      </c>
      <c r="M24" s="1405">
        <f t="shared" si="8"/>
        <v>0</v>
      </c>
      <c r="N24" s="2260"/>
      <c r="O24" s="2261"/>
      <c r="P24" s="1405">
        <f t="shared" si="9"/>
        <v>0</v>
      </c>
      <c r="R24" s="1249">
        <f t="shared" si="5"/>
        <v>0</v>
      </c>
      <c r="S24" s="1250">
        <f t="shared" si="5"/>
        <v>0</v>
      </c>
    </row>
    <row r="25" spans="1:19">
      <c r="A25" s="2262"/>
      <c r="B25" s="50" t="s">
        <v>1956</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0"/>
      <c r="O25" s="2261"/>
      <c r="P25" s="1405">
        <f t="shared" si="9"/>
        <v>0</v>
      </c>
      <c r="R25" s="1249">
        <f t="shared" si="5"/>
        <v>0</v>
      </c>
      <c r="S25" s="1250">
        <f t="shared" si="5"/>
        <v>0</v>
      </c>
    </row>
    <row r="26" spans="1:19">
      <c r="A26" s="2262"/>
      <c r="B26" s="50" t="s">
        <v>1956</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63"/>
      <c r="O26" s="2264"/>
      <c r="P26" s="67">
        <f t="shared" si="9"/>
        <v>0</v>
      </c>
      <c r="R26" s="1249">
        <f t="shared" si="5"/>
        <v>0</v>
      </c>
      <c r="S26" s="1250">
        <f t="shared" si="5"/>
        <v>0</v>
      </c>
    </row>
    <row r="27" spans="1:19" ht="15.75" thickBot="1">
      <c r="A27" s="2262"/>
      <c r="B27" s="48"/>
      <c r="C27" s="2265" t="s">
        <v>1957</v>
      </c>
      <c r="D27" s="1395">
        <f>SUM(D19:D26)</f>
        <v>6332.52</v>
      </c>
      <c r="E27" s="1396">
        <f>IF(SUM(E19:E26)='数据-基础表'!BA5,SUM(E19:E26),IF(F27="地上面积有误","面积有误","地下面积有误"))</f>
        <v>1380.28</v>
      </c>
      <c r="F27" s="1395">
        <f>IF(SUM(F19:F26)=E8,SUM(F19:F26),"地上面积有误")</f>
        <v>1380.28</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6332.52</v>
      </c>
      <c r="S27" s="1249">
        <f>IF(SUM(S19:S26)=$E$3,SUM(S19:S26),SUM(S19:S26)&amp;"误差"&amp;ROUND(SUM(S19:S26)-E3,2))</f>
        <v>1380.28</v>
      </c>
    </row>
    <row r="28" spans="1:19">
      <c r="A28" s="2262"/>
      <c r="B28" s="50" t="s">
        <v>1958</v>
      </c>
      <c r="C28" s="1261" t="s">
        <v>1959</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62"/>
      <c r="B29" s="50" t="s">
        <v>1958</v>
      </c>
      <c r="C29" s="2266" t="s">
        <v>1960</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62"/>
      <c r="B30" s="50"/>
      <c r="C30" s="2267" t="s">
        <v>1957</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68"/>
      <c r="B31" s="2269"/>
      <c r="C31" s="1009" t="s">
        <v>1961</v>
      </c>
      <c r="D31" s="728">
        <f>D27+D30</f>
        <v>6332.52</v>
      </c>
      <c r="E31" s="728">
        <f>E27+E30</f>
        <v>1380.28</v>
      </c>
      <c r="F31" s="729">
        <f>F27+F30</f>
        <v>1380.28</v>
      </c>
      <c r="G31" s="730">
        <f>G27+G30</f>
        <v>0</v>
      </c>
      <c r="H31" s="1394"/>
      <c r="I31" s="1394"/>
      <c r="J31" s="1394"/>
      <c r="K31" s="1394"/>
      <c r="L31" s="1394"/>
      <c r="M31" s="1394"/>
      <c r="N31" s="1394"/>
      <c r="O31" s="1394"/>
      <c r="P31" s="1394"/>
    </row>
    <row r="32" spans="1:19">
      <c r="A32" s="2232"/>
      <c r="B32" s="2232" t="s">
        <v>1962</v>
      </c>
      <c r="C32" s="2232"/>
      <c r="D32" s="2232"/>
      <c r="E32" s="1276">
        <f>SUMIF(C19:C26,"*住宅*",E19:E26)</f>
        <v>0</v>
      </c>
      <c r="F32" s="2232"/>
      <c r="G32" s="2232"/>
      <c r="H32" s="1394"/>
      <c r="I32" s="1394"/>
      <c r="J32" s="1394"/>
      <c r="K32" s="1394"/>
      <c r="L32" s="1394"/>
      <c r="M32" s="1394"/>
      <c r="N32" s="1394"/>
      <c r="O32" s="1394"/>
      <c r="P32" s="1394"/>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J25" sqref="J25"/>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1963</v>
      </c>
      <c r="B1" s="731"/>
      <c r="C1" s="1583"/>
      <c r="D1" s="2272"/>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5" t="s">
        <v>1964</v>
      </c>
      <c r="B2" s="1268">
        <f>项目基本情况!D3</f>
        <v>43321</v>
      </c>
      <c r="C2" s="2276"/>
      <c r="D2" s="2277"/>
      <c r="E2" s="2276"/>
      <c r="F2" s="2276"/>
      <c r="G2" s="2276"/>
      <c r="H2" s="2276"/>
      <c r="I2" s="2276"/>
      <c r="J2" s="2276"/>
      <c r="K2" s="1429"/>
      <c r="L2" s="1429"/>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3" customFormat="1" ht="15" thickBot="1">
      <c r="A3" s="2031"/>
      <c r="B3" s="2279"/>
      <c r="C3" s="2276"/>
      <c r="D3" s="2277"/>
      <c r="E3" s="2276"/>
      <c r="F3" s="2276"/>
      <c r="G3" s="2276"/>
      <c r="H3" s="2276"/>
      <c r="I3" s="2276"/>
      <c r="J3" s="2276"/>
      <c r="K3" s="1429"/>
      <c r="L3" s="1429"/>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3" customFormat="1" ht="15" thickBot="1">
      <c r="A4" s="68" t="s">
        <v>1965</v>
      </c>
      <c r="B4" s="2280"/>
      <c r="C4" s="2281"/>
      <c r="D4" s="2282"/>
      <c r="E4" s="2281" t="s">
        <v>1966</v>
      </c>
      <c r="F4" s="2281"/>
      <c r="G4" s="2281"/>
      <c r="H4" s="2281"/>
      <c r="I4" s="2281"/>
      <c r="J4" s="2283"/>
      <c r="K4" s="2284"/>
      <c r="L4" s="2285"/>
      <c r="M4" s="2281"/>
      <c r="N4" s="2281" t="s">
        <v>1967</v>
      </c>
      <c r="O4" s="2281"/>
      <c r="P4" s="2281"/>
      <c r="Q4" s="2281"/>
      <c r="R4" s="2281"/>
      <c r="S4" s="2283"/>
      <c r="T4" s="2286" t="str">
        <f>'数据-汇总表'!I17</f>
        <v>按面积比例</v>
      </c>
      <c r="U4" s="2280" t="s">
        <v>1968</v>
      </c>
      <c r="V4" s="2281"/>
      <c r="W4" s="2281"/>
      <c r="X4" s="2281"/>
      <c r="Y4" s="2283"/>
      <c r="Z4" s="2243" t="s">
        <v>1969</v>
      </c>
      <c r="AA4" s="2243"/>
      <c r="AB4" s="2243"/>
      <c r="AC4" s="2243"/>
      <c r="AD4" s="2243"/>
      <c r="AE4" s="2241" t="s">
        <v>1970</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4" customFormat="1" ht="42">
      <c r="A5" s="2288" t="s">
        <v>1971</v>
      </c>
      <c r="B5" s="2289" t="s">
        <v>1972</v>
      </c>
      <c r="C5" s="2290" t="s">
        <v>1973</v>
      </c>
      <c r="D5" s="2291" t="s">
        <v>1974</v>
      </c>
      <c r="E5" s="1270" t="s">
        <v>1975</v>
      </c>
      <c r="F5" s="2292" t="s">
        <v>1976</v>
      </c>
      <c r="G5" s="1270" t="s">
        <v>1977</v>
      </c>
      <c r="H5" s="1270" t="s">
        <v>1978</v>
      </c>
      <c r="I5" s="1270" t="s">
        <v>1979</v>
      </c>
      <c r="J5" s="2293" t="s">
        <v>1980</v>
      </c>
      <c r="K5" s="2294" t="s">
        <v>1981</v>
      </c>
      <c r="L5" s="2295" t="s">
        <v>1982</v>
      </c>
      <c r="M5" s="2296" t="s">
        <v>1983</v>
      </c>
      <c r="N5" s="2297" t="s">
        <v>3092</v>
      </c>
      <c r="O5" s="2295" t="s">
        <v>1984</v>
      </c>
      <c r="P5" s="2298" t="s">
        <v>1985</v>
      </c>
      <c r="Q5" s="69" t="s">
        <v>1986</v>
      </c>
      <c r="R5" s="2299" t="s">
        <v>1987</v>
      </c>
      <c r="S5" s="2300" t="s">
        <v>1988</v>
      </c>
      <c r="T5" s="2301" t="s">
        <v>1989</v>
      </c>
      <c r="U5" s="1269" t="s">
        <v>1990</v>
      </c>
      <c r="V5" s="1270" t="s">
        <v>1991</v>
      </c>
      <c r="W5" s="1270" t="s">
        <v>1992</v>
      </c>
      <c r="X5" s="71"/>
      <c r="Y5" s="70" t="s">
        <v>1993</v>
      </c>
      <c r="Z5" s="2302" t="s">
        <v>1990</v>
      </c>
      <c r="AA5" s="1270" t="s">
        <v>1991</v>
      </c>
      <c r="AB5" s="1270" t="s">
        <v>1992</v>
      </c>
      <c r="AC5" s="71"/>
      <c r="AD5" s="71" t="s">
        <v>1993</v>
      </c>
      <c r="AE5" s="1269" t="s">
        <v>1994</v>
      </c>
      <c r="AF5" s="1270" t="s">
        <v>1995</v>
      </c>
      <c r="AG5" s="70" t="s">
        <v>1996</v>
      </c>
      <c r="AH5" s="1269" t="s">
        <v>1997</v>
      </c>
      <c r="AI5" s="2302" t="s">
        <v>1998</v>
      </c>
      <c r="AJ5" s="2302" t="s">
        <v>1999</v>
      </c>
      <c r="AK5" s="1270" t="s">
        <v>2000</v>
      </c>
      <c r="AL5" s="1270" t="s">
        <v>2001</v>
      </c>
      <c r="AM5" s="70" t="s">
        <v>2002</v>
      </c>
      <c r="AN5" s="2303" t="s">
        <v>2003</v>
      </c>
      <c r="AO5" s="2073" t="s">
        <v>2004</v>
      </c>
      <c r="AP5" s="1251" t="s">
        <v>2005</v>
      </c>
      <c r="AQ5" s="2304" t="s">
        <v>2006</v>
      </c>
      <c r="AR5" s="2304" t="s">
        <v>2007</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3" customFormat="1" ht="14.25">
      <c r="A6" s="2305" t="str">
        <f>'数据-汇总表'!C19</f>
        <v>商业1层</v>
      </c>
      <c r="B6" s="2306" t="str">
        <f>IF(A6=0,"","经营性")</f>
        <v>经营性</v>
      </c>
      <c r="C6" s="2307" t="s">
        <v>1377</v>
      </c>
      <c r="D6" s="1053">
        <f>SUMIF(项目基本情况!D$12:I$12,C6,项目基本情况!D$14:I$14)</f>
        <v>40</v>
      </c>
      <c r="E6" s="1050">
        <f>IF(B6="","",SUMIF(项目基本情况!D$12:I$12,C6,项目基本情况!D$13:I$13))</f>
        <v>56482</v>
      </c>
      <c r="F6" s="72">
        <f>SUMIF(项目基本情况!D$12:I$12,C6,项目基本情况!D$15:I$15)</f>
        <v>36.049999999999997</v>
      </c>
      <c r="G6" s="73">
        <f>IF(ISERROR(ROUND(POWER(1+H6,D6-F6)*(POWER(1+H6,F6)-1)/(POWER(1+H6,D6)-1),3)),0,ROUND(POWER(1+H6,D6-F6)*(POWER(1+H6,F6)-1)/(POWER(1+H6,D6)-1),3))</f>
        <v>0.96499999999999997</v>
      </c>
      <c r="H6" s="801">
        <v>0.05</v>
      </c>
      <c r="I6" s="801">
        <v>0.06</v>
      </c>
      <c r="J6" s="74">
        <v>8.5000000000000006E-2</v>
      </c>
      <c r="K6" s="1253">
        <f>SUMIF('数据-汇总表'!C$19:C$33,A6,'数据-汇总表'!E$19:E$33)</f>
        <v>1380.28</v>
      </c>
      <c r="L6" s="802">
        <v>3500</v>
      </c>
      <c r="M6" s="75">
        <f t="shared" ref="M6:M14" si="0">ROUND(K6*L6/10000,0)</f>
        <v>483</v>
      </c>
      <c r="N6" s="800">
        <f>ROUND(1-(2018-收益法!J49)/60,2)</f>
        <v>0.98</v>
      </c>
      <c r="O6" s="75" t="str">
        <f>IF($N$5="成新度","——",ROUND(M6*N6,0))</f>
        <v>——</v>
      </c>
      <c r="P6" s="76" t="str">
        <f>IF($N$5="成新度","——",M6-O6)</f>
        <v>——</v>
      </c>
      <c r="Q6" s="803">
        <v>0.2</v>
      </c>
      <c r="R6" s="77">
        <f ca="1">SUMIF('数据-汇总表'!C$19:C$33,A6,'数据-汇总表'!R$19:R$27)</f>
        <v>6332.52</v>
      </c>
      <c r="S6" s="54">
        <f>IF('数据-汇总表'!$I$17="按面积比例",SUMIF('数据-汇总表'!C$19:C$33,A6,'数据-汇总表'!K$19:K$33),SUMIF('数据-汇总表'!C$19:C$33,A6,'数据-汇总表'!N$19:N$33))</f>
        <v>0</v>
      </c>
      <c r="T6" s="1445">
        <f>ROUND($L$14*S6/10000,0)</f>
        <v>0</v>
      </c>
      <c r="U6" s="78">
        <v>4.5</v>
      </c>
      <c r="V6" s="79">
        <v>0.03</v>
      </c>
      <c r="W6" s="79">
        <v>0.1</v>
      </c>
      <c r="X6" s="1263"/>
      <c r="Y6" s="80">
        <f>N6</f>
        <v>0.98</v>
      </c>
      <c r="Z6" s="81"/>
      <c r="AA6" s="74"/>
      <c r="AB6" s="74"/>
      <c r="AC6" s="1263"/>
      <c r="AD6" s="82"/>
      <c r="AE6" s="1264">
        <f ca="1">IF(AN6="",0,SUMIF(INDIRECT("'"&amp;AN6&amp;"'"&amp;"!E:E"),$AE$5,INDIRECT("'"&amp;AN6&amp;"'"&amp;"!F:F")))</f>
        <v>36.049999999999997</v>
      </c>
      <c r="AF6" s="1806"/>
      <c r="AG6" s="147">
        <f>IF(AF6="",0,AE6-AF6)</f>
        <v>0</v>
      </c>
      <c r="AH6" s="83"/>
      <c r="AI6" s="85">
        <v>365</v>
      </c>
      <c r="AJ6" s="86"/>
      <c r="AK6" s="87">
        <v>1.4999999999999999E-2</v>
      </c>
      <c r="AL6" s="88">
        <v>1.5E-3</v>
      </c>
      <c r="AM6" s="89">
        <v>0.01</v>
      </c>
      <c r="AN6" s="2308" t="s">
        <v>3096</v>
      </c>
      <c r="AO6" s="55">
        <f ca="1">SUMIF(INDIRECT("'"&amp;AN6&amp;"'"&amp;"!A:A"),"总价",INDIRECT("'"&amp;AN6&amp;"'"&amp;"!B:B"))</f>
        <v>3151</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3" customFormat="1" ht="14.25">
      <c r="A7" s="2305">
        <f>'数据-汇总表'!C20</f>
        <v>0</v>
      </c>
      <c r="B7" s="2306" t="str">
        <f t="shared" ref="B7:B13" si="1">IF(A7=0,"","经营性")</f>
        <v/>
      </c>
      <c r="C7" s="2307"/>
      <c r="D7" s="1053">
        <f>SUMIF(项目基本情况!D$12:I$12,C7,项目基本情况!D$14:I$14)</f>
        <v>0</v>
      </c>
      <c r="E7" s="1050"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3">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c r="V7" s="79"/>
      <c r="W7" s="79"/>
      <c r="X7" s="1263"/>
      <c r="Y7" s="80"/>
      <c r="Z7" s="81"/>
      <c r="AA7" s="74"/>
      <c r="AB7" s="74"/>
      <c r="AC7" s="1263"/>
      <c r="AD7" s="82"/>
      <c r="AE7" s="1264">
        <f t="shared" ref="AE7:AE13" ca="1" si="6">IF(AN7="",0,SUMIF(INDIRECT("'"&amp;AN7&amp;"'"&amp;"!E:E"),$AE$5,INDIRECT("'"&amp;AN7&amp;"'"&amp;"!F:F")))</f>
        <v>0</v>
      </c>
      <c r="AF7" s="1806"/>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3" customFormat="1" ht="14.25">
      <c r="A8" s="2305">
        <f>'数据-汇总表'!C21</f>
        <v>0</v>
      </c>
      <c r="B8" s="2306" t="str">
        <f t="shared" si="1"/>
        <v/>
      </c>
      <c r="C8" s="2307"/>
      <c r="D8" s="1053">
        <f>SUMIF(项目基本情况!D$12:I$12,C8,项目基本情况!D$14:I$14)</f>
        <v>0</v>
      </c>
      <c r="E8" s="1050" t="str">
        <f>IF(B8="","",SUMIF(项目基本情况!D$12:I$12,C8,项目基本情况!D$13:I$13))</f>
        <v/>
      </c>
      <c r="F8" s="72">
        <f>SUMIF(项目基本情况!D$12:I$12,C8,项目基本情况!D$15:I$15)</f>
        <v>0</v>
      </c>
      <c r="G8" s="73">
        <f t="shared" si="2"/>
        <v>0</v>
      </c>
      <c r="H8" s="801"/>
      <c r="I8" s="801"/>
      <c r="J8" s="74"/>
      <c r="K8" s="1253">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5">
        <f t="shared" si="5"/>
        <v>0</v>
      </c>
      <c r="U8" s="804"/>
      <c r="V8" s="805"/>
      <c r="W8" s="805"/>
      <c r="X8" s="1263"/>
      <c r="Y8" s="806"/>
      <c r="Z8" s="81"/>
      <c r="AA8" s="74"/>
      <c r="AB8" s="74"/>
      <c r="AC8" s="1263"/>
      <c r="AD8" s="82"/>
      <c r="AE8" s="1264">
        <f t="shared" ca="1" si="6"/>
        <v>0</v>
      </c>
      <c r="AF8" s="1806"/>
      <c r="AG8" s="147">
        <f t="shared" si="7"/>
        <v>0</v>
      </c>
      <c r="AH8" s="807"/>
      <c r="AI8" s="85"/>
      <c r="AJ8" s="86"/>
      <c r="AK8" s="808"/>
      <c r="AL8" s="809"/>
      <c r="AM8" s="810"/>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3" customFormat="1" ht="14.25">
      <c r="A9" s="2305">
        <f>'数据-汇总表'!C22</f>
        <v>0</v>
      </c>
      <c r="B9" s="2306" t="str">
        <f t="shared" si="1"/>
        <v/>
      </c>
      <c r="C9" s="2307"/>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6"/>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3" customFormat="1" ht="14.25">
      <c r="A10" s="2305">
        <f>'数据-汇总表'!C23</f>
        <v>0</v>
      </c>
      <c r="B10" s="2306" t="str">
        <f t="shared" si="1"/>
        <v/>
      </c>
      <c r="C10" s="2307"/>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6"/>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3" customFormat="1" ht="14.25">
      <c r="A11" s="2305">
        <f>'数据-汇总表'!C24</f>
        <v>0</v>
      </c>
      <c r="B11" s="2306" t="str">
        <f t="shared" si="1"/>
        <v/>
      </c>
      <c r="C11" s="2307"/>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6"/>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3" customFormat="1" ht="14.25">
      <c r="A12" s="2305">
        <f>'数据-汇总表'!C25</f>
        <v>0</v>
      </c>
      <c r="B12" s="2306" t="str">
        <f t="shared" si="1"/>
        <v/>
      </c>
      <c r="C12" s="2307"/>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6"/>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3" customFormat="1" ht="14.25">
      <c r="A13" s="2305">
        <f>'数据-汇总表'!C26</f>
        <v>0</v>
      </c>
      <c r="B13" s="2306" t="str">
        <f t="shared" si="1"/>
        <v/>
      </c>
      <c r="C13" s="2307"/>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6"/>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3" customFormat="1" ht="14.25">
      <c r="A14" s="2310" t="s">
        <v>2008</v>
      </c>
      <c r="B14" s="2306" t="s">
        <v>2009</v>
      </c>
      <c r="C14" s="2311" t="s">
        <v>2008</v>
      </c>
      <c r="D14" s="1053"/>
      <c r="E14" s="1050"/>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2"/>
      <c r="V14" s="1258"/>
      <c r="W14" s="1258"/>
      <c r="X14" s="1259"/>
      <c r="Y14" s="1260"/>
      <c r="Z14" s="1261"/>
      <c r="AA14" s="1262"/>
      <c r="AB14" s="1262"/>
      <c r="AC14" s="1263"/>
      <c r="AD14" s="1259"/>
      <c r="AE14" s="1264"/>
      <c r="AF14" s="55"/>
      <c r="AG14" s="147"/>
      <c r="AH14" s="1264"/>
      <c r="AI14" s="1817"/>
      <c r="AJ14" s="772"/>
      <c r="AK14" s="1265"/>
      <c r="AL14" s="1266"/>
      <c r="AM14" s="1267"/>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3" customFormat="1" ht="27">
      <c r="A15" s="2310" t="s">
        <v>2010</v>
      </c>
      <c r="B15" s="2306" t="s">
        <v>2009</v>
      </c>
      <c r="C15" s="2311" t="s">
        <v>2011</v>
      </c>
      <c r="D15" s="1053"/>
      <c r="E15" s="1050"/>
      <c r="F15" s="72"/>
      <c r="G15" s="73"/>
      <c r="H15" s="1252"/>
      <c r="I15" s="1252"/>
      <c r="J15" s="1252"/>
      <c r="K15" s="1253">
        <f>SUMIF('数据-汇总表'!C$19:C$33,A15,'数据-汇总表'!E$19:E$33)</f>
        <v>0</v>
      </c>
      <c r="L15" s="1254"/>
      <c r="M15" s="75"/>
      <c r="N15" s="1255"/>
      <c r="O15" s="75"/>
      <c r="P15" s="76"/>
      <c r="Q15" s="1256"/>
      <c r="R15" s="77"/>
      <c r="S15" s="54"/>
      <c r="T15" s="1445"/>
      <c r="U15" s="722"/>
      <c r="V15" s="1258"/>
      <c r="W15" s="1258"/>
      <c r="X15" s="1259"/>
      <c r="Y15" s="1260"/>
      <c r="Z15" s="1261"/>
      <c r="AA15" s="1262"/>
      <c r="AB15" s="1262"/>
      <c r="AC15" s="1263"/>
      <c r="AD15" s="1259"/>
      <c r="AE15" s="1264"/>
      <c r="AF15" s="55"/>
      <c r="AG15" s="147"/>
      <c r="AH15" s="1264"/>
      <c r="AI15" s="1817"/>
      <c r="AJ15" s="772"/>
      <c r="AK15" s="1265"/>
      <c r="AL15" s="1266"/>
      <c r="AM15" s="1267"/>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3" customFormat="1" ht="15.75" thickBot="1">
      <c r="A16" s="2312" t="s">
        <v>2012</v>
      </c>
      <c r="B16" s="97"/>
      <c r="C16" s="1007"/>
      <c r="D16" s="2313"/>
      <c r="E16" s="97"/>
      <c r="F16" s="97"/>
      <c r="G16" s="98">
        <f>ROUND(SUMPRODUCT(G6:G13,K6:K13)/SUMPRODUCT((G6:G13&gt;0)*(K6:K13)),3)</f>
        <v>0.96499999999999997</v>
      </c>
      <c r="H16" s="99">
        <f>ROUND(SUMPRODUCT(H6:H13,K6:K13)/SUMPRODUCT((H6:H13&gt;0)*(K6:K13)),3)</f>
        <v>0.05</v>
      </c>
      <c r="I16" s="100"/>
      <c r="J16" s="100"/>
      <c r="K16" s="101">
        <f>SUM(K6:K15)</f>
        <v>1380.28</v>
      </c>
      <c r="L16" s="102">
        <f>ROUND(M16*10000/SUM(K6:K14),0)</f>
        <v>3499</v>
      </c>
      <c r="M16" s="102">
        <f>SUM(M6:M14)</f>
        <v>483</v>
      </c>
      <c r="N16" s="103">
        <f>ROUND(SUMPRODUCT(M6:M14,N6:N14)/M16,3)</f>
        <v>0.98</v>
      </c>
      <c r="O16" s="102">
        <f>SUM(O6:O14)</f>
        <v>0</v>
      </c>
      <c r="P16" s="102">
        <f>SUM(P6:P14)</f>
        <v>0</v>
      </c>
      <c r="Q16" s="104">
        <f>ROUND(SUMPRODUCT(Q6:Q13,K6:K13)/SUMPRODUCT((Q6:Q13&gt;0)*(K6:K13)),2)</f>
        <v>0.2</v>
      </c>
      <c r="R16" s="1257">
        <f ca="1">SUM(R6:R13)</f>
        <v>6332.52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1"/>
      <c r="C17" s="1583"/>
      <c r="D17" s="2272"/>
      <c r="E17" s="2272"/>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2013</v>
      </c>
      <c r="B18" s="2279"/>
      <c r="C18" s="2276"/>
      <c r="D18" s="2277"/>
      <c r="E18" s="2276"/>
      <c r="F18" s="2276"/>
      <c r="G18" s="2276"/>
      <c r="H18" s="2276"/>
      <c r="I18" s="2276"/>
      <c r="J18" s="2276"/>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5" t="s">
        <v>2014</v>
      </c>
      <c r="B19" s="112">
        <v>0</v>
      </c>
      <c r="C19" s="2276" t="s">
        <v>2015</v>
      </c>
      <c r="D19" s="2277"/>
      <c r="E19" s="2276"/>
      <c r="F19" s="2276"/>
      <c r="G19" s="2276"/>
      <c r="H19" s="2276"/>
      <c r="I19" s="2276"/>
      <c r="J19" s="2276"/>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6" t="s">
        <v>2016</v>
      </c>
      <c r="B20" s="113">
        <v>1</v>
      </c>
      <c r="C20" s="2276" t="s">
        <v>2017</v>
      </c>
      <c r="D20" s="2277"/>
      <c r="E20" s="2276"/>
      <c r="F20" s="2276"/>
      <c r="G20" s="2276"/>
      <c r="H20" s="2276"/>
      <c r="I20" s="2276"/>
      <c r="J20" s="2276"/>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7" t="s">
        <v>2018</v>
      </c>
      <c r="B21" s="113">
        <v>1</v>
      </c>
      <c r="C21" s="2276"/>
      <c r="D21" s="2277"/>
      <c r="E21" s="2276"/>
      <c r="F21" s="2276"/>
      <c r="G21" s="2276"/>
      <c r="H21" s="2276"/>
      <c r="I21" s="2276"/>
      <c r="J21" s="2276"/>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6" t="s">
        <v>2019</v>
      </c>
      <c r="B22" s="114">
        <f>B19+B20</f>
        <v>1</v>
      </c>
      <c r="C22" s="2276"/>
      <c r="D22" s="2277"/>
      <c r="E22" s="2276"/>
      <c r="F22" s="2276"/>
      <c r="G22" s="2276"/>
      <c r="H22" s="2276"/>
      <c r="I22" s="2276"/>
      <c r="J22" s="2276"/>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7" t="s">
        <v>2020</v>
      </c>
      <c r="B23" s="114">
        <f>B19+B21</f>
        <v>1</v>
      </c>
      <c r="C23" s="2276"/>
      <c r="D23" s="2277"/>
      <c r="E23" s="2276"/>
      <c r="F23" s="2276"/>
      <c r="G23" s="2276"/>
      <c r="H23" s="2276"/>
      <c r="I23" s="2276"/>
      <c r="J23" s="2276"/>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8" t="s">
        <v>2021</v>
      </c>
      <c r="B24" s="115">
        <f>B20-B21</f>
        <v>0</v>
      </c>
      <c r="C24" s="2276"/>
      <c r="D24" s="2277"/>
      <c r="E24" s="2276"/>
      <c r="F24" s="2276"/>
      <c r="G24" s="2276"/>
      <c r="H24" s="2276"/>
      <c r="I24" s="2276"/>
      <c r="J24" s="2276"/>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9"/>
      <c r="C25" s="2276"/>
      <c r="D25" s="2277"/>
      <c r="E25" s="2276"/>
      <c r="F25" s="2276"/>
      <c r="G25" s="2276"/>
      <c r="H25" s="2276"/>
      <c r="I25" s="2276"/>
      <c r="J25" s="2276"/>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5" t="s">
        <v>2022</v>
      </c>
      <c r="B26" s="2319" t="s">
        <v>2023</v>
      </c>
      <c r="C26" s="2320" t="s">
        <v>2024</v>
      </c>
      <c r="D26" s="2277"/>
      <c r="E26" s="2276"/>
      <c r="F26" s="2276"/>
      <c r="G26" s="2276"/>
      <c r="H26" s="2276"/>
      <c r="I26" s="2276"/>
      <c r="J26" s="2276"/>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3" customFormat="1" ht="27.75">
      <c r="A27" s="2321" t="s">
        <v>2025</v>
      </c>
      <c r="B27" s="116">
        <v>92</v>
      </c>
      <c r="C27" s="1766" t="s">
        <v>2026</v>
      </c>
      <c r="D27" s="2322"/>
      <c r="E27" s="1429"/>
      <c r="F27" s="1429"/>
      <c r="G27" s="2276"/>
      <c r="H27" s="2276"/>
      <c r="I27" s="2276"/>
      <c r="J27" s="2276"/>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3" customFormat="1" ht="27.75">
      <c r="A28" s="2324" t="s">
        <v>2027</v>
      </c>
      <c r="B28" s="119">
        <v>92</v>
      </c>
      <c r="C28" s="2325"/>
      <c r="D28" s="2322"/>
      <c r="E28" s="1429"/>
      <c r="F28" s="1429"/>
      <c r="G28" s="2276"/>
      <c r="H28" s="2276"/>
      <c r="I28" s="2276"/>
      <c r="J28" s="2276"/>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3" customFormat="1" ht="28.5" thickBot="1">
      <c r="A29" s="2326" t="s">
        <v>2028</v>
      </c>
      <c r="B29" s="121">
        <f ca="1">成本法!C10+成本法!C9</f>
        <v>13</v>
      </c>
      <c r="C29" s="1766" t="s">
        <v>2029</v>
      </c>
      <c r="D29" s="2322"/>
      <c r="E29" s="1429"/>
      <c r="F29" s="1429"/>
      <c r="G29" s="2276"/>
      <c r="H29" s="2276"/>
      <c r="I29" s="2276"/>
      <c r="J29" s="2276"/>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3" customFormat="1" ht="27">
      <c r="A30" s="2327" t="s">
        <v>2030</v>
      </c>
      <c r="B30" s="723">
        <v>200</v>
      </c>
      <c r="C30" s="2325"/>
      <c r="D30" s="2322"/>
      <c r="E30" s="1429"/>
      <c r="F30" s="1429"/>
      <c r="G30" s="2276"/>
      <c r="H30" s="2276"/>
      <c r="I30" s="2276"/>
      <c r="J30" s="2276"/>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3" customFormat="1" ht="27">
      <c r="A31" s="2324" t="s">
        <v>2031</v>
      </c>
      <c r="B31" s="120">
        <f>B30-B32</f>
        <v>200</v>
      </c>
      <c r="C31" s="1766"/>
      <c r="D31" s="2322"/>
      <c r="E31" s="1429"/>
      <c r="F31" s="1429"/>
      <c r="G31" s="2276"/>
      <c r="H31" s="2276"/>
      <c r="I31" s="2276"/>
      <c r="J31" s="2276"/>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3" customFormat="1" ht="27.75" thickBot="1">
      <c r="A32" s="2328" t="s">
        <v>2032</v>
      </c>
      <c r="B32" s="724">
        <v>0</v>
      </c>
      <c r="C32" s="2325"/>
      <c r="D32" s="2277"/>
      <c r="E32" s="2276"/>
      <c r="F32" s="2276"/>
      <c r="G32" s="2276"/>
      <c r="H32" s="2276"/>
      <c r="I32" s="2276"/>
      <c r="J32" s="2276"/>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3" customFormat="1" ht="14.25">
      <c r="A33" s="2321" t="s">
        <v>2033</v>
      </c>
      <c r="B33" s="725">
        <v>0.03</v>
      </c>
      <c r="C33" s="1765" t="s">
        <v>2034</v>
      </c>
      <c r="D33" s="2277"/>
      <c r="E33" s="2276"/>
      <c r="F33" s="2276"/>
      <c r="G33" s="2276"/>
      <c r="H33" s="2276"/>
      <c r="I33" s="2276"/>
      <c r="J33" s="2276"/>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3" customFormat="1" ht="14.25">
      <c r="A34" s="2324" t="s">
        <v>2035</v>
      </c>
      <c r="B34" s="122">
        <v>0</v>
      </c>
      <c r="C34" s="1765" t="s">
        <v>2036</v>
      </c>
      <c r="D34" s="2277" t="s">
        <v>2037</v>
      </c>
      <c r="E34" s="731"/>
      <c r="F34" s="2276"/>
      <c r="G34" s="2276"/>
      <c r="H34" s="2276"/>
      <c r="I34" s="2276"/>
      <c r="J34" s="2276"/>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3" customFormat="1" ht="14.25">
      <c r="A35" s="2324" t="s">
        <v>2038</v>
      </c>
      <c r="B35" s="119">
        <v>200</v>
      </c>
      <c r="C35" s="1765" t="s">
        <v>2039</v>
      </c>
      <c r="D35" s="2322"/>
      <c r="E35" s="1429"/>
      <c r="F35" s="1429"/>
      <c r="G35" s="2276"/>
      <c r="H35" s="2276"/>
      <c r="I35" s="2276"/>
      <c r="J35" s="2276"/>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6" t="s">
        <v>2040</v>
      </c>
      <c r="B36" s="123">
        <v>1.4999999999999999E-2</v>
      </c>
      <c r="C36" s="1765" t="s">
        <v>2041</v>
      </c>
      <c r="D36" s="2277"/>
      <c r="E36" s="2276"/>
      <c r="F36" s="2276"/>
      <c r="G36" s="2276"/>
      <c r="H36" s="2276"/>
      <c r="I36" s="2276"/>
      <c r="J36" s="2276"/>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7" t="s">
        <v>2042</v>
      </c>
      <c r="B37" s="124">
        <v>0.02</v>
      </c>
      <c r="C37" s="1765" t="s">
        <v>2043</v>
      </c>
      <c r="D37" s="2277"/>
      <c r="E37" s="2276"/>
      <c r="F37" s="2276"/>
      <c r="G37" s="2276"/>
      <c r="H37" s="2276"/>
      <c r="I37" s="2276"/>
      <c r="J37" s="2276"/>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4" t="s">
        <v>2044</v>
      </c>
      <c r="B38" s="2986">
        <v>0.02</v>
      </c>
      <c r="C38" s="1765" t="s">
        <v>2043</v>
      </c>
      <c r="D38" s="2277"/>
      <c r="E38" s="2276"/>
      <c r="F38" s="2276"/>
      <c r="G38" s="2276"/>
      <c r="H38" s="2276"/>
      <c r="I38" s="2276"/>
      <c r="J38" s="2276"/>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8" t="s">
        <v>2045</v>
      </c>
      <c r="B39" s="362">
        <f ca="1">存贷款利率!I1</f>
        <v>1.4999999999999999E-2</v>
      </c>
      <c r="C39" s="1765"/>
      <c r="D39" s="2277"/>
      <c r="E39" s="2276"/>
      <c r="F39" s="2276"/>
      <c r="G39" s="2276"/>
      <c r="H39" s="2276"/>
      <c r="I39" s="2276"/>
      <c r="J39" s="2276"/>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8" t="s">
        <v>2046</v>
      </c>
      <c r="B40" s="1302">
        <f ca="1">存贷款利率!G1</f>
        <v>4.3499999999999997E-2</v>
      </c>
      <c r="C40" s="1765" t="s">
        <v>2047</v>
      </c>
      <c r="D40" s="1583"/>
      <c r="E40" s="2277"/>
      <c r="F40" s="2276"/>
      <c r="G40" s="2276"/>
      <c r="H40" s="2276"/>
      <c r="I40" s="2276"/>
      <c r="J40" s="2276"/>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1" t="s">
        <v>2048</v>
      </c>
      <c r="B41" s="125">
        <f>B42+B43</f>
        <v>5.6000000000000001E-2</v>
      </c>
      <c r="C41" s="1766"/>
      <c r="D41" s="1583"/>
      <c r="E41" s="2277"/>
      <c r="F41" s="2276"/>
      <c r="G41" s="2276"/>
      <c r="H41" s="2276"/>
      <c r="I41" s="2276"/>
      <c r="J41" s="2276"/>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9" t="s">
        <v>2049</v>
      </c>
      <c r="B42" s="126">
        <v>0.05</v>
      </c>
      <c r="C42" s="2330">
        <f>IF(B2&lt;DATE(2016,5,1),0,B42)</f>
        <v>0.05</v>
      </c>
      <c r="D42" s="2277"/>
      <c r="E42" s="2276"/>
      <c r="F42" s="2276"/>
      <c r="G42" s="2276"/>
      <c r="H42" s="2276"/>
      <c r="I42" s="2276"/>
      <c r="J42" s="2276"/>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9" t="s">
        <v>2050</v>
      </c>
      <c r="B43" s="127">
        <f>B42*(B44+B45+B46)+B47</f>
        <v>6.000000000000001E-3</v>
      </c>
      <c r="C43" s="1766"/>
      <c r="D43" s="2277"/>
      <c r="E43" s="2276"/>
      <c r="F43" s="2276"/>
      <c r="G43" s="2276"/>
      <c r="H43" s="2276"/>
      <c r="I43" s="2276"/>
      <c r="J43" s="2276"/>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1" t="s">
        <v>2051</v>
      </c>
      <c r="B44" s="128">
        <v>7.0000000000000007E-2</v>
      </c>
      <c r="C44" s="1765" t="s">
        <v>2052</v>
      </c>
      <c r="D44" s="2277"/>
      <c r="E44" s="2276"/>
      <c r="F44" s="2276"/>
      <c r="G44" s="2276"/>
      <c r="H44" s="2276"/>
      <c r="I44" s="2276"/>
      <c r="J44" s="2276"/>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1" t="s">
        <v>2053</v>
      </c>
      <c r="B45" s="126">
        <v>0.03</v>
      </c>
      <c r="C45" s="1766" t="s">
        <v>2054</v>
      </c>
      <c r="D45" s="2277"/>
      <c r="E45" s="2276"/>
      <c r="F45" s="2276"/>
      <c r="G45" s="2276"/>
      <c r="H45" s="2276"/>
      <c r="I45" s="2276"/>
      <c r="J45" s="2276"/>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1" t="s">
        <v>2055</v>
      </c>
      <c r="B46" s="126">
        <v>0.02</v>
      </c>
      <c r="C46" s="1766" t="s">
        <v>2056</v>
      </c>
      <c r="D46" s="2277"/>
      <c r="E46" s="2276"/>
      <c r="F46" s="2276"/>
      <c r="G46" s="2276"/>
      <c r="H46" s="2276"/>
      <c r="I46" s="2276"/>
      <c r="J46" s="2276"/>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2" t="s">
        <v>2057</v>
      </c>
      <c r="B47" s="129">
        <v>0</v>
      </c>
      <c r="C47" s="1766" t="s">
        <v>2058</v>
      </c>
      <c r="D47" s="2277"/>
      <c r="E47" s="2276"/>
      <c r="F47" s="2276"/>
      <c r="G47" s="2276"/>
      <c r="H47" s="2276"/>
      <c r="I47" s="2276"/>
      <c r="J47" s="2276"/>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3" t="s">
        <v>2059</v>
      </c>
      <c r="B48" s="130">
        <v>0.04</v>
      </c>
      <c r="C48" s="1773" t="s">
        <v>2060</v>
      </c>
      <c r="D48" s="2277"/>
      <c r="E48" s="2276"/>
      <c r="F48" s="2276"/>
      <c r="G48" s="2276"/>
      <c r="H48" s="2276"/>
      <c r="I48" s="2276"/>
      <c r="J48" s="2276"/>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8" t="s">
        <v>2061</v>
      </c>
      <c r="B49" s="126">
        <v>5.0000000000000001E-4</v>
      </c>
      <c r="C49" s="1773" t="s">
        <v>2062</v>
      </c>
      <c r="D49" s="2277"/>
      <c r="E49" s="2276"/>
      <c r="F49" s="2276"/>
      <c r="G49" s="2276"/>
      <c r="H49" s="2276"/>
      <c r="I49" s="2276"/>
      <c r="J49" s="2276"/>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4" t="s">
        <v>2063</v>
      </c>
      <c r="B50" s="131">
        <v>1.2E-2</v>
      </c>
      <c r="C50" s="1429"/>
      <c r="D50" s="2277"/>
      <c r="E50" s="2276"/>
      <c r="F50" s="2276"/>
      <c r="G50" s="2276"/>
      <c r="H50" s="2276"/>
      <c r="I50" s="2276"/>
      <c r="J50" s="2276"/>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6" t="s">
        <v>2064</v>
      </c>
      <c r="B51" s="132">
        <v>0.12</v>
      </c>
      <c r="C51" s="1429"/>
      <c r="D51" s="2277"/>
      <c r="E51" s="2276"/>
      <c r="F51" s="2276"/>
      <c r="G51" s="2276"/>
      <c r="H51" s="2276"/>
      <c r="I51" s="2276"/>
      <c r="J51" s="2276"/>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4" t="s">
        <v>2065</v>
      </c>
      <c r="B52" s="133">
        <f>SUMIF(A54:A63,B53,B54:B63)</f>
        <v>15</v>
      </c>
      <c r="C52" s="1429"/>
      <c r="D52" s="2277"/>
      <c r="E52" s="2276"/>
      <c r="F52" s="2276"/>
      <c r="G52" s="2276"/>
      <c r="H52" s="2276"/>
      <c r="I52" s="2276"/>
      <c r="J52" s="2276"/>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4" t="s">
        <v>2066</v>
      </c>
      <c r="B53" s="2335" t="s">
        <v>212</v>
      </c>
      <c r="C53" s="1429" t="s">
        <v>2067</v>
      </c>
      <c r="D53" s="2336" t="s">
        <v>2068</v>
      </c>
      <c r="E53" s="2276"/>
      <c r="F53" s="2276"/>
      <c r="G53" s="2276"/>
      <c r="H53" s="2276"/>
      <c r="I53" s="2276"/>
      <c r="J53" s="2276"/>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7" t="s">
        <v>2069</v>
      </c>
      <c r="B54" s="84">
        <v>15</v>
      </c>
      <c r="C54" s="1429">
        <v>30</v>
      </c>
      <c r="D54" s="2277"/>
      <c r="E54" s="2276"/>
      <c r="F54" s="2276"/>
      <c r="G54" s="2276"/>
      <c r="H54" s="2276"/>
      <c r="I54" s="2276"/>
      <c r="J54" s="2276"/>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7" t="s">
        <v>2070</v>
      </c>
      <c r="B55" s="84"/>
      <c r="C55" s="1429">
        <v>24</v>
      </c>
      <c r="D55" s="2277"/>
      <c r="E55" s="2276"/>
      <c r="F55" s="2276"/>
      <c r="G55" s="2276"/>
      <c r="H55" s="2276"/>
      <c r="I55" s="2338"/>
      <c r="J55" s="2276"/>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7" t="s">
        <v>2071</v>
      </c>
      <c r="B56" s="84"/>
      <c r="C56" s="1429">
        <v>18</v>
      </c>
      <c r="D56" s="2277"/>
      <c r="E56" s="2276"/>
      <c r="F56" s="2276"/>
      <c r="G56" s="2276"/>
      <c r="H56" s="2276"/>
      <c r="I56" s="2276"/>
      <c r="J56" s="2276"/>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7" t="s">
        <v>2072</v>
      </c>
      <c r="B57" s="84"/>
      <c r="C57" s="1429">
        <v>12</v>
      </c>
      <c r="D57" s="2277"/>
      <c r="E57" s="2276"/>
      <c r="F57" s="2276"/>
      <c r="G57" s="2276"/>
      <c r="H57" s="2276"/>
      <c r="I57" s="2276"/>
      <c r="J57" s="2276"/>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7" t="s">
        <v>2073</v>
      </c>
      <c r="B58" s="84"/>
      <c r="C58" s="1429">
        <v>3</v>
      </c>
      <c r="D58" s="2277"/>
      <c r="E58" s="2276"/>
      <c r="F58" s="2276"/>
      <c r="G58" s="2276"/>
      <c r="H58" s="2276"/>
      <c r="I58" s="2276"/>
      <c r="J58" s="2276"/>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7" t="s">
        <v>2074</v>
      </c>
      <c r="B59" s="84"/>
      <c r="C59" s="1429">
        <v>1.5</v>
      </c>
      <c r="D59" s="2277"/>
      <c r="E59" s="2276"/>
      <c r="F59" s="2276"/>
      <c r="G59" s="2276"/>
      <c r="H59" s="2276"/>
      <c r="I59" s="2276"/>
      <c r="J59" s="2276"/>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7" t="s">
        <v>2075</v>
      </c>
      <c r="B60" s="84"/>
      <c r="C60" s="2276"/>
      <c r="D60" s="2277"/>
      <c r="E60" s="2276"/>
      <c r="F60" s="2276"/>
      <c r="G60" s="2276"/>
      <c r="H60" s="2276"/>
      <c r="I60" s="2276"/>
      <c r="J60" s="2276"/>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7" t="s">
        <v>2076</v>
      </c>
      <c r="B61" s="84"/>
      <c r="C61" s="2276"/>
      <c r="D61" s="2277"/>
      <c r="E61" s="2276"/>
      <c r="F61" s="2276"/>
      <c r="G61" s="2276"/>
      <c r="H61" s="2276"/>
      <c r="I61" s="2276"/>
      <c r="J61" s="2276"/>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7" t="s">
        <v>2077</v>
      </c>
      <c r="B62" s="84"/>
      <c r="C62" s="2276"/>
      <c r="D62" s="2277"/>
      <c r="E62" s="2276"/>
      <c r="F62" s="2276"/>
      <c r="G62" s="2276"/>
      <c r="H62" s="2276"/>
      <c r="I62" s="2276"/>
      <c r="J62" s="2276"/>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9" t="s">
        <v>2078</v>
      </c>
      <c r="B63" s="134"/>
      <c r="C63" s="2276"/>
      <c r="D63" s="2277"/>
      <c r="E63" s="2276"/>
      <c r="F63" s="2276"/>
      <c r="G63" s="2276"/>
      <c r="H63" s="2276"/>
      <c r="I63" s="2276"/>
      <c r="J63" s="2276"/>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40"/>
      <c r="D64" s="2341"/>
      <c r="K64" s="797"/>
      <c r="L64" s="797"/>
    </row>
    <row r="65" spans="1:12" s="966" customFormat="1">
      <c r="A65" s="2340"/>
      <c r="D65" s="2341"/>
      <c r="K65" s="797"/>
      <c r="L65" s="797"/>
    </row>
    <row r="66" spans="1:12" s="966" customFormat="1">
      <c r="A66" s="2340"/>
      <c r="D66" s="2341"/>
      <c r="K66" s="797"/>
      <c r="L66" s="797"/>
    </row>
    <row r="67" spans="1:12" s="966" customFormat="1">
      <c r="A67" s="2340"/>
      <c r="D67" s="2341"/>
      <c r="K67" s="797"/>
      <c r="L67" s="797"/>
    </row>
    <row r="68" spans="1:12" s="966" customFormat="1">
      <c r="A68" s="2340"/>
      <c r="D68" s="2341"/>
      <c r="K68" s="797"/>
      <c r="L68" s="797"/>
    </row>
    <row r="69" spans="1:12" s="966" customFormat="1">
      <c r="A69" s="2340"/>
      <c r="D69" s="2341"/>
      <c r="K69" s="797"/>
      <c r="L69" s="797"/>
    </row>
    <row r="70" spans="1:12" s="966" customFormat="1">
      <c r="A70" s="2340"/>
      <c r="D70" s="2341"/>
      <c r="K70" s="797"/>
      <c r="L70" s="797"/>
    </row>
    <row r="71" spans="1:12" s="966" customFormat="1">
      <c r="A71" s="2340"/>
      <c r="D71" s="2341"/>
      <c r="K71" s="797"/>
      <c r="L71" s="797"/>
    </row>
    <row r="72" spans="1:12" s="966" customFormat="1">
      <c r="A72" s="2340"/>
      <c r="D72" s="2341"/>
      <c r="K72" s="797"/>
      <c r="L72" s="797"/>
    </row>
    <row r="73" spans="1:12" s="966" customFormat="1">
      <c r="A73" s="2340"/>
      <c r="D73" s="2341"/>
      <c r="K73" s="797"/>
      <c r="L73" s="797"/>
    </row>
    <row r="74" spans="1:12" s="966" customFormat="1">
      <c r="A74" s="2340"/>
      <c r="D74" s="2341"/>
      <c r="K74" s="797"/>
      <c r="L74" s="797"/>
    </row>
    <row r="75" spans="1:12" s="966" customFormat="1">
      <c r="A75" s="2340"/>
      <c r="D75" s="2341"/>
      <c r="K75" s="797"/>
      <c r="L75" s="797"/>
    </row>
    <row r="76" spans="1:12" s="966" customFormat="1">
      <c r="A76" s="2340"/>
      <c r="D76" s="2341"/>
      <c r="K76" s="797"/>
      <c r="L76" s="797"/>
    </row>
    <row r="77" spans="1:12" s="966" customFormat="1">
      <c r="A77" s="2340"/>
      <c r="D77" s="2341"/>
      <c r="K77" s="797"/>
      <c r="L77" s="797"/>
    </row>
    <row r="78" spans="1:12" s="966" customFormat="1">
      <c r="A78" s="2340"/>
      <c r="D78" s="2341"/>
      <c r="K78" s="797"/>
      <c r="L78" s="797"/>
    </row>
    <row r="79" spans="1:12" s="966" customFormat="1">
      <c r="A79" s="2340"/>
      <c r="D79" s="2341"/>
      <c r="K79" s="797"/>
      <c r="L79" s="797"/>
    </row>
    <row r="80" spans="1:12" s="966" customFormat="1">
      <c r="A80" s="2340"/>
      <c r="D80" s="2341"/>
      <c r="K80" s="797"/>
      <c r="L80" s="797"/>
    </row>
    <row r="81" spans="1:12" s="966" customFormat="1">
      <c r="A81" s="2340"/>
      <c r="D81" s="2341"/>
      <c r="K81" s="797"/>
      <c r="L81" s="797"/>
    </row>
    <row r="82" spans="1:12" s="966" customFormat="1">
      <c r="A82" s="2340"/>
      <c r="D82" s="2341"/>
      <c r="K82" s="797"/>
      <c r="L82" s="797"/>
    </row>
    <row r="83" spans="1:12" s="966" customFormat="1">
      <c r="A83" s="2340"/>
      <c r="D83" s="2341"/>
      <c r="K83" s="797"/>
      <c r="L83" s="797"/>
    </row>
    <row r="84" spans="1:12" s="966" customFormat="1">
      <c r="A84" s="2340"/>
      <c r="D84" s="2341"/>
      <c r="K84" s="797"/>
      <c r="L84" s="797"/>
    </row>
    <row r="85" spans="1:12" s="966" customFormat="1">
      <c r="A85" s="2340"/>
      <c r="D85" s="2341"/>
      <c r="K85" s="797"/>
      <c r="L85" s="797"/>
    </row>
    <row r="86" spans="1:12" s="966" customFormat="1">
      <c r="A86" s="2340"/>
      <c r="D86" s="2341"/>
      <c r="K86" s="797"/>
      <c r="L86" s="797"/>
    </row>
    <row r="87" spans="1:12" s="966" customFormat="1">
      <c r="A87" s="2340"/>
      <c r="D87" s="2341"/>
      <c r="K87" s="797"/>
      <c r="L87" s="797"/>
    </row>
    <row r="88" spans="1:12" s="966" customFormat="1">
      <c r="A88" s="2340"/>
      <c r="D88" s="2341"/>
      <c r="K88" s="797"/>
      <c r="L88" s="797"/>
    </row>
    <row r="89" spans="1:12" s="966" customFormat="1">
      <c r="A89" s="2340"/>
      <c r="D89" s="2341"/>
      <c r="K89" s="797"/>
      <c r="L89" s="797"/>
    </row>
    <row r="90" spans="1:12" s="966" customFormat="1">
      <c r="A90" s="2340"/>
      <c r="D90" s="2341"/>
      <c r="K90" s="797"/>
      <c r="L90" s="797"/>
    </row>
    <row r="91" spans="1:12" s="966" customFormat="1">
      <c r="A91" s="2340"/>
      <c r="D91" s="2341"/>
      <c r="K91" s="797"/>
      <c r="L91" s="797"/>
    </row>
    <row r="92" spans="1:12" s="966" customFormat="1">
      <c r="A92" s="2340"/>
      <c r="D92" s="2341"/>
      <c r="K92" s="797"/>
      <c r="L92" s="797"/>
    </row>
    <row r="93" spans="1:12" s="966" customFormat="1">
      <c r="A93" s="2340"/>
      <c r="D93" s="2341"/>
      <c r="K93" s="797"/>
      <c r="L93" s="797"/>
    </row>
    <row r="94" spans="1:12" s="966" customFormat="1">
      <c r="A94" s="2340"/>
      <c r="D94" s="2341"/>
      <c r="K94" s="797"/>
      <c r="L94" s="797"/>
    </row>
    <row r="95" spans="1:12" s="966" customFormat="1">
      <c r="A95" s="2340"/>
      <c r="D95" s="2341"/>
      <c r="K95" s="797"/>
      <c r="L95" s="797"/>
    </row>
    <row r="96" spans="1:12" s="966" customFormat="1">
      <c r="A96" s="2340"/>
      <c r="D96" s="2341"/>
      <c r="K96" s="797"/>
      <c r="L96" s="797"/>
    </row>
    <row r="97" spans="1:12" s="966" customFormat="1">
      <c r="A97" s="2340"/>
      <c r="D97" s="2341"/>
      <c r="K97" s="797"/>
      <c r="L97" s="797"/>
    </row>
    <row r="98" spans="1:12" s="966" customFormat="1">
      <c r="A98" s="2340"/>
      <c r="D98" s="2341"/>
      <c r="K98" s="797"/>
      <c r="L98" s="797"/>
    </row>
    <row r="99" spans="1:12" s="966" customFormat="1">
      <c r="A99" s="2340"/>
      <c r="D99" s="2341"/>
      <c r="K99" s="797"/>
      <c r="L99" s="797"/>
    </row>
    <row r="100" spans="1:12" s="966" customFormat="1">
      <c r="A100" s="2340"/>
      <c r="D100" s="2341"/>
      <c r="K100" s="797"/>
      <c r="L100" s="797"/>
    </row>
    <row r="101" spans="1:12" s="966" customFormat="1">
      <c r="A101" s="2340"/>
      <c r="D101" s="2341"/>
      <c r="K101" s="797"/>
      <c r="L101" s="797"/>
    </row>
    <row r="102" spans="1:12" s="966" customFormat="1">
      <c r="A102" s="2340"/>
      <c r="D102" s="2341"/>
      <c r="K102" s="797"/>
      <c r="L102" s="797"/>
    </row>
    <row r="103" spans="1:12" s="966" customFormat="1">
      <c r="A103" s="2340"/>
      <c r="D103" s="2341"/>
      <c r="K103" s="797"/>
      <c r="L103" s="797"/>
    </row>
    <row r="104" spans="1:12" s="966" customFormat="1">
      <c r="A104" s="2340"/>
      <c r="D104" s="2341"/>
      <c r="K104" s="797"/>
      <c r="L104" s="797"/>
    </row>
    <row r="105" spans="1:12" s="966" customFormat="1">
      <c r="A105" s="2340"/>
      <c r="D105" s="2341"/>
      <c r="K105" s="797"/>
      <c r="L105" s="797"/>
    </row>
    <row r="106" spans="1:12" s="966" customFormat="1">
      <c r="A106" s="2340"/>
      <c r="D106" s="2341"/>
      <c r="K106" s="797"/>
      <c r="L106" s="797"/>
    </row>
    <row r="107" spans="1:12" s="966" customFormat="1">
      <c r="A107" s="2340"/>
      <c r="D107" s="2341"/>
      <c r="K107" s="797"/>
      <c r="L107" s="797"/>
    </row>
    <row r="108" spans="1:12" s="966" customFormat="1">
      <c r="A108" s="2340"/>
      <c r="D108" s="2341"/>
      <c r="K108" s="797"/>
      <c r="L108" s="797"/>
    </row>
    <row r="109" spans="1:12" s="966" customFormat="1">
      <c r="A109" s="2340"/>
      <c r="D109" s="2341"/>
      <c r="K109" s="797"/>
      <c r="L109" s="797"/>
    </row>
    <row r="110" spans="1:12" s="966" customFormat="1">
      <c r="A110" s="2340"/>
      <c r="D110" s="2341"/>
      <c r="K110" s="797"/>
      <c r="L110" s="797"/>
    </row>
    <row r="111" spans="1:12" s="966" customFormat="1">
      <c r="A111" s="2340"/>
      <c r="D111" s="2341"/>
      <c r="K111" s="797"/>
      <c r="L111" s="797"/>
    </row>
    <row r="112" spans="1:12" s="966" customFormat="1">
      <c r="A112" s="2340"/>
      <c r="D112" s="2341"/>
      <c r="K112" s="797"/>
      <c r="L112" s="797"/>
    </row>
    <row r="113" spans="1:12" s="966" customFormat="1">
      <c r="A113" s="2340"/>
      <c r="D113" s="2341"/>
      <c r="K113" s="797"/>
      <c r="L113" s="797"/>
    </row>
    <row r="114" spans="1:12" s="966" customFormat="1">
      <c r="A114" s="2340"/>
      <c r="D114" s="2341"/>
      <c r="K114" s="797"/>
      <c r="L114" s="797"/>
    </row>
    <row r="115" spans="1:12" s="966" customFormat="1">
      <c r="A115" s="2340"/>
      <c r="D115" s="2341"/>
      <c r="K115" s="797"/>
      <c r="L115" s="797"/>
    </row>
    <row r="116" spans="1:12" s="966" customFormat="1">
      <c r="A116" s="2340"/>
      <c r="D116" s="2341"/>
      <c r="K116" s="797"/>
      <c r="L116" s="797"/>
    </row>
    <row r="117" spans="1:12" s="966" customFormat="1">
      <c r="A117" s="2340"/>
      <c r="D117" s="2341"/>
      <c r="K117" s="797"/>
      <c r="L117" s="797"/>
    </row>
    <row r="118" spans="1:12" s="966" customFormat="1">
      <c r="A118" s="2340"/>
      <c r="D118" s="2341"/>
      <c r="K118" s="797"/>
      <c r="L118" s="797"/>
    </row>
    <row r="119" spans="1:12" s="966" customFormat="1">
      <c r="A119" s="2340"/>
      <c r="D119" s="2341"/>
      <c r="K119" s="797"/>
      <c r="L119" s="797"/>
    </row>
    <row r="120" spans="1:12" s="966" customFormat="1">
      <c r="A120" s="2340"/>
      <c r="D120" s="2341"/>
      <c r="K120" s="797"/>
      <c r="L120" s="797"/>
    </row>
    <row r="121" spans="1:12" s="966" customFormat="1">
      <c r="A121" s="2340"/>
      <c r="D121" s="2341"/>
      <c r="K121" s="797"/>
      <c r="L121" s="797"/>
    </row>
    <row r="122" spans="1:12" s="966" customFormat="1">
      <c r="A122" s="2340"/>
      <c r="D122" s="2341"/>
      <c r="K122" s="797"/>
      <c r="L122" s="797"/>
    </row>
    <row r="123" spans="1:12" s="966" customFormat="1">
      <c r="A123" s="2340"/>
      <c r="D123" s="2341"/>
      <c r="K123" s="797"/>
      <c r="L123" s="797"/>
    </row>
    <row r="124" spans="1:12" s="966" customFormat="1">
      <c r="A124" s="2340"/>
      <c r="D124" s="2341"/>
      <c r="K124" s="797"/>
      <c r="L124" s="797"/>
    </row>
    <row r="125" spans="1:12" s="966" customFormat="1">
      <c r="A125" s="2340"/>
      <c r="D125" s="2341"/>
      <c r="K125" s="797"/>
      <c r="L125" s="797"/>
    </row>
    <row r="126" spans="1:12" s="966" customFormat="1">
      <c r="A126" s="2340"/>
      <c r="D126" s="2341"/>
      <c r="K126" s="797"/>
      <c r="L126" s="797"/>
    </row>
    <row r="127" spans="1:12" s="966" customFormat="1">
      <c r="A127" s="2340"/>
      <c r="D127" s="2341"/>
      <c r="K127" s="797"/>
      <c r="L127" s="797"/>
    </row>
    <row r="128" spans="1:12" s="966" customFormat="1">
      <c r="A128" s="2340"/>
      <c r="D128" s="2341"/>
      <c r="K128" s="797"/>
      <c r="L128" s="797"/>
    </row>
    <row r="129" spans="1:12" s="966" customFormat="1">
      <c r="A129" s="2340"/>
      <c r="D129" s="2341"/>
      <c r="K129" s="797"/>
      <c r="L129" s="797"/>
    </row>
    <row r="130" spans="1:12" s="966" customFormat="1">
      <c r="A130" s="2340"/>
      <c r="D130" s="2341"/>
      <c r="K130" s="797"/>
      <c r="L130" s="797"/>
    </row>
    <row r="131" spans="1:12" s="966" customFormat="1">
      <c r="A131" s="2340"/>
      <c r="D131" s="2341"/>
      <c r="K131" s="797"/>
      <c r="L131" s="797"/>
    </row>
    <row r="132" spans="1:12" s="966" customFormat="1">
      <c r="A132" s="2340"/>
      <c r="D132" s="2341"/>
      <c r="K132" s="797"/>
      <c r="L132" s="797"/>
    </row>
    <row r="133" spans="1:12" s="966" customFormat="1">
      <c r="A133" s="2340"/>
      <c r="D133" s="2341"/>
      <c r="K133" s="797"/>
      <c r="L133" s="797"/>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82" t="s">
        <v>2079</v>
      </c>
      <c r="B1" s="3083"/>
      <c r="C1" s="3083"/>
      <c r="D1" s="3083"/>
      <c r="E1" s="3083"/>
      <c r="F1" s="3083"/>
      <c r="G1" s="3083"/>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2080</v>
      </c>
      <c r="D2" s="2365"/>
      <c r="E2" s="2366"/>
      <c r="F2" s="2285"/>
      <c r="G2" s="2364" t="s">
        <v>2081</v>
      </c>
      <c r="H2" s="2367"/>
      <c r="I2" s="2367"/>
      <c r="J2" s="2367"/>
      <c r="K2" s="2367"/>
      <c r="L2" s="2367"/>
      <c r="M2" s="2367"/>
      <c r="N2" s="2367"/>
      <c r="O2" s="2367"/>
      <c r="P2" s="2367"/>
      <c r="Q2" s="2367"/>
      <c r="R2" s="2367"/>
    </row>
    <row r="3" spans="1:29" ht="54">
      <c r="A3" s="415" t="s">
        <v>2082</v>
      </c>
      <c r="B3" s="1270" t="s">
        <v>2083</v>
      </c>
      <c r="C3" s="2369" t="s">
        <v>2084</v>
      </c>
      <c r="D3" s="2370"/>
      <c r="E3" s="431" t="s">
        <v>2082</v>
      </c>
      <c r="F3" s="2371" t="s">
        <v>2085</v>
      </c>
      <c r="G3" s="2372" t="s">
        <v>2086</v>
      </c>
      <c r="H3" s="2367"/>
      <c r="I3" s="2367"/>
      <c r="J3" s="2367"/>
      <c r="K3" s="2367"/>
      <c r="L3" s="2367"/>
      <c r="M3" s="2367"/>
      <c r="N3" s="2367"/>
      <c r="O3" s="2367"/>
      <c r="P3" s="2367"/>
      <c r="Q3" s="2367"/>
      <c r="R3" s="2367"/>
    </row>
    <row r="4" spans="1:29" ht="41.25">
      <c r="A4" s="431"/>
      <c r="B4" s="1797" t="s">
        <v>2087</v>
      </c>
      <c r="C4" s="2373" t="s">
        <v>2088</v>
      </c>
      <c r="D4" s="2370"/>
      <c r="E4" s="2374"/>
      <c r="F4" s="42" t="s">
        <v>2089</v>
      </c>
      <c r="G4" s="2375" t="s">
        <v>2090</v>
      </c>
      <c r="H4" s="2367"/>
      <c r="I4" s="2367"/>
      <c r="J4" s="2367"/>
      <c r="K4" s="2367"/>
      <c r="L4" s="2367"/>
      <c r="M4" s="2367"/>
      <c r="N4" s="2367"/>
      <c r="O4" s="2367"/>
      <c r="P4" s="2367"/>
      <c r="Q4" s="2367"/>
      <c r="R4" s="2367"/>
    </row>
    <row r="5" spans="1:29" ht="41.25">
      <c r="A5" s="431"/>
      <c r="B5" s="1797" t="s">
        <v>2091</v>
      </c>
      <c r="C5" s="2373" t="s">
        <v>2092</v>
      </c>
      <c r="D5" s="2370"/>
      <c r="E5" s="2374"/>
      <c r="F5" s="1797" t="s">
        <v>2093</v>
      </c>
      <c r="G5" s="2375" t="s">
        <v>2094</v>
      </c>
      <c r="H5" s="2367"/>
      <c r="I5" s="2367"/>
      <c r="J5" s="2367"/>
      <c r="K5" s="2367"/>
      <c r="L5" s="2367"/>
      <c r="M5" s="2367"/>
      <c r="N5" s="2367"/>
      <c r="O5" s="2367"/>
      <c r="P5" s="2367"/>
      <c r="Q5" s="2367"/>
      <c r="R5" s="2367"/>
    </row>
    <row r="6" spans="1:29" ht="54">
      <c r="A6" s="431"/>
      <c r="B6" s="1797" t="s">
        <v>2095</v>
      </c>
      <c r="C6" s="2375" t="s">
        <v>2090</v>
      </c>
      <c r="D6" s="2370"/>
      <c r="E6" s="2374"/>
      <c r="F6" s="1797" t="s">
        <v>2096</v>
      </c>
      <c r="G6" s="2375" t="s">
        <v>2097</v>
      </c>
      <c r="H6" s="2367"/>
      <c r="I6" s="2367"/>
      <c r="J6" s="2367"/>
      <c r="K6" s="2367"/>
      <c r="L6" s="2367"/>
      <c r="M6" s="2367"/>
      <c r="N6" s="2367"/>
      <c r="O6" s="2367"/>
      <c r="P6" s="2367"/>
      <c r="Q6" s="2367"/>
      <c r="R6" s="2367"/>
    </row>
    <row r="7" spans="1:29" ht="41.25" thickBot="1">
      <c r="A7" s="431"/>
      <c r="B7" s="1797" t="s">
        <v>2093</v>
      </c>
      <c r="C7" s="2375" t="s">
        <v>2094</v>
      </c>
      <c r="D7" s="2376"/>
      <c r="E7" s="2377"/>
      <c r="F7" s="2378" t="s">
        <v>2098</v>
      </c>
      <c r="G7" s="2379" t="s">
        <v>2099</v>
      </c>
      <c r="H7" s="2367"/>
      <c r="I7" s="2367"/>
      <c r="J7" s="2367"/>
      <c r="K7" s="2367"/>
      <c r="L7" s="2367"/>
      <c r="M7" s="2367"/>
      <c r="N7" s="2367"/>
      <c r="O7" s="2367"/>
      <c r="P7" s="2367"/>
      <c r="Q7" s="2367"/>
      <c r="R7" s="2367"/>
    </row>
    <row r="8" spans="1:29" ht="27">
      <c r="A8" s="431"/>
      <c r="B8" s="1797" t="s">
        <v>2096</v>
      </c>
      <c r="C8" s="2375" t="s">
        <v>2097</v>
      </c>
      <c r="D8" s="2376"/>
      <c r="E8" s="2376"/>
      <c r="F8" s="1135"/>
      <c r="G8" s="1135"/>
      <c r="H8" s="2367"/>
      <c r="I8" s="2367"/>
      <c r="J8" s="2367"/>
      <c r="K8" s="2367"/>
      <c r="L8" s="2367"/>
      <c r="M8" s="2367"/>
      <c r="N8" s="2367"/>
      <c r="O8" s="2367"/>
      <c r="P8" s="2367"/>
      <c r="Q8" s="2367"/>
      <c r="R8" s="2367"/>
    </row>
    <row r="9" spans="1:29" ht="27">
      <c r="A9" s="431"/>
      <c r="B9" s="1797" t="s">
        <v>2100</v>
      </c>
      <c r="C9" s="2373" t="s">
        <v>2101</v>
      </c>
      <c r="D9" s="2370"/>
      <c r="E9" s="2376"/>
      <c r="F9" s="1135"/>
      <c r="G9" s="1135"/>
      <c r="H9" s="2367"/>
      <c r="I9" s="2367"/>
      <c r="J9" s="2367"/>
      <c r="K9" s="2367"/>
      <c r="L9" s="2367"/>
      <c r="M9" s="2367"/>
      <c r="N9" s="2367"/>
      <c r="O9" s="2367"/>
      <c r="P9" s="2367"/>
      <c r="Q9" s="2367"/>
      <c r="R9" s="2367"/>
    </row>
    <row r="10" spans="1:29" s="117" customFormat="1" ht="15.75" thickBot="1">
      <c r="A10" s="2380"/>
      <c r="B10" s="2381" t="s">
        <v>2102</v>
      </c>
      <c r="C10" s="2382"/>
      <c r="D10" s="2370"/>
      <c r="E10" s="2370"/>
      <c r="F10" s="1135"/>
      <c r="G10" s="1135"/>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3"/>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3"/>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2103</v>
      </c>
      <c r="B13" s="2387"/>
      <c r="C13" s="2387"/>
      <c r="D13" s="2394"/>
      <c r="E13" s="2387"/>
      <c r="F13" s="2387"/>
      <c r="G13" s="2387"/>
    </row>
    <row r="14" spans="1:29" ht="15.75" thickBot="1">
      <c r="A14" s="2398"/>
      <c r="B14" s="2399"/>
      <c r="C14" s="2400" t="s">
        <v>2104</v>
      </c>
      <c r="D14" s="2370"/>
      <c r="E14" s="2401"/>
      <c r="F14" s="2401"/>
      <c r="G14" s="2364" t="s">
        <v>2105</v>
      </c>
    </row>
    <row r="15" spans="1:29" ht="57">
      <c r="A15" s="68" t="s">
        <v>2106</v>
      </c>
      <c r="B15" s="1269" t="s">
        <v>2083</v>
      </c>
      <c r="C15" s="2402" t="str">
        <f>C3</f>
        <v>估价对象周边居住用地比例、居住小区规模和社区发展完善程度，综合评价居住社区成熟度一般</v>
      </c>
      <c r="D15" s="2370"/>
      <c r="E15" s="2403" t="s">
        <v>2107</v>
      </c>
      <c r="F15" s="1269" t="s">
        <v>2108</v>
      </c>
      <c r="G15" s="135" t="str">
        <f>G3</f>
        <v>估价对象位于XX开发区，园区建设成熟度XX，产业集聚程度XX</v>
      </c>
    </row>
    <row r="16" spans="1:29" ht="42.75">
      <c r="A16" s="644"/>
      <c r="B16" s="2404" t="s">
        <v>2087</v>
      </c>
      <c r="C16" s="2405" t="str">
        <f>C4</f>
        <v>估价对象位于XX商圈，周边商业氛围成熟，人流量大，商业繁华度好</v>
      </c>
      <c r="D16" s="2370"/>
      <c r="E16" s="2406"/>
      <c r="F16" s="2407" t="s">
        <v>2089</v>
      </c>
      <c r="G16" s="136" t="str">
        <f>G4</f>
        <v>估价对象周边道路状况、公共交通通达情况、停车便捷程度，综合评价交通便捷度较好</v>
      </c>
    </row>
    <row r="17" spans="1:18" ht="42.75">
      <c r="A17" s="644"/>
      <c r="B17" s="2404" t="s">
        <v>2091</v>
      </c>
      <c r="C17" s="2405" t="str">
        <f>C5</f>
        <v>估价对象位于XX商圈，周边办公楼项目较多，入驻率高，办公集聚程度较好</v>
      </c>
      <c r="D17" s="2376"/>
      <c r="E17" s="2406"/>
      <c r="F17" s="2407" t="s">
        <v>2109</v>
      </c>
      <c r="G17" s="1571"/>
    </row>
    <row r="18" spans="1:18" ht="57">
      <c r="A18" s="644"/>
      <c r="B18" s="2407" t="s">
        <v>2095</v>
      </c>
      <c r="C18" s="136" t="str">
        <f>C6</f>
        <v>估价对象周边道路状况、公共交通通达情况、停车便捷程度，综合评价交通便捷度较好</v>
      </c>
      <c r="D18" s="2376"/>
      <c r="E18" s="2406"/>
      <c r="F18" s="2407" t="s">
        <v>2098</v>
      </c>
      <c r="G18" s="136" t="str">
        <f>G7</f>
        <v>该园区内是否有污染型企业，绿化情况，卫生条件，整体环境状况判断</v>
      </c>
    </row>
    <row r="19" spans="1:18" ht="28.5">
      <c r="A19" s="644"/>
      <c r="B19" s="2407" t="s">
        <v>2110</v>
      </c>
      <c r="C19" s="1571"/>
      <c r="D19" s="2370"/>
      <c r="E19" s="2406"/>
      <c r="F19" s="1797" t="s">
        <v>2093</v>
      </c>
      <c r="G19" s="136" t="str">
        <f>G5</f>
        <v>估价对象所在区域公共配套设施齐备情况</v>
      </c>
    </row>
    <row r="20" spans="1:18" ht="28.5">
      <c r="A20" s="644"/>
      <c r="B20" s="2407" t="s">
        <v>2111</v>
      </c>
      <c r="C20" s="2405" t="str">
        <f>C9</f>
        <v>区域自然环境：；人文环境；综合评价环境状况一般</v>
      </c>
      <c r="D20" s="2376"/>
      <c r="E20" s="2406"/>
      <c r="F20" s="1797" t="s">
        <v>2112</v>
      </c>
      <c r="G20" s="136" t="str">
        <f>G6</f>
        <v>估价对象所在区域基础设施水平</v>
      </c>
    </row>
    <row r="21" spans="1:18" ht="28.5">
      <c r="A21" s="644"/>
      <c r="B21" s="1797" t="s">
        <v>2093</v>
      </c>
      <c r="C21" s="136" t="str">
        <f>C7</f>
        <v>估价对象所在区域公共配套设施齐备情况</v>
      </c>
      <c r="D21" s="2370"/>
      <c r="E21" s="2406"/>
      <c r="F21" s="2407" t="s">
        <v>2113</v>
      </c>
      <c r="G21" s="2408"/>
    </row>
    <row r="22" spans="1:18" ht="13.5" customHeight="1">
      <c r="A22" s="644"/>
      <c r="B22" s="1797" t="s">
        <v>2096</v>
      </c>
      <c r="C22" s="136" t="str">
        <f>C8</f>
        <v>估价对象所在区域基础设施水平</v>
      </c>
      <c r="D22" s="2370"/>
      <c r="E22" s="2406"/>
      <c r="F22" s="2407" t="s">
        <v>2102</v>
      </c>
      <c r="G22" s="1571"/>
    </row>
    <row r="23" spans="1:18" s="2367" customFormat="1" ht="15.75" thickBot="1">
      <c r="A23" s="644"/>
      <c r="B23" s="2407" t="s">
        <v>2113</v>
      </c>
      <c r="C23" s="2408"/>
      <c r="D23" s="2395"/>
      <c r="E23" s="2409"/>
      <c r="F23" s="2410" t="s">
        <v>2114</v>
      </c>
      <c r="G23" s="2411"/>
      <c r="H23" s="2395"/>
      <c r="I23" s="2396"/>
      <c r="J23" s="2395"/>
      <c r="K23" s="2395"/>
      <c r="L23" s="2396"/>
      <c r="M23" s="2395"/>
      <c r="N23" s="2395"/>
      <c r="O23" s="2396"/>
      <c r="P23" s="2395"/>
      <c r="Q23" s="2395"/>
      <c r="R23" s="2397"/>
    </row>
    <row r="24" spans="1:18" s="2367" customFormat="1" ht="15.75" thickBot="1">
      <c r="A24" s="2412"/>
      <c r="B24" s="2410" t="s">
        <v>2115</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A16" sqref="A16"/>
    </sheetView>
  </sheetViews>
  <sheetFormatPr defaultRowHeight="13.5"/>
  <cols>
    <col min="1" max="1" width="23.375" style="1740" customWidth="1"/>
    <col min="2" max="9" width="15.75" style="1740" customWidth="1"/>
    <col min="10" max="16384" width="9" style="1740"/>
  </cols>
  <sheetData>
    <row r="1" spans="1:10" ht="16.5">
      <c r="A1" s="1745" t="s">
        <v>1365</v>
      </c>
      <c r="B1" s="1745">
        <f>SUM(B14:B23)</f>
        <v>93560.74</v>
      </c>
      <c r="C1" s="1744"/>
      <c r="D1" s="1744"/>
      <c r="E1" s="1744"/>
      <c r="F1" s="1744"/>
      <c r="G1" s="1742"/>
    </row>
    <row r="2" spans="1:10" ht="16.5">
      <c r="A2" s="1745" t="s">
        <v>1353</v>
      </c>
      <c r="B2" s="1745">
        <f>SUM(C14:C23)</f>
        <v>35895.520000000004</v>
      </c>
      <c r="C2" s="1744"/>
      <c r="D2" s="1744"/>
      <c r="E2" s="1744"/>
      <c r="F2" s="1744"/>
      <c r="G2" s="1742"/>
    </row>
    <row r="3" spans="1:10" ht="16.5">
      <c r="A3" s="1745" t="s">
        <v>1362</v>
      </c>
      <c r="B3" s="1746">
        <f>项目基本情况!D3</f>
        <v>43321</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47933</v>
      </c>
      <c r="C5" s="1745">
        <f ca="1">ROUND(B5*10000/$B$1,0)</f>
        <v>5123</v>
      </c>
      <c r="D5" s="1745">
        <f ca="1">ROUND(B5*10000/$B$2,0)</f>
        <v>13353</v>
      </c>
      <c r="E5" s="1744"/>
      <c r="F5" s="1742"/>
      <c r="G5" s="1742"/>
    </row>
    <row r="6" spans="1:10" ht="16.5">
      <c r="A6" s="1745" t="s">
        <v>1356</v>
      </c>
      <c r="B6" s="1745">
        <f ca="1">SUM(G14:G23)</f>
        <v>47933</v>
      </c>
      <c r="C6" s="1745">
        <f ca="1">ROUND(B6*10000/$B$1,0)</f>
        <v>5123</v>
      </c>
      <c r="D6" s="1745">
        <f ca="1">ROUND(B6*10000/$B$2,0)</f>
        <v>13353</v>
      </c>
      <c r="E6" s="1744"/>
      <c r="F6" s="1742"/>
      <c r="G6" s="1742"/>
    </row>
    <row r="7" spans="1:10" ht="16.5">
      <c r="A7" s="1745" t="s">
        <v>1364</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1380.28</v>
      </c>
      <c r="C14" s="1743">
        <f>结果表!C118</f>
        <v>6332.52</v>
      </c>
      <c r="D14" s="1743">
        <f ca="1">结果表!H118</f>
        <v>3800</v>
      </c>
      <c r="E14" s="1743">
        <f ca="1">ROUND(D14*10000/B14,0)</f>
        <v>27531</v>
      </c>
      <c r="F14" s="1743">
        <f ca="1">ROUND(D14*10000/C14,0)</f>
        <v>6001</v>
      </c>
      <c r="G14" s="1743">
        <f ca="1">结果表!D122</f>
        <v>3800</v>
      </c>
      <c r="H14" s="1743" t="str">
        <f>结果表!D124</f>
        <v>——</v>
      </c>
      <c r="I14" s="1743" t="str">
        <f>结果表!D126</f>
        <v>——</v>
      </c>
      <c r="J14" s="1742"/>
    </row>
    <row r="15" spans="1:10" ht="16.5">
      <c r="A15" s="1741" t="s">
        <v>1349</v>
      </c>
      <c r="B15" s="2982">
        <f>典型户型修正!B22-系统读取表!B14</f>
        <v>2539.6400000000003</v>
      </c>
      <c r="C15" s="2982">
        <f>'数据-基础表'!A3</f>
        <v>17984</v>
      </c>
      <c r="D15" s="2982">
        <f ca="1">典型户型修正!B20-系统读取表!D14</f>
        <v>3417</v>
      </c>
      <c r="E15" s="1743">
        <f t="shared" ref="E15:E23" ca="1" si="0">ROUND(D15*10000/B15,0)</f>
        <v>13455</v>
      </c>
      <c r="F15" s="1743">
        <f t="shared" ref="F15:F23" ca="1" si="1">ROUND(D15*10000/C15,0)</f>
        <v>1900</v>
      </c>
      <c r="G15" s="2982">
        <f ca="1">D15</f>
        <v>3417</v>
      </c>
      <c r="H15" s="1749"/>
      <c r="I15" s="1748"/>
      <c r="J15" s="1742"/>
    </row>
    <row r="16" spans="1:10" ht="16.5">
      <c r="A16" s="1741" t="s">
        <v>1348</v>
      </c>
      <c r="B16" s="2982">
        <v>89640.82</v>
      </c>
      <c r="C16" s="2982">
        <v>11579</v>
      </c>
      <c r="D16" s="2982">
        <v>40716</v>
      </c>
      <c r="E16" s="1743">
        <f t="shared" si="0"/>
        <v>4542</v>
      </c>
      <c r="F16" s="1743">
        <f t="shared" si="1"/>
        <v>35164</v>
      </c>
      <c r="G16" s="2982">
        <v>40716</v>
      </c>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opLeftCell="C97" zoomScale="80" zoomScaleNormal="80" zoomScaleSheetLayoutView="100" zoomScalePageLayoutView="80" workbookViewId="0">
      <selection activeCell="D14" sqref="D14:D16"/>
    </sheetView>
  </sheetViews>
  <sheetFormatPr defaultColWidth="12.625" defaultRowHeight="21.75" customHeight="1"/>
  <cols>
    <col min="1" max="2" width="12.625" style="2424"/>
    <col min="3" max="4" width="12.625" style="2424" customWidth="1"/>
    <col min="5" max="9" width="12.625" style="2424"/>
    <col min="10" max="11" width="12.625" style="794" customWidth="1"/>
    <col min="12" max="12" width="12.625" style="794"/>
    <col min="13" max="13" width="14.125" style="794" bestFit="1" customWidth="1"/>
    <col min="14" max="26" width="12.625" style="794"/>
    <col min="27" max="35" width="12.625" style="2423"/>
    <col min="36" max="16384" width="12.625" style="2424"/>
  </cols>
  <sheetData>
    <row r="1" spans="1:12" ht="21.75" customHeight="1" thickBot="1">
      <c r="A1" s="2224" t="s">
        <v>2116</v>
      </c>
      <c r="B1" s="2418"/>
      <c r="C1" s="2419" t="s">
        <v>4021</v>
      </c>
      <c r="D1" s="2418"/>
      <c r="E1" s="2418"/>
      <c r="F1" s="2420" t="s">
        <v>2117</v>
      </c>
      <c r="G1" s="2070" t="s">
        <v>3084</v>
      </c>
      <c r="H1" s="2421" t="str">
        <f>IF(G1="现房","——","估价对象范围")</f>
        <v>——</v>
      </c>
      <c r="I1" s="2422" t="s">
        <v>4037</v>
      </c>
    </row>
    <row r="2" spans="1:12" ht="21.75" customHeight="1" thickBot="1">
      <c r="A2" s="3156" t="str">
        <f>项目基本情况!S2</f>
        <v>山东省济南市天桥区世茂天城房地产</v>
      </c>
      <c r="B2" s="3157"/>
      <c r="C2" s="3157"/>
      <c r="D2" s="3157"/>
      <c r="E2" s="3157"/>
      <c r="F2" s="3157"/>
      <c r="G2" s="3157"/>
      <c r="H2" s="3157"/>
      <c r="I2" s="3158"/>
    </row>
    <row r="3" spans="1:12" ht="12.75">
      <c r="A3" s="3159" t="s">
        <v>2118</v>
      </c>
      <c r="B3" s="3160"/>
      <c r="C3" s="3160"/>
      <c r="D3" s="3160"/>
      <c r="E3" s="3160"/>
      <c r="F3" s="3160"/>
      <c r="G3" s="3160"/>
      <c r="H3" s="3160"/>
      <c r="I3" s="3160"/>
    </row>
    <row r="4" spans="1:12" ht="14.25">
      <c r="A4" s="2425" t="s">
        <v>2119</v>
      </c>
      <c r="B4" s="2426" t="s">
        <v>2120</v>
      </c>
      <c r="C4" s="2427" t="s">
        <v>3097</v>
      </c>
      <c r="D4" s="2427" t="s">
        <v>3096</v>
      </c>
      <c r="E4" s="3140" t="s">
        <v>2121</v>
      </c>
      <c r="F4" s="3153"/>
      <c r="G4" s="3153"/>
      <c r="H4" s="3153"/>
      <c r="I4" s="3141"/>
      <c r="K4" s="2428" t="str">
        <f>IF(ISNUMBER(FIND("比较法",结果表!C4)),"比较法",IF(ISNUMBER(FIND("成本法",结果表!C4)),"成本法",IF(ISNUMBER(FIND("假设开发法",结果表!C4)),"假设开发法",IF(ISNUMBER(FIND("收益法",结果表!C4)),"收益法","基准地价系数修正法"))))</f>
        <v>比较法</v>
      </c>
      <c r="L4" s="2428" t="str">
        <f>IF(ISNUMBER(FIND("比较法",结果表!D4)),"比较法",IF(ISNUMBER(FIND("成本法",结果表!D4)),"成本法",IF(ISNUMBER(FIND("假设开发法",结果表!D4)),"假设开发法",IF(ISNUMBER(FIND("收益法",结果表!D4)),"收益法","基准地价系数修正法"))))</f>
        <v>收益法</v>
      </c>
    </row>
    <row r="5" spans="1:12" ht="12.75" hidden="1">
      <c r="A5" s="3131" t="s">
        <v>2122</v>
      </c>
      <c r="B5" s="3057">
        <v>25</v>
      </c>
      <c r="C5" s="3161"/>
      <c r="D5" s="3149"/>
      <c r="E5" s="140" t="s">
        <v>2123</v>
      </c>
      <c r="F5" s="2429"/>
      <c r="G5" s="2429"/>
      <c r="H5" s="2429"/>
      <c r="I5" s="1833"/>
    </row>
    <row r="6" spans="1:12" ht="12.75" hidden="1">
      <c r="A6" s="3131"/>
      <c r="B6" s="3057"/>
      <c r="C6" s="3163"/>
      <c r="D6" s="3149"/>
      <c r="E6" s="140" t="s">
        <v>2124</v>
      </c>
      <c r="F6" s="2429"/>
      <c r="G6" s="2429"/>
      <c r="H6" s="2429"/>
      <c r="I6" s="1833"/>
    </row>
    <row r="7" spans="1:12" ht="12.75" hidden="1">
      <c r="A7" s="3131"/>
      <c r="B7" s="3057"/>
      <c r="C7" s="3162"/>
      <c r="D7" s="3149"/>
      <c r="E7" s="140" t="s">
        <v>2125</v>
      </c>
      <c r="F7" s="2429"/>
      <c r="G7" s="2429"/>
      <c r="H7" s="2429"/>
      <c r="I7" s="1833"/>
    </row>
    <row r="8" spans="1:12" ht="12.75" hidden="1">
      <c r="A8" s="3131" t="s">
        <v>2126</v>
      </c>
      <c r="B8" s="3057">
        <v>15</v>
      </c>
      <c r="C8" s="3161"/>
      <c r="D8" s="3149"/>
      <c r="E8" s="140" t="s">
        <v>2127</v>
      </c>
      <c r="F8" s="2429"/>
      <c r="G8" s="2429"/>
      <c r="H8" s="2429"/>
      <c r="I8" s="1833"/>
    </row>
    <row r="9" spans="1:12" ht="12.75" hidden="1">
      <c r="A9" s="3131"/>
      <c r="B9" s="3057"/>
      <c r="C9" s="3162"/>
      <c r="D9" s="3149"/>
      <c r="E9" s="140" t="s">
        <v>2128</v>
      </c>
      <c r="F9" s="2429"/>
      <c r="G9" s="2429"/>
      <c r="H9" s="2429"/>
      <c r="I9" s="1833"/>
    </row>
    <row r="10" spans="1:12" ht="12.75" hidden="1">
      <c r="A10" s="3131" t="s">
        <v>2129</v>
      </c>
      <c r="B10" s="3057">
        <v>15</v>
      </c>
      <c r="C10" s="3161"/>
      <c r="D10" s="3149"/>
      <c r="E10" s="140" t="s">
        <v>2130</v>
      </c>
      <c r="F10" s="2429"/>
      <c r="G10" s="2429"/>
      <c r="H10" s="2429"/>
      <c r="I10" s="1833"/>
    </row>
    <row r="11" spans="1:12" ht="12.75" hidden="1">
      <c r="A11" s="3131"/>
      <c r="B11" s="3057"/>
      <c r="C11" s="3162"/>
      <c r="D11" s="3149"/>
      <c r="E11" s="140" t="s">
        <v>2131</v>
      </c>
      <c r="F11" s="2429"/>
      <c r="G11" s="2429"/>
      <c r="H11" s="2429"/>
      <c r="I11" s="1833"/>
    </row>
    <row r="12" spans="1:12" ht="12.75" hidden="1">
      <c r="A12" s="3131" t="s">
        <v>2132</v>
      </c>
      <c r="B12" s="3057">
        <v>15</v>
      </c>
      <c r="C12" s="3161"/>
      <c r="D12" s="3149"/>
      <c r="E12" s="140" t="s">
        <v>2133</v>
      </c>
      <c r="F12" s="2429"/>
      <c r="G12" s="2429"/>
      <c r="H12" s="2429"/>
      <c r="I12" s="1833"/>
    </row>
    <row r="13" spans="1:12" ht="12.75" hidden="1">
      <c r="A13" s="3131"/>
      <c r="B13" s="3057"/>
      <c r="C13" s="3162"/>
      <c r="D13" s="3149"/>
      <c r="E13" s="140" t="s">
        <v>2134</v>
      </c>
      <c r="F13" s="2429"/>
      <c r="G13" s="2429"/>
      <c r="H13" s="2429"/>
      <c r="I13" s="1833"/>
    </row>
    <row r="14" spans="1:12" ht="12.75" hidden="1">
      <c r="A14" s="3131" t="s">
        <v>2135</v>
      </c>
      <c r="B14" s="3057">
        <v>30</v>
      </c>
      <c r="C14" s="3161">
        <v>6</v>
      </c>
      <c r="D14" s="3149">
        <f>10-C14</f>
        <v>4</v>
      </c>
      <c r="E14" s="140" t="s">
        <v>2136</v>
      </c>
      <c r="F14" s="2429"/>
      <c r="G14" s="2429"/>
      <c r="H14" s="2429"/>
      <c r="I14" s="1833"/>
    </row>
    <row r="15" spans="1:12" ht="12.75" hidden="1">
      <c r="A15" s="3131"/>
      <c r="B15" s="3057"/>
      <c r="C15" s="3163"/>
      <c r="D15" s="3149"/>
      <c r="E15" s="140" t="s">
        <v>2137</v>
      </c>
      <c r="F15" s="2429"/>
      <c r="G15" s="2429"/>
      <c r="H15" s="2429"/>
      <c r="I15" s="1833"/>
    </row>
    <row r="16" spans="1:12" ht="12.75">
      <c r="A16" s="3131"/>
      <c r="B16" s="3057"/>
      <c r="C16" s="3162"/>
      <c r="D16" s="3149"/>
      <c r="E16" s="140" t="s">
        <v>2138</v>
      </c>
      <c r="F16" s="2429"/>
      <c r="G16" s="2429"/>
      <c r="H16" s="2429"/>
      <c r="I16" s="1833"/>
    </row>
    <row r="17" spans="1:35" ht="15">
      <c r="A17" s="2430" t="s">
        <v>2139</v>
      </c>
      <c r="B17" s="64"/>
      <c r="C17" s="141">
        <f>SUM(C5:C16)</f>
        <v>6</v>
      </c>
      <c r="D17" s="141">
        <f>SUM(D5:D16)</f>
        <v>4</v>
      </c>
      <c r="E17" s="138"/>
      <c r="F17" s="138"/>
      <c r="G17" s="138"/>
      <c r="H17" s="138"/>
      <c r="I17" s="138"/>
      <c r="K17" s="2428"/>
      <c r="L17" s="2431" t="s">
        <v>2140</v>
      </c>
      <c r="M17" s="2431" t="s">
        <v>2141</v>
      </c>
    </row>
    <row r="18" spans="1:35" ht="15.75" thickBot="1">
      <c r="A18" s="2432" t="s">
        <v>2142</v>
      </c>
      <c r="B18" s="2433"/>
      <c r="C18" s="142">
        <f>ROUND(C17/SUM(C17:D17),2)</f>
        <v>0.6</v>
      </c>
      <c r="D18" s="142">
        <f>1-C18</f>
        <v>0.4</v>
      </c>
      <c r="E18" s="138"/>
      <c r="F18" s="138"/>
      <c r="G18" s="138"/>
      <c r="H18" s="138"/>
      <c r="I18" s="138"/>
      <c r="K18" s="2428" t="s">
        <v>2143</v>
      </c>
      <c r="L18" s="2428">
        <f>IF(C1="",'数据-汇总表'!E3,SUMIF(项目类型,C1,'数据-汇总表'!E17:E26)+SUMIF(项目类型,C1,'数据-汇总表'!I17:I26))</f>
        <v>1380.28</v>
      </c>
      <c r="M18" s="2428">
        <f>IF(C1="",'数据-汇总表'!E3,SUMIF(项目类型,C1,'数据-汇总表'!E17:E26))</f>
        <v>1380.28</v>
      </c>
    </row>
    <row r="19" spans="1:35" ht="15">
      <c r="A19" s="2434" t="s">
        <v>2144</v>
      </c>
      <c r="B19" s="2435" t="s">
        <v>2145</v>
      </c>
      <c r="C19" s="143">
        <f ca="1">SUMIF(INDIRECT("'"&amp;C4&amp;"'"&amp;"!A:A"),结果表!B19,INDIRECT("'"&amp;C4&amp;"'"&amp;"!B:B"))</f>
        <v>4233</v>
      </c>
      <c r="D19" s="144">
        <f ca="1">SUMIF(INDIRECT("'"&amp;D4&amp;"'"&amp;"!A:A"),结果表!B19,INDIRECT("'"&amp;D4&amp;"'"&amp;"!B:B"))</f>
        <v>3151</v>
      </c>
      <c r="E19" s="2434" t="s">
        <v>2146</v>
      </c>
      <c r="F19" s="2435" t="s">
        <v>2145</v>
      </c>
      <c r="G19" s="145">
        <f ca="1">ROUND(C19*$C$18+D19*$D$18,0)</f>
        <v>3800</v>
      </c>
      <c r="H19" s="2436" t="s">
        <v>2147</v>
      </c>
      <c r="I19" s="138"/>
      <c r="K19" s="2428" t="s">
        <v>2148</v>
      </c>
      <c r="L19" s="2428">
        <f>IF(C1="",'数据-汇总表'!D3,SUMIF(项目类型,C1,'数据-汇总表'!D17:D26)+SUMIF(项目类型,C1,'数据-汇总表'!H17:H27))</f>
        <v>6332.52</v>
      </c>
      <c r="M19" s="2428">
        <f>IF(C1="",'数据-汇总表'!D3,SUMIF(项目类型,C1,'数据-汇总表'!D17:D26))</f>
        <v>6332.52</v>
      </c>
    </row>
    <row r="20" spans="1:35" ht="15">
      <c r="A20" s="2437"/>
      <c r="B20" s="1249" t="s">
        <v>2149</v>
      </c>
      <c r="C20" s="146">
        <f ca="1">SUMIF(INDIRECT("'"&amp;C4&amp;"'"&amp;"!A:A"),结果表!B20,INDIRECT("'"&amp;C4&amp;"'"&amp;"!B:B"))</f>
        <v>30670</v>
      </c>
      <c r="D20" s="147">
        <f ca="1">SUMIF(INDIRECT("'"&amp;D4&amp;"'"&amp;"!A:A"),结果表!B20,INDIRECT("'"&amp;D4&amp;"'"&amp;"!B:B"))</f>
        <v>22829</v>
      </c>
      <c r="E20" s="2437"/>
      <c r="F20" s="1249" t="s">
        <v>2149</v>
      </c>
      <c r="G20" s="148">
        <f ca="1">ROUND(C20*$C$18+D20*$D$18,0)</f>
        <v>27534</v>
      </c>
      <c r="H20" s="982" t="s">
        <v>2150</v>
      </c>
      <c r="I20" s="138"/>
    </row>
    <row r="21" spans="1:35" ht="15" customHeight="1" thickBot="1">
      <c r="A21" s="1002"/>
      <c r="B21" s="2438" t="s">
        <v>2151</v>
      </c>
      <c r="C21" s="788">
        <f ca="1">ROUND(C19*10000/L19,0)</f>
        <v>6685</v>
      </c>
      <c r="D21" s="789">
        <f ca="1">ROUND(D19*10000/L19,0)</f>
        <v>4976</v>
      </c>
      <c r="E21" s="1002"/>
      <c r="F21" s="2438" t="s">
        <v>2151</v>
      </c>
      <c r="G21" s="149">
        <f ca="1">ROUND(G19*10000/L19,0)</f>
        <v>6001</v>
      </c>
      <c r="H21" s="2439" t="s">
        <v>2150</v>
      </c>
      <c r="I21" s="138"/>
    </row>
    <row r="22" spans="1:35" ht="15" thickBot="1">
      <c r="A22" s="2280" t="s">
        <v>2152</v>
      </c>
      <c r="B22" s="2440"/>
      <c r="C22" s="2441"/>
      <c r="D22" s="790">
        <f ca="1">IF(C19&lt;D19,D19/C19-1,C19/D19-1)</f>
        <v>0.34338305299904781</v>
      </c>
      <c r="E22" s="138"/>
      <c r="F22" s="138"/>
      <c r="G22" s="138"/>
      <c r="H22" s="138"/>
      <c r="I22" s="138"/>
    </row>
    <row r="23" spans="1:35" ht="13.5" thickBot="1">
      <c r="A23" s="2418"/>
      <c r="B23" s="2418"/>
      <c r="C23" s="2418"/>
      <c r="D23" s="2418"/>
      <c r="E23" s="138"/>
      <c r="F23" s="138"/>
      <c r="G23" s="138"/>
      <c r="H23" s="138"/>
      <c r="I23" s="138"/>
    </row>
    <row r="24" spans="1:35" ht="14.25">
      <c r="A24" s="3170" t="s">
        <v>2153</v>
      </c>
      <c r="B24" s="2435" t="s">
        <v>2145</v>
      </c>
      <c r="C24" s="145">
        <f>IF(B30=0,0,D30)</f>
        <v>0</v>
      </c>
      <c r="D24" s="2442"/>
      <c r="E24" s="138"/>
      <c r="F24" s="138"/>
      <c r="G24" s="138"/>
      <c r="H24" s="138"/>
      <c r="I24" s="138"/>
    </row>
    <row r="25" spans="1:35" ht="14.25">
      <c r="A25" s="3171"/>
      <c r="B25" s="1249" t="s">
        <v>2149</v>
      </c>
      <c r="C25" s="150">
        <f>IF(B30=0,0,C30)</f>
        <v>0</v>
      </c>
      <c r="D25" s="2443"/>
      <c r="E25" s="138"/>
      <c r="F25" s="138"/>
      <c r="G25" s="138"/>
      <c r="H25" s="138"/>
      <c r="I25" s="138"/>
    </row>
    <row r="26" spans="1:35" ht="13.5" customHeight="1">
      <c r="A26" s="2444" t="s">
        <v>2154</v>
      </c>
      <c r="B26" s="151" t="s">
        <v>2155</v>
      </c>
      <c r="C26" s="151" t="s">
        <v>2156</v>
      </c>
      <c r="D26" s="152" t="s">
        <v>2157</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2158</v>
      </c>
      <c r="B30" s="151"/>
      <c r="C30" s="151"/>
      <c r="D30" s="151"/>
      <c r="E30" s="2927" t="s">
        <v>3029</v>
      </c>
      <c r="F30" s="138"/>
      <c r="G30" s="138"/>
      <c r="H30" s="138"/>
      <c r="I30" s="138"/>
    </row>
    <row r="31" spans="1:35" s="2446" customFormat="1" ht="15" thickBot="1">
      <c r="A31" s="2445"/>
      <c r="B31" s="2445"/>
      <c r="C31" s="2445"/>
      <c r="D31" s="2445"/>
      <c r="E31" s="138"/>
      <c r="F31" s="138"/>
      <c r="G31" s="138"/>
      <c r="H31" s="138"/>
      <c r="I31" s="138"/>
      <c r="J31" s="794"/>
      <c r="K31" s="794"/>
      <c r="L31" s="794"/>
      <c r="M31" s="794"/>
      <c r="N31" s="794"/>
      <c r="O31" s="794"/>
      <c r="P31" s="794"/>
      <c r="Q31" s="794"/>
      <c r="R31" s="794"/>
      <c r="S31" s="794"/>
      <c r="T31" s="794"/>
      <c r="U31" s="794"/>
      <c r="V31" s="794"/>
      <c r="W31" s="794"/>
      <c r="X31" s="794"/>
      <c r="Y31" s="794"/>
      <c r="Z31" s="794"/>
      <c r="AA31" s="2423"/>
      <c r="AB31" s="2423"/>
      <c r="AC31" s="2423"/>
      <c r="AD31" s="2423"/>
      <c r="AE31" s="2423"/>
      <c r="AF31" s="2423"/>
      <c r="AG31" s="2423"/>
      <c r="AH31" s="2423"/>
      <c r="AI31" s="2423"/>
    </row>
    <row r="32" spans="1:35" ht="15.75" thickBot="1">
      <c r="A32" s="2447" t="s">
        <v>2159</v>
      </c>
      <c r="B32" s="2448"/>
      <c r="C32" s="153">
        <f ca="1">IF(D32="总价",G19-C24,G20-C25)</f>
        <v>3800</v>
      </c>
      <c r="D32" s="2449" t="s">
        <v>2160</v>
      </c>
      <c r="E32" s="138"/>
      <c r="F32" s="138"/>
      <c r="G32" s="138"/>
      <c r="H32" s="138"/>
      <c r="I32" s="138"/>
    </row>
    <row r="33" spans="1:15" ht="15">
      <c r="A33" s="959" t="s">
        <v>2161</v>
      </c>
      <c r="B33" s="2450"/>
      <c r="C33" s="2451" t="s">
        <v>3098</v>
      </c>
      <c r="D33" s="2452" t="s">
        <v>3096</v>
      </c>
      <c r="E33" s="2453" t="s">
        <v>2162</v>
      </c>
      <c r="F33" s="2454" t="str">
        <f>IF(D32="楼面单价","取值（单价）","取值（总价）")</f>
        <v>取值（总价）</v>
      </c>
      <c r="G33" s="138"/>
      <c r="H33" s="138"/>
      <c r="I33" s="138"/>
    </row>
    <row r="34" spans="1:15" ht="15">
      <c r="A34" s="2455"/>
      <c r="B34" s="2456" t="s">
        <v>2163</v>
      </c>
      <c r="C34" s="157">
        <f ca="1">IF(C33="自定义",F34,C32-C35)</f>
        <v>2238</v>
      </c>
      <c r="D34" s="1057">
        <f ca="1">IF(C33="自定义",ROUND(C34/C32,3),IF(C33="收益比率",SUMIF(INDIRECT("'"&amp;D33&amp;"'"&amp;"!b:b"),"土地收益比率",INDIRECT("'"&amp;D33&amp;"'"&amp;"!c:c")),SUMIF(INDIRECT("'"&amp;D33&amp;"'"&amp;"!b:b"),"土地成本比率",INDIRECT("'"&amp;D33&amp;"'"&amp;"!c:c"))))</f>
        <v>0.58899999999999997</v>
      </c>
      <c r="E34" s="2457" t="s">
        <v>2164</v>
      </c>
      <c r="F34" s="1738"/>
      <c r="G34" s="138"/>
      <c r="H34" s="138"/>
      <c r="I34" s="138"/>
    </row>
    <row r="35" spans="1:15" ht="15.75" thickBot="1">
      <c r="A35" s="2458"/>
      <c r="B35" s="2459" t="s">
        <v>2165</v>
      </c>
      <c r="C35" s="1443">
        <f ca="1">IF(C33="自定义",F35,ROUND(C32*D35,0))</f>
        <v>1562</v>
      </c>
      <c r="D35" s="1444">
        <f ca="1">IF(C33="自定义",ROUND(C35/C32,3),IF(C33="收益比率",SUMIF(INDIRECT("'"&amp;D33&amp;"'"&amp;"!b:b"),"建筑物收益比率",INDIRECT("'"&amp;D33&amp;"'"&amp;"!c:c")),SUMIF(INDIRECT("'"&amp;D33&amp;"'"&amp;"!b:b"),"建筑物成本比率",INDIRECT("'"&amp;D33&amp;"'"&amp;"!c:c"))))</f>
        <v>0.41099999999999998</v>
      </c>
      <c r="E35" s="2460" t="s">
        <v>2166</v>
      </c>
      <c r="F35" s="163"/>
      <c r="G35" s="138"/>
      <c r="H35" s="138"/>
      <c r="I35" s="138"/>
    </row>
    <row r="36" spans="1:15" ht="15.75" thickBot="1">
      <c r="A36" s="3150" t="s">
        <v>2167</v>
      </c>
      <c r="B36" s="2461" t="s">
        <v>2168</v>
      </c>
      <c r="C36" s="154"/>
      <c r="D36" s="2462"/>
      <c r="E36" s="2463"/>
      <c r="F36" s="2464"/>
      <c r="G36" s="138"/>
      <c r="H36" s="138"/>
      <c r="I36" s="138"/>
    </row>
    <row r="37" spans="1:15" ht="15.75" thickBot="1">
      <c r="A37" s="3151"/>
      <c r="B37" s="2266" t="s">
        <v>2169</v>
      </c>
      <c r="C37" s="156"/>
      <c r="D37" s="1394"/>
      <c r="E37" s="1394"/>
      <c r="F37" s="2464"/>
      <c r="G37" s="138"/>
      <c r="H37" s="138"/>
      <c r="I37" s="138"/>
    </row>
    <row r="38" spans="1:15" ht="15.75" thickBot="1">
      <c r="A38" s="3152"/>
      <c r="B38" s="2465" t="s">
        <v>2170</v>
      </c>
      <c r="C38" s="726"/>
      <c r="D38" s="2466" t="s">
        <v>2171</v>
      </c>
      <c r="E38" s="1394"/>
      <c r="F38" s="2464"/>
      <c r="G38" s="138"/>
      <c r="H38" s="138"/>
      <c r="I38" s="138"/>
    </row>
    <row r="39" spans="1:15" ht="15">
      <c r="A39" s="2437" t="s">
        <v>2172</v>
      </c>
      <c r="B39" s="2467" t="s">
        <v>2173</v>
      </c>
      <c r="C39" s="2468" t="s">
        <v>2174</v>
      </c>
      <c r="D39" s="2468" t="s">
        <v>2175</v>
      </c>
      <c r="E39" s="2469" t="s">
        <v>2176</v>
      </c>
      <c r="F39" s="2464"/>
      <c r="G39" s="138"/>
      <c r="H39" s="138"/>
      <c r="I39" s="138"/>
    </row>
    <row r="40" spans="1:15" ht="14.25">
      <c r="A40" s="2470" t="s">
        <v>2177</v>
      </c>
      <c r="B40" s="158"/>
      <c r="C40" s="159"/>
      <c r="D40" s="159"/>
      <c r="E40" s="160"/>
      <c r="F40" s="2464"/>
      <c r="G40" s="138"/>
      <c r="H40" s="138"/>
      <c r="I40" s="138"/>
    </row>
    <row r="41" spans="1:15" ht="14.25">
      <c r="A41" s="2470" t="s">
        <v>2178</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2179</v>
      </c>
      <c r="B44" s="2475"/>
      <c r="C44" s="2475"/>
      <c r="D44" s="2476"/>
      <c r="E44" s="2476"/>
      <c r="F44" s="2477"/>
      <c r="G44" s="2477"/>
      <c r="H44" s="2477"/>
      <c r="I44" s="2477"/>
      <c r="J44" s="2478" t="s">
        <v>2180</v>
      </c>
      <c r="K44" s="2479"/>
      <c r="L44" s="2479"/>
      <c r="M44" s="2479"/>
      <c r="N44" s="2479"/>
      <c r="O44" s="2479"/>
    </row>
    <row r="45" spans="1:15" ht="14.25" customHeight="1" thickBot="1">
      <c r="A45" s="3167" t="s">
        <v>2181</v>
      </c>
      <c r="B45" s="3168"/>
      <c r="C45" s="3169"/>
      <c r="D45" s="164">
        <f ca="1">ROUND(H101*F45,0)</f>
        <v>3800</v>
      </c>
      <c r="E45" s="165" t="s">
        <v>2182</v>
      </c>
      <c r="F45" s="166">
        <v>1</v>
      </c>
      <c r="G45" s="167" t="s">
        <v>2183</v>
      </c>
      <c r="H45" s="138"/>
      <c r="I45" s="138"/>
      <c r="J45" s="3086" t="s">
        <v>2184</v>
      </c>
      <c r="K45" s="3086"/>
      <c r="L45" s="3086"/>
      <c r="M45" s="3086"/>
      <c r="N45" s="3086"/>
      <c r="O45" s="3086"/>
    </row>
    <row r="46" spans="1:15" ht="14.25" customHeight="1">
      <c r="A46" s="3164" t="s">
        <v>2185</v>
      </c>
      <c r="B46" s="3165"/>
      <c r="C46" s="3165"/>
      <c r="D46" s="3165"/>
      <c r="E46" s="3165"/>
      <c r="F46" s="3165"/>
      <c r="G46" s="3166"/>
      <c r="H46" s="2480"/>
      <c r="I46" s="168"/>
      <c r="J46" s="1811">
        <v>1</v>
      </c>
      <c r="K46" s="3086" t="s">
        <v>2186</v>
      </c>
      <c r="L46" s="3086"/>
      <c r="M46" s="3087"/>
      <c r="N46" s="3087"/>
      <c r="O46" s="3087"/>
    </row>
    <row r="47" spans="1:15" ht="12" customHeight="1">
      <c r="A47" s="169" t="s">
        <v>2187</v>
      </c>
      <c r="B47" s="170"/>
      <c r="C47" s="171"/>
      <c r="D47" s="172" t="s">
        <v>2188</v>
      </c>
      <c r="E47" s="24" t="s">
        <v>2189</v>
      </c>
      <c r="F47" s="173" t="s">
        <v>2190</v>
      </c>
      <c r="G47" s="174" t="s">
        <v>2191</v>
      </c>
      <c r="H47" s="2480"/>
      <c r="I47" s="168"/>
      <c r="J47" s="1811">
        <v>2</v>
      </c>
      <c r="K47" s="3086" t="s">
        <v>2192</v>
      </c>
      <c r="L47" s="3086"/>
      <c r="M47" s="3088">
        <f>'数据-取费表'!B2</f>
        <v>43321</v>
      </c>
      <c r="N47" s="3088"/>
      <c r="O47" s="3088"/>
    </row>
    <row r="48" spans="1:15" ht="25.5">
      <c r="A48" s="3154" t="s">
        <v>2193</v>
      </c>
      <c r="B48" s="3155"/>
      <c r="C48" s="3155"/>
      <c r="D48" s="140">
        <f ca="1">IF(H48="情况1",0,IF(H48="情况2",D52,IF(H48="情况3",D53,IF(H48="情况4",D54))))</f>
        <v>203</v>
      </c>
      <c r="E48" s="1800" t="str">
        <f>IF(H48="情况4","(销售额-原购置价)×税（费）率","销售额×税（费）率")</f>
        <v>销售额×税（费）率</v>
      </c>
      <c r="F48" s="175">
        <f>IF(H48="情况1","免征",'数据-取费表'!B41)</f>
        <v>5.6000000000000001E-2</v>
      </c>
      <c r="G48" s="2481" t="s">
        <v>2194</v>
      </c>
      <c r="H48" s="2482" t="s">
        <v>4070</v>
      </c>
      <c r="I48" s="2480"/>
      <c r="J48" s="1811">
        <v>3</v>
      </c>
      <c r="K48" s="3086" t="s">
        <v>2195</v>
      </c>
      <c r="L48" s="3086"/>
      <c r="M48" s="3089">
        <f ca="1">H101</f>
        <v>3800</v>
      </c>
      <c r="N48" s="3089"/>
      <c r="O48" s="3089"/>
    </row>
    <row r="49" spans="1:35" ht="25.5" customHeight="1">
      <c r="A49" s="176" t="s">
        <v>2196</v>
      </c>
      <c r="B49" s="3134" t="s">
        <v>2197</v>
      </c>
      <c r="C49" s="3134"/>
      <c r="D49" s="177">
        <v>0</v>
      </c>
      <c r="E49" s="23" t="s">
        <v>2198</v>
      </c>
      <c r="F49" s="28" t="s">
        <v>34</v>
      </c>
      <c r="G49" s="3115"/>
      <c r="H49" s="138"/>
      <c r="I49" s="2483"/>
      <c r="J49" s="1811">
        <v>4</v>
      </c>
      <c r="K49" s="3086" t="str">
        <f>IF(项目基本情况!E8="房地产抵押价值","房地产抵押价值","抵押担保权已注销时的房地产抵押价值")</f>
        <v>房地产抵押价值</v>
      </c>
      <c r="L49" s="3086"/>
      <c r="M49" s="3089">
        <f ca="1">IF(项目基本情况!E8="房地产抵押价值",H107,H109)</f>
        <v>3800</v>
      </c>
      <c r="N49" s="3089"/>
      <c r="O49" s="3089"/>
    </row>
    <row r="50" spans="1:35" ht="25.5" customHeight="1">
      <c r="A50" s="178"/>
      <c r="B50" s="3134" t="s">
        <v>2199</v>
      </c>
      <c r="C50" s="3134"/>
      <c r="D50" s="179"/>
      <c r="E50" s="31"/>
      <c r="F50" s="180"/>
      <c r="G50" s="3116"/>
      <c r="H50" s="138"/>
      <c r="I50" s="2483"/>
      <c r="J50" s="3086" t="s">
        <v>2200</v>
      </c>
      <c r="K50" s="3086"/>
      <c r="L50" s="3086"/>
      <c r="M50" s="3086"/>
      <c r="N50" s="3086"/>
      <c r="O50" s="3086"/>
    </row>
    <row r="51" spans="1:35" ht="12" customHeight="1">
      <c r="A51" s="181"/>
      <c r="B51" s="3134" t="s">
        <v>2201</v>
      </c>
      <c r="C51" s="3134"/>
      <c r="D51" s="182"/>
      <c r="E51" s="30"/>
      <c r="F51" s="180"/>
      <c r="G51" s="3117"/>
      <c r="H51" s="138"/>
      <c r="I51" s="2483"/>
      <c r="J51" s="2484" t="s">
        <v>2202</v>
      </c>
      <c r="K51" s="3086" t="s">
        <v>2203</v>
      </c>
      <c r="L51" s="3086"/>
      <c r="M51" s="2484" t="s">
        <v>2204</v>
      </c>
      <c r="N51" s="2484" t="s">
        <v>2205</v>
      </c>
      <c r="O51" s="2484" t="s">
        <v>2206</v>
      </c>
    </row>
    <row r="52" spans="1:35" ht="24" customHeight="1">
      <c r="A52" s="183" t="s">
        <v>2207</v>
      </c>
      <c r="B52" s="3134" t="s">
        <v>2208</v>
      </c>
      <c r="C52" s="3134"/>
      <c r="D52" s="182">
        <f ca="1">ROUND(D45*'数据-取费表'!B41/(1+'数据-取费表'!C42),0)</f>
        <v>203</v>
      </c>
      <c r="E52" s="11" t="s">
        <v>2209</v>
      </c>
      <c r="F52" s="184">
        <f>'数据-取费表'!B41</f>
        <v>5.6000000000000001E-2</v>
      </c>
      <c r="G52" s="2485"/>
      <c r="H52" s="138"/>
      <c r="I52" s="2483"/>
      <c r="J52" s="1811">
        <v>1</v>
      </c>
      <c r="K52" s="3109" t="s">
        <v>2210</v>
      </c>
      <c r="L52" s="3109"/>
      <c r="M52" s="1753">
        <f ca="1">D48</f>
        <v>203</v>
      </c>
      <c r="N52" s="1811" t="str">
        <f>E48</f>
        <v>销售额×税（费）率</v>
      </c>
      <c r="O52" s="1754">
        <f>F48</f>
        <v>5.6000000000000001E-2</v>
      </c>
    </row>
    <row r="53" spans="1:35" ht="12" customHeight="1">
      <c r="A53" s="183" t="s">
        <v>2211</v>
      </c>
      <c r="B53" s="3135" t="s">
        <v>2212</v>
      </c>
      <c r="C53" s="3136"/>
      <c r="D53" s="182">
        <f ca="1">ROUND(D45*'数据-取费表'!B41/(1+'数据-取费表'!C42),0)</f>
        <v>203</v>
      </c>
      <c r="E53" s="11" t="s">
        <v>2209</v>
      </c>
      <c r="F53" s="184">
        <f>'数据-取费表'!B41</f>
        <v>5.6000000000000001E-2</v>
      </c>
      <c r="G53" s="2485"/>
      <c r="H53" s="138"/>
      <c r="I53" s="2483"/>
      <c r="J53" s="1811">
        <v>2</v>
      </c>
      <c r="K53" s="3109" t="s">
        <v>2213</v>
      </c>
      <c r="L53" s="3109"/>
      <c r="M53" s="1753">
        <f t="shared" ref="M53:O54" ca="1" si="0">D55</f>
        <v>2</v>
      </c>
      <c r="N53" s="1811" t="str">
        <f t="shared" si="0"/>
        <v>销售额×税（费）率</v>
      </c>
      <c r="O53" s="1754">
        <f t="shared" si="0"/>
        <v>5.0000000000000001E-4</v>
      </c>
    </row>
    <row r="54" spans="1:35" ht="12" customHeight="1">
      <c r="A54" s="183" t="s">
        <v>2214</v>
      </c>
      <c r="B54" s="3135" t="s">
        <v>2215</v>
      </c>
      <c r="C54" s="3136"/>
      <c r="D54" s="182">
        <f ca="1">C68</f>
        <v>203</v>
      </c>
      <c r="E54" s="30" t="s">
        <v>2216</v>
      </c>
      <c r="F54" s="184">
        <f>'数据-取费表'!B41</f>
        <v>5.6000000000000001E-2</v>
      </c>
      <c r="G54" s="2485"/>
      <c r="H54" s="2486"/>
      <c r="I54" s="2483"/>
      <c r="J54" s="1811">
        <v>3</v>
      </c>
      <c r="K54" s="3109" t="s">
        <v>2217</v>
      </c>
      <c r="L54" s="3109"/>
      <c r="M54" s="1753">
        <f t="shared" ca="1" si="0"/>
        <v>2151</v>
      </c>
      <c r="N54" s="1811" t="str">
        <f t="shared" si="0"/>
        <v>增值额×税（费）率</v>
      </c>
      <c r="O54" s="1755" t="str">
        <f t="shared" si="0"/>
        <v>——</v>
      </c>
    </row>
    <row r="55" spans="1:35" ht="24" customHeight="1">
      <c r="A55" s="3173" t="s">
        <v>2218</v>
      </c>
      <c r="B55" s="3155"/>
      <c r="C55" s="3155"/>
      <c r="D55" s="185">
        <f ca="1">IF(H55="个人住宅",0,ROUND(D45*I55,0))</f>
        <v>2</v>
      </c>
      <c r="E55" s="11" t="s">
        <v>2219</v>
      </c>
      <c r="F55" s="184">
        <f>IF(H55="正常",I55,"免征")</f>
        <v>5.0000000000000001E-4</v>
      </c>
      <c r="G55" s="2485"/>
      <c r="H55" s="2482" t="s">
        <v>2220</v>
      </c>
      <c r="I55" s="186">
        <f>'数据-取费表'!B49</f>
        <v>5.0000000000000001E-4</v>
      </c>
      <c r="J55" s="1811" t="str">
        <f>IF(H59="非个人房产","",4)</f>
        <v/>
      </c>
      <c r="K55" s="3109" t="str">
        <f>IF(H59="非个人房产","——","个人所得税")</f>
        <v>——</v>
      </c>
      <c r="L55" s="3109"/>
      <c r="M55" s="1756" t="str">
        <f>D59</f>
        <v>——</v>
      </c>
      <c r="N55" s="1809" t="str">
        <f>E59</f>
        <v>——</v>
      </c>
      <c r="O55" s="1757" t="str">
        <f>F59</f>
        <v>——</v>
      </c>
    </row>
    <row r="56" spans="1:35" ht="24.75">
      <c r="A56" s="3173" t="s">
        <v>2221</v>
      </c>
      <c r="B56" s="3155"/>
      <c r="C56" s="3155"/>
      <c r="D56" s="185">
        <f ca="1">IF(H56="个人住宅",D57,D58)</f>
        <v>2151</v>
      </c>
      <c r="E56" s="11" t="s">
        <v>2222</v>
      </c>
      <c r="F56" s="184" t="str">
        <f>IF(H56="正常",F58,"免征")</f>
        <v>——</v>
      </c>
      <c r="G56" s="2487" t="s">
        <v>2223</v>
      </c>
      <c r="H56" s="2488" t="s">
        <v>2220</v>
      </c>
      <c r="I56" s="2489"/>
      <c r="J56" s="1811" t="str">
        <f>IF(项目基本情况!K6="上海银行",IF(J55="",4,J55+1),"")</f>
        <v/>
      </c>
      <c r="K56" s="3092" t="str">
        <f>IF(项目基本情况!K6="上海银行","其他处置费用","")</f>
        <v/>
      </c>
      <c r="L56" s="3093"/>
      <c r="M56" s="1753" t="str">
        <f>IF(项目基本情况!K6="上海银行",M69,"")</f>
        <v/>
      </c>
      <c r="N56" s="3095" t="str">
        <f>IF(项目基本情况!K6="上海银行","包含处置中涉及的律师、诉讼、拍卖、评估等费用","")</f>
        <v/>
      </c>
      <c r="O56" s="3096"/>
    </row>
    <row r="57" spans="1:35" ht="12.75">
      <c r="A57" s="183" t="s">
        <v>2196</v>
      </c>
      <c r="B57" s="3140" t="s">
        <v>2224</v>
      </c>
      <c r="C57" s="3141"/>
      <c r="D57" s="187">
        <v>0</v>
      </c>
      <c r="E57" s="23" t="s">
        <v>2198</v>
      </c>
      <c r="F57" s="155"/>
      <c r="G57" s="2485"/>
      <c r="H57" s="2489"/>
      <c r="I57" s="2489"/>
      <c r="J57" s="3109">
        <f>IF(AND(J55="",J56=""),4,IF(项目基本情况!K6="上海银行",结果表!J56+1,结果表!J55+1))</f>
        <v>4</v>
      </c>
      <c r="K57" s="3109" t="s">
        <v>2225</v>
      </c>
      <c r="L57" s="2490" t="s">
        <v>2226</v>
      </c>
      <c r="M57" s="1758"/>
      <c r="N57" s="1759">
        <f ca="1">SUMIF(M52:M56,"&lt;9e307")</f>
        <v>2356</v>
      </c>
      <c r="O57" s="2491"/>
      <c r="P57" s="1752">
        <f ca="1">N57/M49</f>
        <v>0.62</v>
      </c>
    </row>
    <row r="58" spans="1:35" ht="24.75">
      <c r="A58" s="183" t="s">
        <v>2207</v>
      </c>
      <c r="B58" s="3140" t="s">
        <v>2227</v>
      </c>
      <c r="C58" s="3153"/>
      <c r="D58" s="185">
        <f ca="1">IF(H58="转让取得",C81,C97)</f>
        <v>2151</v>
      </c>
      <c r="E58" s="11" t="s">
        <v>2222</v>
      </c>
      <c r="F58" s="24" t="s">
        <v>34</v>
      </c>
      <c r="G58" s="2485"/>
      <c r="H58" s="2488" t="s">
        <v>2228</v>
      </c>
      <c r="I58" s="2489"/>
      <c r="J58" s="3109"/>
      <c r="K58" s="3109"/>
      <c r="L58" s="2490" t="s">
        <v>2229</v>
      </c>
      <c r="M58" s="1760"/>
      <c r="N58" s="2492" t="str">
        <f ca="1">NUMBERSTRING(INT(N57*10000),2)&amp;"元整"</f>
        <v>贰仟叁佰伍拾陆万元整</v>
      </c>
      <c r="O58" s="2493"/>
    </row>
    <row r="59" spans="1:35" ht="24.75" thickBot="1">
      <c r="A59" s="3113" t="s">
        <v>2230</v>
      </c>
      <c r="B59" s="3114"/>
      <c r="C59" s="3114"/>
      <c r="D59" s="188" t="str">
        <f>IF(H59="非个人房产","——",IF(H59="个人住宅",0,ROUND(D45*I59,0)))</f>
        <v>——</v>
      </c>
      <c r="E59" s="189" t="str">
        <f>IF(H59="非个人房产","——","销售额×税（费）率")</f>
        <v>——</v>
      </c>
      <c r="F59" s="190" t="str">
        <f>IF(H59="非个人房产","——",IF(H59="个人住宅","免征",I59))</f>
        <v>——</v>
      </c>
      <c r="G59" s="2494" t="s">
        <v>2223</v>
      </c>
      <c r="H59" s="2488" t="s">
        <v>4071</v>
      </c>
      <c r="I59" s="191">
        <v>0.01</v>
      </c>
      <c r="J59" s="3111">
        <f>J57+1</f>
        <v>5</v>
      </c>
      <c r="K59" s="3109" t="s">
        <v>2231</v>
      </c>
      <c r="L59" s="1811" t="s">
        <v>2226</v>
      </c>
      <c r="M59" s="1761"/>
      <c r="N59" s="1762">
        <f ca="1">M49-N57</f>
        <v>1444</v>
      </c>
      <c r="O59" s="2495"/>
    </row>
    <row r="60" spans="1:35" ht="12" customHeight="1">
      <c r="A60" s="2496"/>
      <c r="B60" s="2418"/>
      <c r="C60" s="2418"/>
      <c r="D60" s="2418"/>
      <c r="E60" s="2165"/>
      <c r="F60" s="2489"/>
      <c r="G60" s="2489"/>
      <c r="H60" s="2497"/>
      <c r="I60" s="138"/>
      <c r="J60" s="3112"/>
      <c r="K60" s="3109"/>
      <c r="L60" s="2490" t="s">
        <v>2229</v>
      </c>
      <c r="M60" s="1760"/>
      <c r="N60" s="2492" t="str">
        <f ca="1">NUMBERSTRING(INT(N59*10000),2)&amp;"元整"</f>
        <v>壹仟肆佰肆拾肆万元整</v>
      </c>
      <c r="O60" s="2493"/>
    </row>
    <row r="61" spans="1:35" ht="13.5" thickBot="1">
      <c r="A61" s="3172" t="s">
        <v>2232</v>
      </c>
      <c r="B61" s="3172"/>
      <c r="C61" s="3172"/>
      <c r="D61" s="3172"/>
      <c r="E61" s="3172"/>
      <c r="F61" s="2489"/>
      <c r="G61" s="2489"/>
      <c r="H61" s="2497"/>
      <c r="I61" s="138"/>
      <c r="J61" s="1811">
        <f>J59+1</f>
        <v>6</v>
      </c>
      <c r="K61" s="3109" t="s">
        <v>2233</v>
      </c>
      <c r="L61" s="3109"/>
      <c r="M61" s="1763"/>
      <c r="N61" s="1764">
        <f ca="1">ROUND(N59*10000/'数据-汇总表'!E3,0)</f>
        <v>10462</v>
      </c>
      <c r="O61" s="2498"/>
    </row>
    <row r="62" spans="1:35" ht="12.75">
      <c r="A62" s="3129" t="s">
        <v>2234</v>
      </c>
      <c r="B62" s="3130"/>
      <c r="C62" s="1803"/>
      <c r="D62" s="1803" t="s">
        <v>2235</v>
      </c>
      <c r="E62" s="192" t="s">
        <v>2236</v>
      </c>
      <c r="F62" s="2489"/>
      <c r="G62" s="2489"/>
      <c r="H62" s="2497"/>
      <c r="I62" s="138"/>
    </row>
    <row r="63" spans="1:35" ht="12.75">
      <c r="A63" s="203" t="s">
        <v>775</v>
      </c>
      <c r="B63" s="193" t="s">
        <v>2237</v>
      </c>
      <c r="C63" s="194">
        <f ca="1">ROUND((C64+C65)/(1+'数据-取费表'!C42),0)</f>
        <v>3619</v>
      </c>
      <c r="D63" s="195"/>
      <c r="E63" s="196"/>
      <c r="F63" s="2489"/>
      <c r="G63" s="2489"/>
      <c r="H63" s="2497"/>
      <c r="I63" s="138"/>
      <c r="J63" s="3094" t="s">
        <v>2238</v>
      </c>
      <c r="K63" s="2499" t="s">
        <v>2239</v>
      </c>
      <c r="L63" s="1751">
        <f ca="1">IF(M49&gt;10000,M49*0.5%,IF(AND(M49&gt;1000,M49&lt;=10000),M49*1%,IF(AND(M49&gt;100,M49&lt;=1000),M49*3%,IF(AND(M49&gt;10,M49&lt;=100),M49*5%,M49*8%))))</f>
        <v>38</v>
      </c>
      <c r="M63" s="24">
        <f ca="1">ROUND(L63,1)</f>
        <v>38</v>
      </c>
      <c r="Z63" s="2423"/>
      <c r="AI63" s="2424"/>
    </row>
    <row r="64" spans="1:35" ht="14.25" customHeight="1">
      <c r="A64" s="197" t="s">
        <v>770</v>
      </c>
      <c r="B64" s="198" t="s">
        <v>2240</v>
      </c>
      <c r="C64" s="199">
        <f ca="1">D45</f>
        <v>3800</v>
      </c>
      <c r="D64" s="200" t="s">
        <v>32</v>
      </c>
      <c r="E64" s="201"/>
      <c r="F64" s="2489"/>
      <c r="G64" s="2489"/>
      <c r="H64" s="2497"/>
      <c r="I64" s="138"/>
      <c r="J64" s="3094"/>
      <c r="K64" s="2499" t="s">
        <v>2241</v>
      </c>
      <c r="L64" s="1751">
        <f ca="1">IF(M49&gt;2000,M49*0.5%,IF(AND(M49&gt;1000,M49&lt;=2000),M49*0.6%,IF(AND(M49&gt;500,M49&lt;=1000),M49*0.7%,IF(AND(M49&gt;200,M49&lt;=500),M49*0.8%,IF(AND(M49&gt;100,M49&lt;=200),M49*0.9%,IF(AND(M49&gt;50,M49&lt;=100),M49*1%,IF(AND(M49&gt;20,M49&lt;=50),M49*1.5%,IF(AND(M49&gt;10,M49&lt;=20),M49*2%,IF(AND(M49&gt;1,M49&lt;=10),M49*2.5%)))))))))</f>
        <v>19</v>
      </c>
      <c r="M64" s="24">
        <f t="shared" ref="M64:M65" ca="1" si="1">ROUND(L64,1)</f>
        <v>19</v>
      </c>
      <c r="N64" s="138" t="s">
        <v>2242</v>
      </c>
      <c r="Z64" s="2423"/>
      <c r="AI64" s="2424"/>
    </row>
    <row r="65" spans="1:35" ht="14.25" customHeight="1">
      <c r="A65" s="197" t="s">
        <v>771</v>
      </c>
      <c r="B65" s="198" t="s">
        <v>2243</v>
      </c>
      <c r="C65" s="202"/>
      <c r="D65" s="200"/>
      <c r="E65" s="201"/>
      <c r="F65" s="2489"/>
      <c r="G65" s="2489"/>
      <c r="H65" s="2497"/>
      <c r="I65" s="138"/>
      <c r="J65" s="3094"/>
      <c r="K65" s="2499" t="s">
        <v>2244</v>
      </c>
      <c r="L65" s="1751">
        <f ca="1">IF(M49&gt;1000,M49*0.1%,IF(AND(M49&gt;500,M49&lt;=1000),M49*0.5%,IF(AND(M49&gt;50,M49&lt;=500),M49*1%,IF(AND(M49&gt;1,M49&lt;=50),M49*1.5%))))</f>
        <v>3.8000000000000003</v>
      </c>
      <c r="M65" s="24">
        <f t="shared" ca="1" si="1"/>
        <v>3.8</v>
      </c>
      <c r="N65" s="138" t="s">
        <v>2242</v>
      </c>
      <c r="Z65" s="2423"/>
      <c r="AI65" s="2424"/>
    </row>
    <row r="66" spans="1:35" ht="14.25" customHeight="1">
      <c r="A66" s="203" t="s">
        <v>772</v>
      </c>
      <c r="B66" s="204" t="s">
        <v>2245</v>
      </c>
      <c r="C66" s="205"/>
      <c r="D66" s="206" t="s">
        <v>32</v>
      </c>
      <c r="E66" s="1775" t="s">
        <v>1371</v>
      </c>
      <c r="F66" s="2489"/>
      <c r="G66" s="2489"/>
      <c r="H66" s="2497"/>
      <c r="I66" s="138"/>
      <c r="J66" s="3094"/>
      <c r="K66" s="2499" t="s">
        <v>2246</v>
      </c>
      <c r="L66" s="1751">
        <f ca="1">M49*0.5%</f>
        <v>19</v>
      </c>
      <c r="M66" s="24">
        <f ca="1">IF(L66&gt;0.5,0.5,ROUND(L66,0))</f>
        <v>0.5</v>
      </c>
      <c r="N66" s="138" t="s">
        <v>2247</v>
      </c>
      <c r="Z66" s="2423"/>
      <c r="AI66" s="2424"/>
    </row>
    <row r="67" spans="1:35" ht="14.25" customHeight="1">
      <c r="A67" s="203" t="s">
        <v>773</v>
      </c>
      <c r="B67" s="204" t="s">
        <v>2248</v>
      </c>
      <c r="C67" s="207">
        <f ca="1">C63-C66</f>
        <v>3619</v>
      </c>
      <c r="D67" s="200" t="s">
        <v>32</v>
      </c>
      <c r="E67" s="201"/>
      <c r="F67" s="2489"/>
      <c r="G67" s="2489"/>
      <c r="H67" s="2497"/>
      <c r="I67" s="138"/>
      <c r="J67" s="3094"/>
      <c r="K67" s="2499" t="s">
        <v>2249</v>
      </c>
      <c r="L67" s="1751">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3"/>
      <c r="AI67" s="2424"/>
    </row>
    <row r="68" spans="1:35" ht="14.25" customHeight="1" thickBot="1">
      <c r="A68" s="208" t="s">
        <v>774</v>
      </c>
      <c r="B68" s="209" t="s">
        <v>2250</v>
      </c>
      <c r="C68" s="210">
        <f ca="1">IF(C67&lt;=0,0,ROUND(C67*D68,0))</f>
        <v>203</v>
      </c>
      <c r="D68" s="211">
        <f>'数据-取费表'!B41</f>
        <v>5.6000000000000001E-2</v>
      </c>
      <c r="E68" s="212"/>
      <c r="F68" s="2489"/>
      <c r="G68" s="2489"/>
      <c r="H68" s="2497"/>
      <c r="I68" s="138"/>
      <c r="J68" s="3094"/>
      <c r="K68" s="2499" t="s">
        <v>2251</v>
      </c>
      <c r="L68" s="1751">
        <f ca="1">IF(M49&gt;10000,M49*0.5%,IF(AND(M49&gt;5000,M49&lt;=10000),M49*1%,IF(AND(M49&gt;1000,M49&lt;=5000),M49*2%,IF(AND(M49&gt;200,M49&lt;=1000),M49*3%,M49*5%))))</f>
        <v>76</v>
      </c>
      <c r="M68" s="24">
        <f ca="1">ROUND(L68,1)</f>
        <v>76</v>
      </c>
      <c r="Z68" s="2423"/>
      <c r="AI68" s="2424"/>
    </row>
    <row r="69" spans="1:35" s="2446" customFormat="1" ht="16.5" customHeight="1">
      <c r="A69" s="2500"/>
      <c r="B69" s="2501"/>
      <c r="C69" s="2502"/>
      <c r="D69" s="2503"/>
      <c r="E69" s="2504"/>
      <c r="F69" s="2165"/>
      <c r="G69" s="2165"/>
      <c r="H69" s="2164"/>
      <c r="I69" s="2418"/>
      <c r="J69" s="3094"/>
      <c r="K69" s="2499" t="s">
        <v>2252</v>
      </c>
      <c r="L69" s="2505"/>
      <c r="M69" s="24">
        <f ca="1">ROUND(SUM(M63:M68),0)</f>
        <v>140</v>
      </c>
      <c r="N69" s="1752">
        <f ca="1">M69/M49</f>
        <v>3.6842105263157891E-2</v>
      </c>
      <c r="O69" s="794"/>
      <c r="P69" s="794"/>
      <c r="Q69" s="794"/>
      <c r="R69" s="794"/>
      <c r="S69" s="794"/>
      <c r="T69" s="794"/>
      <c r="U69" s="794"/>
      <c r="V69" s="794"/>
      <c r="W69" s="794"/>
      <c r="X69" s="794"/>
      <c r="Y69" s="794"/>
      <c r="Z69" s="2423"/>
      <c r="AA69" s="2423"/>
      <c r="AB69" s="2423"/>
      <c r="AC69" s="2423"/>
      <c r="AD69" s="2423"/>
      <c r="AE69" s="2423"/>
      <c r="AF69" s="2423"/>
      <c r="AG69" s="2423"/>
      <c r="AH69" s="2423"/>
    </row>
    <row r="70" spans="1:35" s="2507" customFormat="1" ht="15" thickBot="1">
      <c r="A70" s="3138" t="s">
        <v>2253</v>
      </c>
      <c r="B70" s="3139"/>
      <c r="C70" s="3139"/>
      <c r="D70" s="3139"/>
      <c r="E70" s="3139"/>
      <c r="F70" s="3139"/>
      <c r="G70" s="3139"/>
      <c r="H70" s="3139"/>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29" t="s">
        <v>2234</v>
      </c>
      <c r="B71" s="3130"/>
      <c r="C71" s="1803"/>
      <c r="D71" s="1803" t="s">
        <v>2235</v>
      </c>
      <c r="E71" s="213" t="s">
        <v>2236</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2254</v>
      </c>
      <c r="C72" s="207">
        <f ca="1">ROUND(D45/(1+'数据-取费表'!C42),0)</f>
        <v>3619</v>
      </c>
      <c r="D72" s="200" t="s">
        <v>32</v>
      </c>
      <c r="E72" s="1802"/>
      <c r="F72" s="1796"/>
      <c r="G72" s="1796"/>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2255</v>
      </c>
      <c r="C73" s="207">
        <f ca="1">C74+C78</f>
        <v>22</v>
      </c>
      <c r="D73" s="200" t="s">
        <v>32</v>
      </c>
      <c r="E73" s="1802"/>
      <c r="F73" s="1796"/>
      <c r="G73" s="1796"/>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2256</v>
      </c>
      <c r="C74" s="200">
        <f>ROUND(IF(G77="2016年5月1日后购买",C75/(1+'数据-取费表'!C42)+C76+C77,C75+C76+C77),0)</f>
        <v>0</v>
      </c>
      <c r="D74" s="200" t="s">
        <v>32</v>
      </c>
      <c r="E74" s="1802"/>
      <c r="F74" s="1796"/>
      <c r="G74" s="1796"/>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2257</v>
      </c>
      <c r="C75" s="218"/>
      <c r="D75" s="200" t="s">
        <v>32</v>
      </c>
      <c r="E75" s="219" t="s">
        <v>2258</v>
      </c>
      <c r="F75" s="2511" t="s">
        <v>2259</v>
      </c>
      <c r="G75" s="219" t="s">
        <v>2260</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2261</v>
      </c>
      <c r="C76" s="200">
        <f>IF(F75="购房发票",ROUND(C75*H75*D76,0),0)</f>
        <v>0</v>
      </c>
      <c r="D76" s="222">
        <v>0.05</v>
      </c>
      <c r="E76" s="3135" t="s">
        <v>2262</v>
      </c>
      <c r="F76" s="3134"/>
      <c r="G76" s="3134"/>
      <c r="H76" s="3137"/>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2263</v>
      </c>
      <c r="C77" s="200">
        <f>ROUND(IF(G77="个人住宅",0,IF(G77="2016年5月1日前购买",C75*D77,C75*D77/(1+'数据-取费表'!C42))),0)</f>
        <v>0</v>
      </c>
      <c r="D77" s="223">
        <f>'数据-取费表'!B48+'数据-取费表'!B49</f>
        <v>4.0500000000000001E-2</v>
      </c>
      <c r="E77" s="15" t="s">
        <v>2264</v>
      </c>
      <c r="F77" s="224"/>
      <c r="G77" s="2513" t="s">
        <v>2265</v>
      </c>
      <c r="H77" s="1807"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2266</v>
      </c>
      <c r="C78" s="225">
        <f ca="1">ROUND(D45*D78/(1+'数据-取费表'!C42),0)</f>
        <v>22</v>
      </c>
      <c r="D78" s="226">
        <f>'数据-取费表'!B43</f>
        <v>6.000000000000001E-3</v>
      </c>
      <c r="E78" s="3126" t="s">
        <v>2267</v>
      </c>
      <c r="F78" s="3127"/>
      <c r="G78" s="3127"/>
      <c r="H78" s="3128"/>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2268</v>
      </c>
      <c r="C79" s="207">
        <f ca="1">C72-C73</f>
        <v>3597</v>
      </c>
      <c r="D79" s="200" t="s">
        <v>32</v>
      </c>
      <c r="E79" s="1802"/>
      <c r="F79" s="1796"/>
      <c r="G79" s="1796"/>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2269</v>
      </c>
      <c r="C80" s="227">
        <f ca="1">IF(C79&lt;=0,0,C79/C73)</f>
        <v>163.5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2270</v>
      </c>
      <c r="C81" s="228">
        <f ca="1">ROUND(IF(C79&lt;=0,0,IF(C80&gt;=200%,C79*60%-C73*35%,IF(C80&gt;=100%,C79*50%-C73*15%,IF(C80&gt;=50%,C79*40%-C73*5%,IF(C80&lt;50%,C79*30%,0))))),0)</f>
        <v>2151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2"/>
      <c r="B82" s="733"/>
      <c r="C82" s="7"/>
      <c r="D82" s="7"/>
      <c r="E82" s="733"/>
      <c r="F82" s="733"/>
      <c r="G82" s="733"/>
      <c r="H82" s="734"/>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38" t="s">
        <v>2271</v>
      </c>
      <c r="B83" s="3139"/>
      <c r="C83" s="3139"/>
      <c r="D83" s="3139"/>
      <c r="E83" s="3139"/>
      <c r="F83" s="3139"/>
      <c r="G83" s="3139"/>
      <c r="H83" s="3139"/>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29" t="s">
        <v>2234</v>
      </c>
      <c r="B84" s="3130"/>
      <c r="C84" s="1803"/>
      <c r="D84" s="1803" t="s">
        <v>2235</v>
      </c>
      <c r="E84" s="213" t="s">
        <v>2236</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2254</v>
      </c>
      <c r="C85" s="207">
        <f ca="1">ROUND(D45/(1+'数据-取费表'!C42),0)</f>
        <v>3619</v>
      </c>
      <c r="D85" s="200" t="s">
        <v>32</v>
      </c>
      <c r="E85" s="1802"/>
      <c r="F85" s="1796"/>
      <c r="G85" s="1796"/>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2255</v>
      </c>
      <c r="C86" s="207">
        <f ca="1">IF(H88="仅含出让金",C87+C90+C91+C92+C93+C94,C87+C91+C92+C93+C94)</f>
        <v>22</v>
      </c>
      <c r="D86" s="235"/>
      <c r="E86" s="1802"/>
      <c r="F86" s="1796"/>
      <c r="G86" s="1796"/>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2272</v>
      </c>
      <c r="C87" s="225">
        <f>C88+C89</f>
        <v>0</v>
      </c>
      <c r="D87" s="226"/>
      <c r="E87" s="1798"/>
      <c r="F87" s="1799"/>
      <c r="G87" s="1799"/>
      <c r="H87" s="1801"/>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2273</v>
      </c>
      <c r="C88" s="236"/>
      <c r="D88" s="226"/>
      <c r="E88" s="237" t="s">
        <v>2274</v>
      </c>
      <c r="F88" s="1799"/>
      <c r="G88" s="238" t="s">
        <v>2275</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2263</v>
      </c>
      <c r="C89" s="225">
        <f>ROUND(C88*D89,0)</f>
        <v>0</v>
      </c>
      <c r="D89" s="226">
        <f>'数据-取费表'!B48+'数据-取费表'!B49</f>
        <v>4.0500000000000001E-2</v>
      </c>
      <c r="E89" s="237" t="s">
        <v>2276</v>
      </c>
      <c r="F89" s="1799"/>
      <c r="G89" s="1799"/>
      <c r="H89" s="1801"/>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2277</v>
      </c>
      <c r="C90" s="236"/>
      <c r="D90" s="226"/>
      <c r="E90" s="237" t="str">
        <f>IF(H88="-","土地取得成本中已包含该笔费用"," ")</f>
        <v xml:space="preserve"> </v>
      </c>
      <c r="F90" s="1799"/>
      <c r="G90" s="1799"/>
      <c r="H90" s="1801"/>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2278</v>
      </c>
      <c r="B91" s="198" t="s">
        <v>2279</v>
      </c>
      <c r="C91" s="225">
        <f>IF(H91="——",成本法!C33,I91)</f>
        <v>0</v>
      </c>
      <c r="D91" s="226"/>
      <c r="E91" s="3126" t="s">
        <v>2280</v>
      </c>
      <c r="F91" s="3127"/>
      <c r="G91" s="3127"/>
      <c r="H91" s="2518" t="s">
        <v>2281</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2282</v>
      </c>
      <c r="B92" s="198" t="s">
        <v>2283</v>
      </c>
      <c r="C92" s="225">
        <f>ROUND((C87+C90+C91)*D92,0)</f>
        <v>0</v>
      </c>
      <c r="D92" s="226">
        <v>0.1</v>
      </c>
      <c r="E92" s="3126" t="s">
        <v>2284</v>
      </c>
      <c r="F92" s="3127"/>
      <c r="G92" s="3127"/>
      <c r="H92" s="3128"/>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2285</v>
      </c>
      <c r="B93" s="198" t="s">
        <v>2266</v>
      </c>
      <c r="C93" s="225">
        <f ca="1">ROUND(D45*D93/(1+'数据-取费表'!C42),0)</f>
        <v>22</v>
      </c>
      <c r="D93" s="226">
        <f>'数据-取费表'!B43</f>
        <v>6.000000000000001E-3</v>
      </c>
      <c r="E93" s="3126" t="s">
        <v>2267</v>
      </c>
      <c r="F93" s="3127"/>
      <c r="G93" s="3127"/>
      <c r="H93" s="3128"/>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2286</v>
      </c>
      <c r="B94" s="198" t="s">
        <v>2287</v>
      </c>
      <c r="C94" s="236">
        <f>ROUND((C87+C90+C91)*D94,0)</f>
        <v>0</v>
      </c>
      <c r="D94" s="226">
        <v>0.2</v>
      </c>
      <c r="E94" s="3174" t="s">
        <v>2288</v>
      </c>
      <c r="F94" s="3175"/>
      <c r="G94" s="3175"/>
      <c r="H94" s="3176"/>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2268</v>
      </c>
      <c r="C95" s="207">
        <f ca="1">ROUND(C85-C86,0)</f>
        <v>3597</v>
      </c>
      <c r="D95" s="200" t="s">
        <v>32</v>
      </c>
      <c r="E95" s="1802"/>
      <c r="F95" s="1796"/>
      <c r="G95" s="1796"/>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2269</v>
      </c>
      <c r="C96" s="227">
        <f ca="1">IF(C95&lt;=0,0,C95/C86)</f>
        <v>163.5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2270</v>
      </c>
      <c r="C97" s="228">
        <f ca="1">ROUND(IF(C95&lt;=0,0,IF(C96&gt;=200%,C95*60%-C86*35%,IF(C96&gt;=100%,C95*50%-C86*15%,IF(C96&gt;=50%,C95*40%-C86*5%,IF(C96&lt;50%,C95*30%,0))))),0)</f>
        <v>2151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2289</v>
      </c>
      <c r="B99" s="2418"/>
      <c r="C99" s="2418"/>
      <c r="D99" s="2418"/>
      <c r="E99" s="2165"/>
      <c r="F99" s="2165"/>
      <c r="G99" s="2165"/>
      <c r="H99" s="2164"/>
      <c r="I99" s="138"/>
    </row>
    <row r="100" spans="1:35" ht="18.75" customHeight="1">
      <c r="A100" s="3078" t="s">
        <v>2290</v>
      </c>
      <c r="B100" s="3079"/>
      <c r="C100" s="3079"/>
      <c r="D100" s="3110"/>
      <c r="E100" s="3079" t="s">
        <v>2291</v>
      </c>
      <c r="F100" s="3079"/>
      <c r="G100" s="3079"/>
      <c r="H100" s="3110"/>
      <c r="I100" s="138"/>
    </row>
    <row r="101" spans="1:35" ht="18.75" customHeight="1">
      <c r="A101" s="3118" t="s">
        <v>2292</v>
      </c>
      <c r="B101" s="3119"/>
      <c r="C101" s="735" t="str">
        <f>C4</f>
        <v>比较法-商业</v>
      </c>
      <c r="D101" s="736" t="str">
        <f>D4</f>
        <v>收益法</v>
      </c>
      <c r="E101" s="3090" t="s">
        <v>2293</v>
      </c>
      <c r="F101" s="3091"/>
      <c r="G101" s="2520" t="s">
        <v>2294</v>
      </c>
      <c r="H101" s="1047">
        <f ca="1">H118</f>
        <v>3800</v>
      </c>
      <c r="I101" s="138"/>
    </row>
    <row r="102" spans="1:35" ht="18.75" customHeight="1">
      <c r="A102" s="3120" t="s">
        <v>2295</v>
      </c>
      <c r="B102" s="2520" t="s">
        <v>2294</v>
      </c>
      <c r="C102" s="735">
        <f ca="1">C19</f>
        <v>4233</v>
      </c>
      <c r="D102" s="736">
        <f ca="1">D19</f>
        <v>3151</v>
      </c>
      <c r="E102" s="3090"/>
      <c r="F102" s="3091"/>
      <c r="G102" s="2520" t="s">
        <v>2296</v>
      </c>
      <c r="H102" s="371">
        <f ca="1">I118</f>
        <v>27531</v>
      </c>
      <c r="I102" s="138"/>
    </row>
    <row r="103" spans="1:35" ht="42.75" customHeight="1">
      <c r="A103" s="3120"/>
      <c r="B103" s="2520" t="s">
        <v>2296</v>
      </c>
      <c r="C103" s="737">
        <f ca="1">C20</f>
        <v>30670</v>
      </c>
      <c r="D103" s="738">
        <f ca="1">D20</f>
        <v>22829</v>
      </c>
      <c r="E103" s="3084" t="s">
        <v>2297</v>
      </c>
      <c r="F103" s="3085"/>
      <c r="G103" s="2521" t="s">
        <v>2298</v>
      </c>
      <c r="H103" s="1047">
        <f>IF(D36="正常操作",H104+H105+H106,H105+H106)</f>
        <v>0</v>
      </c>
      <c r="I103" s="138"/>
    </row>
    <row r="104" spans="1:35" ht="18.75" customHeight="1">
      <c r="A104" s="3120" t="s">
        <v>2299</v>
      </c>
      <c r="B104" s="2522" t="s">
        <v>2294</v>
      </c>
      <c r="C104" s="739">
        <f ca="1">H118</f>
        <v>3800</v>
      </c>
      <c r="D104" s="740"/>
      <c r="E104" s="2266" t="s">
        <v>2300</v>
      </c>
      <c r="F104" s="2257"/>
      <c r="G104" s="2521" t="s">
        <v>2298</v>
      </c>
      <c r="H104" s="1048">
        <f>IF(D36="同一抵押权人同一抵押物续贷",C36&amp;"（未扣减，详见特别提示）",C36)</f>
        <v>0</v>
      </c>
      <c r="I104" s="138"/>
    </row>
    <row r="105" spans="1:35" ht="18.75" customHeight="1" thickBot="1">
      <c r="A105" s="3132"/>
      <c r="B105" s="2523" t="s">
        <v>2296</v>
      </c>
      <c r="C105" s="741">
        <f ca="1">I118</f>
        <v>27531</v>
      </c>
      <c r="D105" s="742"/>
      <c r="E105" s="2266" t="s">
        <v>2301</v>
      </c>
      <c r="F105" s="2257"/>
      <c r="G105" s="2521" t="s">
        <v>2298</v>
      </c>
      <c r="H105" s="1048">
        <f>C37</f>
        <v>0</v>
      </c>
      <c r="I105" s="138"/>
    </row>
    <row r="106" spans="1:35" ht="18.75" customHeight="1">
      <c r="A106" s="2418" t="s">
        <v>2302</v>
      </c>
      <c r="B106" s="2418"/>
      <c r="C106" s="2418"/>
      <c r="D106" s="2418"/>
      <c r="E106" s="2524" t="s">
        <v>2303</v>
      </c>
      <c r="F106" s="2257"/>
      <c r="G106" s="2521" t="s">
        <v>2298</v>
      </c>
      <c r="H106" s="1048">
        <f>C38</f>
        <v>0</v>
      </c>
      <c r="I106" s="138"/>
    </row>
    <row r="107" spans="1:35" ht="18.75" customHeight="1">
      <c r="A107" s="138"/>
      <c r="B107" s="138"/>
      <c r="C107" s="138"/>
      <c r="D107" s="138"/>
      <c r="E107" s="3121" t="str">
        <f>IF(项目基本情况!E8="已注销","——","3.房地产抵押价值")</f>
        <v>3.房地产抵押价值</v>
      </c>
      <c r="F107" s="3091"/>
      <c r="G107" s="2520" t="s">
        <v>2294</v>
      </c>
      <c r="H107" s="1047">
        <f ca="1">IF(E107="——","——",H101-H103)</f>
        <v>3800</v>
      </c>
      <c r="I107" s="138"/>
    </row>
    <row r="108" spans="1:35" ht="18.75" customHeight="1">
      <c r="A108" s="138"/>
      <c r="B108" s="138"/>
      <c r="C108" s="138"/>
      <c r="D108" s="138"/>
      <c r="E108" s="3121"/>
      <c r="F108" s="3091"/>
      <c r="G108" s="2520" t="s">
        <v>2296</v>
      </c>
      <c r="H108" s="371">
        <f ca="1">ROUND(H107*10000/'数据-汇总表'!E3,0)</f>
        <v>27531</v>
      </c>
      <c r="I108" s="138"/>
    </row>
    <row r="109" spans="1:35" ht="18.75" customHeight="1">
      <c r="A109" s="138"/>
      <c r="B109" s="138"/>
      <c r="C109" s="138"/>
      <c r="D109" s="138"/>
      <c r="E109" s="3121" t="str">
        <f>IF(项目基本情况!E8="已注销及未注销","4.抵押担保权已注销时的房地产抵押价值",IF(项目基本情况!E8="已注销","3.抵押担保权已注销时的房地产抵押价值","——"))</f>
        <v>——</v>
      </c>
      <c r="F109" s="3091"/>
      <c r="G109" s="2520" t="s">
        <v>2294</v>
      </c>
      <c r="H109" s="348" t="str">
        <f>IF(E109="——","——",H101-H105-H106)</f>
        <v>——</v>
      </c>
      <c r="I109" s="138"/>
    </row>
    <row r="110" spans="1:35" ht="18.75" customHeight="1">
      <c r="A110" s="138"/>
      <c r="B110" s="138"/>
      <c r="C110" s="138"/>
      <c r="D110" s="138"/>
      <c r="E110" s="3121"/>
      <c r="F110" s="3091"/>
      <c r="G110" s="2520" t="s">
        <v>2296</v>
      </c>
      <c r="H110" s="371" t="str">
        <f>IF(H109="——","——",ROUND(H109*10000/'数据-汇总表'!E3,0))</f>
        <v>——</v>
      </c>
      <c r="I110" s="138"/>
    </row>
    <row r="111" spans="1:35" ht="18.75" customHeight="1">
      <c r="A111" s="138"/>
      <c r="B111" s="138"/>
      <c r="C111" s="138"/>
      <c r="D111" s="138"/>
      <c r="E111" s="3122" t="str">
        <f>IF(项目基本情况!E9="抵押净值",IF(OR(项目基本情况!E8="已注销",项目基本情况!E8="房地产抵押价值"),"4.抵押净值","5.抵押净值"),"——")</f>
        <v>——</v>
      </c>
      <c r="F111" s="3123"/>
      <c r="G111" s="2520" t="s">
        <v>2294</v>
      </c>
      <c r="H111" s="1047" t="str">
        <f>IF(E111="——","——",N59)</f>
        <v>——</v>
      </c>
      <c r="I111" s="138"/>
    </row>
    <row r="112" spans="1:35" ht="18.75" customHeight="1" thickBot="1">
      <c r="A112" s="138"/>
      <c r="B112" s="138"/>
      <c r="C112" s="138"/>
      <c r="D112" s="138"/>
      <c r="E112" s="3124"/>
      <c r="F112" s="3125"/>
      <c r="G112" s="2525" t="s">
        <v>2296</v>
      </c>
      <c r="H112" s="789" t="str">
        <f>IF(E111="——","——",N61)</f>
        <v>——</v>
      </c>
      <c r="I112" s="138"/>
    </row>
    <row r="113" spans="1:11" ht="18.75" customHeight="1">
      <c r="A113" s="138"/>
      <c r="B113" s="138"/>
      <c r="C113" s="138"/>
      <c r="D113" s="138"/>
      <c r="E113" s="3133" t="s">
        <v>2302</v>
      </c>
      <c r="F113" s="3133"/>
      <c r="G113" s="3133"/>
      <c r="H113" s="3133"/>
      <c r="I113" s="138"/>
    </row>
    <row r="114" spans="1:11" ht="3.75" customHeight="1">
      <c r="A114" s="2418"/>
      <c r="B114" s="2418"/>
      <c r="C114" s="2418"/>
      <c r="D114" s="2418"/>
      <c r="E114" s="2496"/>
      <c r="F114" s="2496"/>
      <c r="G114" s="2496"/>
      <c r="H114" s="2496"/>
      <c r="I114" s="2418"/>
    </row>
    <row r="115" spans="1:11" ht="18.75" customHeight="1">
      <c r="A115" s="3146" t="s">
        <v>2304</v>
      </c>
      <c r="B115" s="3147"/>
      <c r="C115" s="3147"/>
      <c r="D115" s="3147"/>
      <c r="E115" s="3147"/>
      <c r="F115" s="3147"/>
      <c r="G115" s="3147"/>
      <c r="H115" s="3147"/>
      <c r="I115" s="3148"/>
    </row>
    <row r="116" spans="1:11" ht="27" customHeight="1">
      <c r="A116" s="3057" t="s">
        <v>2305</v>
      </c>
      <c r="B116" s="3100" t="s">
        <v>3051</v>
      </c>
      <c r="C116" s="3100" t="s">
        <v>3100</v>
      </c>
      <c r="D116" s="3106" t="s">
        <v>2306</v>
      </c>
      <c r="E116" s="3107"/>
      <c r="F116" s="3142" t="s">
        <v>3099</v>
      </c>
      <c r="G116" s="3142"/>
      <c r="H116" s="3057" t="s">
        <v>2307</v>
      </c>
      <c r="I116" s="3057"/>
    </row>
    <row r="117" spans="1:11" ht="18.75" customHeight="1">
      <c r="A117" s="3057"/>
      <c r="B117" s="3101"/>
      <c r="C117" s="3101"/>
      <c r="D117" s="1797" t="s">
        <v>2308</v>
      </c>
      <c r="E117" s="1797" t="s">
        <v>2309</v>
      </c>
      <c r="F117" s="1797" t="s">
        <v>2308</v>
      </c>
      <c r="G117" s="1797" t="s">
        <v>2310</v>
      </c>
      <c r="H117" s="1797" t="s">
        <v>2308</v>
      </c>
      <c r="I117" s="1797" t="s">
        <v>2310</v>
      </c>
    </row>
    <row r="118" spans="1:11" ht="24.75" customHeight="1">
      <c r="A118" s="2526" t="str">
        <f>项目基本情况!S2</f>
        <v>山东省济南市天桥区世茂天城房地产</v>
      </c>
      <c r="B118" s="1797">
        <f>M18</f>
        <v>1380.28</v>
      </c>
      <c r="C118" s="1797">
        <f>M19</f>
        <v>6332.52</v>
      </c>
      <c r="D118" s="1797">
        <f ca="1">ROUND(IF(D32="总价",C34,E118*B118/10000),0)</f>
        <v>2238</v>
      </c>
      <c r="E118" s="1797">
        <f ca="1">ROUND(IF(C33="自定义",IF(D32="楼面单价",C34,D118*10000/B118),I118-G118),0)</f>
        <v>16214</v>
      </c>
      <c r="F118" s="1797">
        <f ca="1">ROUND(IF(D32="总价",C35,G118*B118/10000),0)</f>
        <v>1562</v>
      </c>
      <c r="G118" s="1797">
        <f ca="1">ROUND(IF(D32="楼面单价",C35,F118*10000/B118),0)</f>
        <v>11317</v>
      </c>
      <c r="H118" s="1797">
        <f ca="1">ROUND(IF(D32="总价",C32,I118*B118/10000),0)</f>
        <v>3800</v>
      </c>
      <c r="I118" s="1797">
        <f ca="1">ROUND(IF(D32="楼面单价",C32,H118*10000/B118),0)</f>
        <v>27531</v>
      </c>
    </row>
    <row r="119" spans="1:11" ht="18.75" customHeight="1">
      <c r="A119" s="3057" t="s">
        <v>2311</v>
      </c>
      <c r="B119" s="3057"/>
      <c r="C119" s="3057"/>
      <c r="D119" s="3102" t="str">
        <f ca="1">NUMBERSTRING(INT(D118*10000),2)&amp;"元整"</f>
        <v>贰仟贰佰叁拾捌万元整</v>
      </c>
      <c r="E119" s="3103"/>
      <c r="F119" s="3102" t="str">
        <f ca="1">NUMBERSTRING(INT(F118*10000),2)&amp;"元整"</f>
        <v>壹仟伍佰陆拾贰万元整</v>
      </c>
      <c r="G119" s="3103"/>
      <c r="H119" s="3102" t="str">
        <f ca="1">NUMBERSTRING(INT(H118*10000),2)&amp;"元整"</f>
        <v>叁仟捌佰万元整</v>
      </c>
      <c r="I119" s="3103"/>
    </row>
    <row r="120" spans="1:11" ht="18.75" customHeight="1">
      <c r="A120" s="3097" t="str">
        <f>IF(项目基本情况!B9="房地产市场价值","",MID(E103,3,LEN(E103)-2))</f>
        <v>估价师知悉的法定优先受偿款</v>
      </c>
      <c r="B120" s="3098"/>
      <c r="C120" s="3099"/>
      <c r="D120" s="3097">
        <f>H103</f>
        <v>0</v>
      </c>
      <c r="E120" s="3098"/>
      <c r="F120" s="3098"/>
      <c r="G120" s="3098"/>
      <c r="H120" s="3098"/>
      <c r="I120" s="3099"/>
      <c r="K120" s="2423" t="str">
        <f>IF(D120=0,"故，本次评估不存在"&amp;A120,"故，本次评估"&amp;A120&amp;"为人民币"&amp;D120&amp;"万元整。")</f>
        <v>故，本次评估不存在估价师知悉的法定优先受偿款</v>
      </c>
    </row>
    <row r="121" spans="1:11" ht="18.75" customHeight="1">
      <c r="A121" s="3143" t="s">
        <v>2311</v>
      </c>
      <c r="B121" s="3144"/>
      <c r="C121" s="3145"/>
      <c r="D121" s="3102" t="str">
        <f>IF(D120=0,"零元整",NUMBERSTRING(INT(D120*10000),2)&amp;"元整")</f>
        <v>零元整</v>
      </c>
      <c r="E121" s="3104"/>
      <c r="F121" s="3104"/>
      <c r="G121" s="3104"/>
      <c r="H121" s="3104"/>
      <c r="I121" s="3103"/>
    </row>
    <row r="122" spans="1:11" ht="18.75" customHeight="1">
      <c r="A122" s="3108" t="str">
        <f>IF(项目基本情况!B9="房地产市场价值","",MID(E107,3,LEN(E107)-2))</f>
        <v>房地产抵押价值</v>
      </c>
      <c r="B122" s="3108"/>
      <c r="C122" s="3108"/>
      <c r="D122" s="3097">
        <f ca="1">H107</f>
        <v>3800</v>
      </c>
      <c r="E122" s="3098"/>
      <c r="F122" s="3098"/>
      <c r="G122" s="3098"/>
      <c r="H122" s="3098"/>
      <c r="I122" s="3099"/>
    </row>
    <row r="123" spans="1:11" ht="18.75" customHeight="1">
      <c r="A123" s="3057" t="s">
        <v>2311</v>
      </c>
      <c r="B123" s="3057"/>
      <c r="C123" s="3057"/>
      <c r="D123" s="3102" t="str">
        <f ca="1">NUMBERSTRING(INT(D122*10000),2)&amp;"元整"</f>
        <v>叁仟捌佰万元整</v>
      </c>
      <c r="E123" s="3104"/>
      <c r="F123" s="3104"/>
      <c r="G123" s="3104"/>
      <c r="H123" s="3104"/>
      <c r="I123" s="3103"/>
    </row>
    <row r="124" spans="1:11" ht="18.75" customHeight="1">
      <c r="A124" s="3108" t="str">
        <f>IF(项目基本情况!B9="房地产市场价值","",MID(E109,3,LEN(E109)-2))</f>
        <v/>
      </c>
      <c r="B124" s="3108"/>
      <c r="C124" s="3108"/>
      <c r="D124" s="3097" t="str">
        <f>H109</f>
        <v>——</v>
      </c>
      <c r="E124" s="3098"/>
      <c r="F124" s="3098"/>
      <c r="G124" s="3098"/>
      <c r="H124" s="3098"/>
      <c r="I124" s="3099"/>
    </row>
    <row r="125" spans="1:11" ht="18.75" customHeight="1">
      <c r="A125" s="3057" t="s">
        <v>2311</v>
      </c>
      <c r="B125" s="3057"/>
      <c r="C125" s="3057"/>
      <c r="D125" s="3102" t="e">
        <f>NUMBERSTRING(INT(D124*10000),2)&amp;"元整"</f>
        <v>#VALUE!</v>
      </c>
      <c r="E125" s="3104"/>
      <c r="F125" s="3104"/>
      <c r="G125" s="3104"/>
      <c r="H125" s="3104"/>
      <c r="I125" s="3103"/>
    </row>
    <row r="126" spans="1:11" ht="18.75" customHeight="1">
      <c r="A126" s="3108" t="str">
        <f>IF(项目基本情况!B9="房地产市场价值","",MID(E111,3,LEN(E111)-2))</f>
        <v/>
      </c>
      <c r="B126" s="3108"/>
      <c r="C126" s="3108"/>
      <c r="D126" s="3097" t="str">
        <f>H111</f>
        <v>——</v>
      </c>
      <c r="E126" s="3098"/>
      <c r="F126" s="3098"/>
      <c r="G126" s="3098"/>
      <c r="H126" s="3098"/>
      <c r="I126" s="3099"/>
    </row>
    <row r="127" spans="1:11" ht="18.75" customHeight="1">
      <c r="A127" s="3057" t="s">
        <v>2311</v>
      </c>
      <c r="B127" s="3057"/>
      <c r="C127" s="3057"/>
      <c r="D127" s="3102" t="e">
        <f>NUMBERSTRING(INT(D126*10000),2)&amp;"元整"</f>
        <v>#VALUE!</v>
      </c>
      <c r="E127" s="3104"/>
      <c r="F127" s="3104"/>
      <c r="G127" s="3104"/>
      <c r="H127" s="3104"/>
      <c r="I127" s="3103"/>
    </row>
    <row r="128" spans="1:11" ht="21.75" customHeight="1">
      <c r="A128" s="3105" t="s">
        <v>2312</v>
      </c>
      <c r="B128" s="3105"/>
      <c r="C128" s="3105"/>
      <c r="D128" s="3105"/>
      <c r="E128" s="3105"/>
      <c r="F128" s="3105"/>
      <c r="G128" s="3105"/>
      <c r="H128" s="3105"/>
      <c r="I128" s="3105"/>
    </row>
    <row r="129" spans="1:35" ht="21.75" customHeight="1">
      <c r="A129" s="2527" t="s">
        <v>2313</v>
      </c>
      <c r="B129" s="2528"/>
      <c r="C129" s="2529" t="s">
        <v>2314</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4"/>
    </row>
    <row r="135" spans="1:35" ht="21.75" customHeight="1">
      <c r="A135" s="794"/>
      <c r="B135" s="794"/>
      <c r="C135" s="794"/>
      <c r="D135" s="794"/>
      <c r="E135" s="794"/>
      <c r="F135" s="2543" t="s">
        <v>2315</v>
      </c>
      <c r="G135" s="2544"/>
      <c r="H135" s="2544"/>
      <c r="I135" s="2545" t="s">
        <v>2316</v>
      </c>
    </row>
    <row r="136" spans="1:35" ht="21.75" customHeight="1">
      <c r="A136" s="794"/>
      <c r="B136" s="2546" t="s">
        <v>2317</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4"/>
      <c r="C138" s="2544"/>
      <c r="D138" s="2544"/>
      <c r="E138" s="2544"/>
      <c r="F138" s="2544"/>
      <c r="G138" s="2544"/>
      <c r="H138" s="2544"/>
      <c r="I138" s="2545" t="s">
        <v>2318</v>
      </c>
    </row>
    <row r="139" spans="1:35" ht="21.75" customHeight="1">
      <c r="A139" s="794"/>
      <c r="B139" s="2546" t="s">
        <v>2319</v>
      </c>
      <c r="C139" s="794"/>
      <c r="D139" s="794"/>
      <c r="E139" s="794"/>
      <c r="F139" s="794"/>
      <c r="G139" s="794"/>
      <c r="H139" s="794"/>
      <c r="I139" s="794"/>
    </row>
    <row r="140" spans="1:35" ht="21.75" customHeight="1">
      <c r="A140" s="794"/>
      <c r="B140" s="2546"/>
      <c r="C140" s="794"/>
      <c r="D140" s="794"/>
      <c r="E140" s="794"/>
      <c r="F140" s="794"/>
      <c r="G140" s="794"/>
      <c r="H140" s="794"/>
      <c r="I140" s="794"/>
    </row>
    <row r="141" spans="1:35" ht="21.75" customHeight="1">
      <c r="A141" s="794"/>
      <c r="B141" s="2544"/>
      <c r="C141" s="2544"/>
      <c r="D141" s="2544"/>
      <c r="E141" s="2544"/>
      <c r="F141" s="2544"/>
      <c r="G141" s="2544"/>
      <c r="H141" s="2544"/>
      <c r="I141" s="2545" t="s">
        <v>2318</v>
      </c>
    </row>
    <row r="142" spans="1:35" ht="21.75" customHeight="1">
      <c r="A142" s="794"/>
      <c r="B142" s="2546"/>
      <c r="C142" s="2547"/>
      <c r="D142" s="2548"/>
      <c r="E142" s="2548"/>
      <c r="F142" s="2340"/>
      <c r="G142" s="794"/>
      <c r="H142" s="794"/>
      <c r="I142" s="794"/>
    </row>
    <row r="143" spans="1:35" s="139" customFormat="1" ht="21.75" customHeight="1">
      <c r="A143" s="794"/>
      <c r="B143" s="2546"/>
      <c r="C143" s="2547"/>
      <c r="D143" s="2548"/>
      <c r="E143" s="2548"/>
      <c r="F143" s="2340"/>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3"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3"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3"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3"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3"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3"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3"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3"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3"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3"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3"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3"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3"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3"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3"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3"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3"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3"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3"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3"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3"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3"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3"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3"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3"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3"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3"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3"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3"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3"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3"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3"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3"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3"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3"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3"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3"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3"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3"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3"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3"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3"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3"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3"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3"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3"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3"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3"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3"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3"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3"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3"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3"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3"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3"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3"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3"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3"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3"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3"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3"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3"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3"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3"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3"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3"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3"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3"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3"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3"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3"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3"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3"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3"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3"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3"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3"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3"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3"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3"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3"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3"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3"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3"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3"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3"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3"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3"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3"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3"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3"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3"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3"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3"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3"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3"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3"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3"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3"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3"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3"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3"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3"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3"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22" sqref="C22"/>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91" t="str">
        <f>项目基本情况!B1</f>
        <v>山东省济南市天桥区世茂天城房地产抵押价值预评估</v>
      </c>
      <c r="C37" s="2991"/>
      <c r="D37" s="2991"/>
      <c r="E37" s="2991"/>
      <c r="F37" s="2991"/>
      <c r="G37" s="2991"/>
      <c r="H37" s="2991"/>
      <c r="I37" s="2991"/>
    </row>
    <row r="38" spans="1:9">
      <c r="A38" s="1018"/>
      <c r="B38" s="1018"/>
    </row>
    <row r="39" spans="1:9">
      <c r="A39" s="1016" t="s">
        <v>818</v>
      </c>
      <c r="B39" s="1016" t="s">
        <v>820</v>
      </c>
    </row>
    <row r="40" spans="1:9">
      <c r="A40" s="1016"/>
      <c r="B40" s="1944" t="str">
        <f>项目基本情况!B5</f>
        <v>五矿信托有限责任公司</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 ca="1">项目基本情况!K4</f>
        <v>王鹏（注册号：1120050019)、郑燚（注册号：1120070131)</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2320</v>
      </c>
      <c r="B1" s="1939"/>
      <c r="C1" s="242"/>
      <c r="D1" s="242"/>
      <c r="E1" s="242"/>
      <c r="F1" s="242"/>
      <c r="G1" s="1381">
        <f>MATCH(B1,'数据-取费表'!A6:A16,0)+5</f>
        <v>7</v>
      </c>
    </row>
    <row r="2" spans="1:9" s="244" customFormat="1" ht="18" customHeight="1">
      <c r="A2" s="245" t="s">
        <v>2321</v>
      </c>
      <c r="B2" s="246">
        <f ca="1">IF(D2="——",C52,C52-E2)</f>
        <v>762</v>
      </c>
      <c r="C2" s="243" t="s">
        <v>2322</v>
      </c>
      <c r="D2" s="2549" t="s">
        <v>70</v>
      </c>
      <c r="E2" s="1442" t="e">
        <f ca="1">SUMIF(INDIRECT("'"&amp;G2&amp;"'"&amp;"!A:A"),"承租人权益价值",INDIRECT("'"&amp;G2&amp;"'"&amp;"!c:c"))</f>
        <v>#REF!</v>
      </c>
      <c r="F2" s="2550" t="s">
        <v>2322</v>
      </c>
      <c r="G2" s="2551"/>
    </row>
    <row r="3" spans="1:9" s="244" customFormat="1" ht="18" customHeight="1" thickBot="1">
      <c r="A3" s="247" t="s">
        <v>2323</v>
      </c>
      <c r="B3" s="248">
        <f ca="1">ROUND(B2*10000/(IF(B1="",'数据-汇总表'!E3,INDIRECT("'数据-取费表'!k"&amp;$G$1))),0)</f>
        <v>5521</v>
      </c>
      <c r="C3" s="243" t="s">
        <v>2324</v>
      </c>
      <c r="D3" s="243"/>
      <c r="E3" s="243"/>
      <c r="F3" s="243"/>
      <c r="G3" s="243"/>
    </row>
    <row r="4" spans="1:9" s="252" customFormat="1" ht="15.75">
      <c r="A4" s="249" t="s">
        <v>2325</v>
      </c>
      <c r="B4" s="250"/>
      <c r="C4" s="250"/>
      <c r="D4" s="250"/>
      <c r="E4" s="250"/>
      <c r="F4" s="250"/>
      <c r="G4" s="251"/>
    </row>
    <row r="5" spans="1:9" s="258" customFormat="1" ht="13.5" customHeight="1">
      <c r="A5" s="299" t="s">
        <v>2326</v>
      </c>
      <c r="B5" s="254" t="s">
        <v>2327</v>
      </c>
      <c r="C5" s="255">
        <f ca="1">C6+C7+C8</f>
        <v>13</v>
      </c>
      <c r="D5" s="255" t="s">
        <v>2328</v>
      </c>
      <c r="E5" s="256" t="s">
        <v>2329</v>
      </c>
      <c r="F5" s="256" t="s">
        <v>2330</v>
      </c>
      <c r="G5" s="257"/>
    </row>
    <row r="6" spans="1:9" s="258" customFormat="1" ht="13.5" customHeight="1">
      <c r="A6" s="951" t="s">
        <v>2331</v>
      </c>
      <c r="B6" s="259" t="s">
        <v>2332</v>
      </c>
      <c r="C6" s="260"/>
      <c r="D6" s="261"/>
      <c r="E6" s="262"/>
      <c r="F6" s="262"/>
      <c r="G6" s="263"/>
    </row>
    <row r="7" spans="1:9" s="258" customFormat="1" ht="13.5" customHeight="1">
      <c r="A7" s="951" t="s">
        <v>2333</v>
      </c>
      <c r="B7" s="259" t="s">
        <v>2334</v>
      </c>
      <c r="C7" s="264">
        <f>ROUND(C6*F7,0)</f>
        <v>0</v>
      </c>
      <c r="D7" s="264"/>
      <c r="E7" s="262"/>
      <c r="F7" s="265">
        <f>'数据-取费表'!B48+'数据-取费表'!B49</f>
        <v>4.0500000000000001E-2</v>
      </c>
      <c r="G7" s="263"/>
    </row>
    <row r="8" spans="1:9" s="267" customFormat="1">
      <c r="A8" s="951" t="s">
        <v>2335</v>
      </c>
      <c r="B8" s="259" t="s">
        <v>2336</v>
      </c>
      <c r="C8" s="264">
        <f ca="1">IF(G8="已包含在土地购买价格中","0",IF(B1="",'数据-取费表'!B29,IF(G9="全部缴纳",C9+C10,H9)))</f>
        <v>13</v>
      </c>
      <c r="D8" s="266"/>
      <c r="E8" s="264"/>
      <c r="F8" s="265"/>
      <c r="G8" s="2552"/>
    </row>
    <row r="9" spans="1:9" s="258" customFormat="1" ht="13.5" customHeight="1">
      <c r="A9" s="952" t="s">
        <v>800</v>
      </c>
      <c r="B9" s="268" t="s">
        <v>2337</v>
      </c>
      <c r="C9" s="269">
        <f ca="1">ROUND(D9*E9/10000,0)</f>
        <v>0</v>
      </c>
      <c r="D9" s="1034">
        <f ca="1">IF(B1="",'数据-汇总表'!E5,IF(INDIRECT("'数据-取费表'!c"&amp;$G$1)="住宅",INDIRECT("'数据-取费表'!k"&amp;$G$1),0))</f>
        <v>0</v>
      </c>
      <c r="E9" s="269">
        <f>'数据-取费表'!B27</f>
        <v>92</v>
      </c>
      <c r="F9" s="265"/>
      <c r="G9" s="2553"/>
      <c r="H9" s="1392"/>
      <c r="I9" s="2554" t="s">
        <v>2338</v>
      </c>
    </row>
    <row r="10" spans="1:9" s="258" customFormat="1" ht="13.5" customHeight="1">
      <c r="A10" s="952" t="s">
        <v>801</v>
      </c>
      <c r="B10" s="268" t="s">
        <v>2339</v>
      </c>
      <c r="C10" s="269">
        <f ca="1">ROUND(D10*E10/10000,0)</f>
        <v>13</v>
      </c>
      <c r="D10" s="1034">
        <f ca="1">IF(B1="",'数据-汇总表'!E6,IF(INDIRECT("'数据-取费表'!c"&amp;$G$1)="住宅",INDIRECT("'数据-取费表'!s"&amp;$G$1),INDIRECT("'数据-取费表'!k"&amp;$G$1)+INDIRECT("'数据-取费表'!s"&amp;$G$1)))</f>
        <v>1380.28</v>
      </c>
      <c r="E10" s="269">
        <f>'数据-取费表'!B28</f>
        <v>92</v>
      </c>
      <c r="F10" s="265"/>
      <c r="G10" s="270"/>
    </row>
    <row r="11" spans="1:9" s="258" customFormat="1" ht="13.5" hidden="1" customHeight="1">
      <c r="A11" s="271" t="s">
        <v>7</v>
      </c>
      <c r="B11" s="259" t="s">
        <v>2340</v>
      </c>
      <c r="C11" s="255"/>
      <c r="D11" s="1036"/>
      <c r="E11" s="262"/>
      <c r="F11" s="262"/>
      <c r="G11" s="263"/>
    </row>
    <row r="12" spans="1:9" s="258" customFormat="1" ht="13.5" hidden="1" customHeight="1">
      <c r="A12" s="271" t="s">
        <v>8</v>
      </c>
      <c r="B12" s="259" t="s">
        <v>2341</v>
      </c>
      <c r="C12" s="255">
        <v>0</v>
      </c>
      <c r="D12" s="1036"/>
      <c r="E12" s="272"/>
      <c r="F12" s="265">
        <v>3.0499999999999999E-2</v>
      </c>
      <c r="G12" s="263"/>
    </row>
    <row r="13" spans="1:9" s="258" customFormat="1" ht="13.5" hidden="1" customHeight="1">
      <c r="A13" s="271" t="s">
        <v>9</v>
      </c>
      <c r="B13" s="259" t="s">
        <v>2342</v>
      </c>
      <c r="C13" s="255"/>
      <c r="D13" s="1036"/>
      <c r="E13" s="262"/>
      <c r="F13" s="262"/>
      <c r="G13" s="263"/>
    </row>
    <row r="14" spans="1:9" s="258" customFormat="1" ht="13.5" hidden="1" customHeight="1">
      <c r="A14" s="271" t="s">
        <v>10</v>
      </c>
      <c r="B14" s="259" t="s">
        <v>2343</v>
      </c>
      <c r="C14" s="255"/>
      <c r="D14" s="1036"/>
      <c r="E14" s="262"/>
      <c r="F14" s="262"/>
      <c r="G14" s="263" t="s">
        <v>2344</v>
      </c>
    </row>
    <row r="15" spans="1:9" s="258" customFormat="1" ht="13.5" hidden="1" customHeight="1">
      <c r="A15" s="271" t="s">
        <v>11</v>
      </c>
      <c r="B15" s="259" t="s">
        <v>2345</v>
      </c>
      <c r="C15" s="264"/>
      <c r="D15" s="1036"/>
      <c r="E15" s="262"/>
      <c r="F15" s="262"/>
      <c r="G15" s="263" t="s">
        <v>2346</v>
      </c>
    </row>
    <row r="16" spans="1:9" s="258" customFormat="1" ht="13.5" hidden="1" customHeight="1">
      <c r="A16" s="271" t="s">
        <v>12</v>
      </c>
      <c r="B16" s="259" t="s">
        <v>2343</v>
      </c>
      <c r="C16" s="264"/>
      <c r="D16" s="1036"/>
      <c r="E16" s="262"/>
      <c r="F16" s="262"/>
      <c r="G16" s="263"/>
    </row>
    <row r="17" spans="1:7" s="258" customFormat="1" ht="13.5" hidden="1" customHeight="1">
      <c r="A17" s="271" t="s">
        <v>13</v>
      </c>
      <c r="B17" s="259" t="s">
        <v>2347</v>
      </c>
      <c r="C17" s="273"/>
      <c r="D17" s="1037"/>
      <c r="E17" s="273"/>
      <c r="F17" s="273"/>
      <c r="G17" s="263" t="s">
        <v>2346</v>
      </c>
    </row>
    <row r="18" spans="1:7" s="258" customFormat="1" ht="13.5" hidden="1" customHeight="1">
      <c r="A18" s="271" t="s">
        <v>14</v>
      </c>
      <c r="B18" s="259" t="s">
        <v>2348</v>
      </c>
      <c r="C18" s="264">
        <v>0</v>
      </c>
      <c r="D18" s="1036"/>
      <c r="E18" s="262"/>
      <c r="F18" s="265">
        <v>3.0499999999999999E-2</v>
      </c>
      <c r="G18" s="263" t="s">
        <v>2349</v>
      </c>
    </row>
    <row r="19" spans="1:7" s="267" customFormat="1" ht="13.5" customHeight="1">
      <c r="A19" s="299" t="s">
        <v>2350</v>
      </c>
      <c r="B19" s="254" t="s">
        <v>2351</v>
      </c>
      <c r="C19" s="255">
        <f ca="1">IF(G19="已包含在土地取得成本中","0",ROUND(D19*E19/10000,0))</f>
        <v>28</v>
      </c>
      <c r="D19" s="1038">
        <f ca="1">D9+D10</f>
        <v>1380.28</v>
      </c>
      <c r="E19" s="255">
        <f>'数据-取费表'!B31</f>
        <v>200</v>
      </c>
      <c r="F19" s="275"/>
      <c r="G19" s="2552"/>
    </row>
    <row r="20" spans="1:7" s="258" customFormat="1" ht="13.5" customHeight="1">
      <c r="A20" s="299" t="s">
        <v>2352</v>
      </c>
      <c r="B20" s="254" t="s">
        <v>2353</v>
      </c>
      <c r="C20" s="276">
        <f ca="1">ROUND((C5+C19)*F20,0)</f>
        <v>1</v>
      </c>
      <c r="D20" s="276"/>
      <c r="E20" s="276"/>
      <c r="F20" s="277">
        <f>'数据-取费表'!B37</f>
        <v>0.02</v>
      </c>
      <c r="G20" s="278" t="s">
        <v>2354</v>
      </c>
    </row>
    <row r="21" spans="1:7" s="258" customFormat="1" ht="13.5" customHeight="1">
      <c r="A21" s="299" t="s">
        <v>2355</v>
      </c>
      <c r="B21" s="254" t="s">
        <v>2356</v>
      </c>
      <c r="C21" s="279">
        <f>F21</f>
        <v>0.02</v>
      </c>
      <c r="D21" s="280" t="s">
        <v>2357</v>
      </c>
      <c r="E21" s="276"/>
      <c r="F21" s="277">
        <f>'数据-取费表'!B38</f>
        <v>0.02</v>
      </c>
      <c r="G21" s="278" t="s">
        <v>2358</v>
      </c>
    </row>
    <row r="22" spans="1:7" s="258" customFormat="1" ht="13.5" customHeight="1">
      <c r="A22" s="299" t="s">
        <v>2359</v>
      </c>
      <c r="B22" s="254" t="s">
        <v>2360</v>
      </c>
      <c r="C22" s="1356">
        <f ca="1">ROUND(SUM(C23:C25),0)</f>
        <v>2</v>
      </c>
      <c r="D22" s="279">
        <f ca="1">C26</f>
        <v>4.0000000000000002E-4</v>
      </c>
      <c r="E22" s="280" t="s">
        <v>2357</v>
      </c>
      <c r="F22" s="281">
        <f ca="1">'数据-取费表'!B40</f>
        <v>4.3499999999999997E-2</v>
      </c>
      <c r="G22" s="278" t="str">
        <f>IF('数据-取费表'!B22&lt;=1,"单利计息","复利计息")</f>
        <v>单利计息</v>
      </c>
    </row>
    <row r="23" spans="1:7" s="258" customFormat="1" ht="13.5" customHeight="1">
      <c r="A23" s="953" t="s">
        <v>2361</v>
      </c>
      <c r="B23" s="259" t="s">
        <v>2362</v>
      </c>
      <c r="C23" s="1357">
        <f ca="1">ROUND(IF('数据-取费表'!B22&lt;=1,C5*F22*'数据-取费表'!B23,C5*(POWER((1+F22),'数据-取费表'!B23)-1)),0)</f>
        <v>1</v>
      </c>
      <c r="D23" s="282"/>
      <c r="E23" s="282"/>
      <c r="F23" s="283"/>
      <c r="G23" s="284" t="s">
        <v>2363</v>
      </c>
    </row>
    <row r="24" spans="1:7" s="258" customFormat="1" ht="13.5" customHeight="1">
      <c r="A24" s="953" t="s">
        <v>2364</v>
      </c>
      <c r="B24" s="259" t="s">
        <v>2365</v>
      </c>
      <c r="C24" s="1357">
        <f ca="1">ROUND(IF('数据-取费表'!B22&lt;=1,C19*F22*('数据-取费表'!B19/2+'数据-取费表'!B21),C19*(POWER((1+F22),('数据-取费表'!B19/2+'数据-取费表'!B21))-1)),0)</f>
        <v>1</v>
      </c>
      <c r="D24" s="282"/>
      <c r="E24" s="282"/>
      <c r="F24" s="283"/>
      <c r="G24" s="284" t="s">
        <v>2366</v>
      </c>
    </row>
    <row r="25" spans="1:7" s="258" customFormat="1" ht="24">
      <c r="A25" s="953" t="s">
        <v>2367</v>
      </c>
      <c r="B25" s="259" t="s">
        <v>2368</v>
      </c>
      <c r="C25" s="1357">
        <f ca="1">ROUND(IF('数据-取费表'!B22&lt;=1,C20*F22*'数据-取费表'!B23/2,C20*(POWER((1+F22),'数据-取费表'!B23/2)-1)),0)</f>
        <v>0</v>
      </c>
      <c r="D25" s="282"/>
      <c r="E25" s="285"/>
      <c r="F25" s="283"/>
      <c r="G25" s="286" t="s">
        <v>2369</v>
      </c>
    </row>
    <row r="26" spans="1:7" s="258" customFormat="1">
      <c r="A26" s="953" t="s">
        <v>795</v>
      </c>
      <c r="B26" s="259" t="s">
        <v>2370</v>
      </c>
      <c r="C26" s="282">
        <f ca="1">ROUND(IF('数据-取费表'!B22&lt;=1,F21*F22*'数据-取费表'!B23/2,F21*(POWER((1+F22),'数据-取费表'!B23/2)-1)),4)</f>
        <v>4.0000000000000002E-4</v>
      </c>
      <c r="D26" s="282"/>
      <c r="E26" s="285"/>
      <c r="F26" s="283"/>
      <c r="G26" s="287"/>
    </row>
    <row r="27" spans="1:7" s="258" customFormat="1" ht="24.75">
      <c r="A27" s="299" t="s">
        <v>2371</v>
      </c>
      <c r="B27" s="288" t="s">
        <v>2372</v>
      </c>
      <c r="C27" s="289">
        <f ca="1">C28</f>
        <v>8</v>
      </c>
      <c r="D27" s="279">
        <f ca="1">C29</f>
        <v>4.0000000000000001E-3</v>
      </c>
      <c r="E27" s="280" t="s">
        <v>2373</v>
      </c>
      <c r="F27" s="290">
        <f ca="1">IF(B1="",'数据-取费表'!Q16,INDIRECT("'数据-取费表'!q"&amp;$G$1))</f>
        <v>0.2</v>
      </c>
      <c r="G27" s="291" t="s">
        <v>2374</v>
      </c>
    </row>
    <row r="28" spans="1:7" s="258" customFormat="1" ht="13.5" customHeight="1">
      <c r="A28" s="953" t="s">
        <v>791</v>
      </c>
      <c r="B28" s="292" t="s">
        <v>2375</v>
      </c>
      <c r="C28" s="293">
        <f ca="1">ROUND((C5+C19+C20)*F27*'数据-取费表'!B21/'数据-取费表'!B20,0)</f>
        <v>8</v>
      </c>
      <c r="D28" s="279"/>
      <c r="E28" s="280"/>
      <c r="F28" s="290"/>
      <c r="G28" s="291"/>
    </row>
    <row r="29" spans="1:7" s="258" customFormat="1" ht="13.5" customHeight="1">
      <c r="A29" s="953" t="s">
        <v>792</v>
      </c>
      <c r="B29" s="292" t="s">
        <v>2376</v>
      </c>
      <c r="C29" s="282">
        <f ca="1">ROUND(C21*F27*'数据-取费表'!B21/'数据-取费表'!B20,4)</f>
        <v>4.0000000000000001E-3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56</v>
      </c>
      <c r="D31" s="274"/>
      <c r="E31" s="255"/>
      <c r="F31" s="294"/>
      <c r="G31" s="278" t="s">
        <v>2381</v>
      </c>
    </row>
    <row r="32" spans="1:7" s="252" customFormat="1" ht="15.75">
      <c r="A32" s="296" t="s">
        <v>2382</v>
      </c>
      <c r="B32" s="297"/>
      <c r="C32" s="297"/>
      <c r="D32" s="297"/>
      <c r="E32" s="297"/>
      <c r="F32" s="297"/>
      <c r="G32" s="298"/>
    </row>
    <row r="33" spans="1:7" s="258" customFormat="1" ht="13.5" customHeight="1">
      <c r="A33" s="299" t="s">
        <v>782</v>
      </c>
      <c r="B33" s="254" t="s">
        <v>2383</v>
      </c>
      <c r="C33" s="300">
        <f ca="1">SUM(C34:C38)</f>
        <v>532</v>
      </c>
      <c r="D33" s="276"/>
      <c r="E33" s="256"/>
      <c r="F33" s="285"/>
      <c r="G33" s="278"/>
    </row>
    <row r="34" spans="1:7" s="302" customFormat="1" ht="13.5" customHeight="1">
      <c r="A34" s="953" t="s">
        <v>791</v>
      </c>
      <c r="B34" s="259" t="s">
        <v>2384</v>
      </c>
      <c r="C34" s="264">
        <f ca="1">IF(B1="",IF(F34=100%,'数据-取费表'!M16,'数据-取费表'!O16),IF(F34=100%,INDIRECT("'数据-取费表'!m"&amp;$G$1)+INDIRECT("'数据-取费表'!t"&amp;$G$1),INDIRECT("'数据-取费表'!o"&amp;$G$1)+INDIRECT("'数据-取费表'!aq"&amp;$G$1)))</f>
        <v>483</v>
      </c>
      <c r="D34" s="261"/>
      <c r="E34" s="264"/>
      <c r="F34" s="301">
        <f ca="1">IF('数据-取费表'!B24=0,1,IF(B1="",'数据-取费表'!N16,INDIRECT("'数据-取费表'!n"&amp;$G$1)))</f>
        <v>1</v>
      </c>
      <c r="G34" s="263" t="s">
        <v>2385</v>
      </c>
    </row>
    <row r="35" spans="1:7" ht="13.5" customHeight="1">
      <c r="A35" s="953" t="s">
        <v>796</v>
      </c>
      <c r="B35" s="259" t="s">
        <v>2386</v>
      </c>
      <c r="C35" s="264">
        <f ca="1">ROUND(C34*F35,0)</f>
        <v>14</v>
      </c>
      <c r="D35" s="264"/>
      <c r="E35" s="264"/>
      <c r="F35" s="303">
        <f>'数据-取费表'!B33</f>
        <v>0.03</v>
      </c>
      <c r="G35" s="263" t="s">
        <v>2387</v>
      </c>
    </row>
    <row r="36" spans="1:7" ht="24">
      <c r="A36" s="953" t="s">
        <v>797</v>
      </c>
      <c r="B36" s="259" t="s">
        <v>2388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2389</v>
      </c>
    </row>
    <row r="37" spans="1:7" s="302" customFormat="1" ht="13.5" customHeight="1">
      <c r="A37" s="953" t="s">
        <v>798</v>
      </c>
      <c r="B37" s="259" t="s">
        <v>2390</v>
      </c>
      <c r="C37" s="293">
        <f ca="1">ROUND(E37*D37*F34/10000,0)</f>
        <v>28</v>
      </c>
      <c r="D37" s="261">
        <f ca="1">D19</f>
        <v>1380.28</v>
      </c>
      <c r="E37" s="293">
        <f>'数据-取费表'!B35</f>
        <v>200</v>
      </c>
      <c r="F37" s="303"/>
      <c r="G37" s="305" t="s">
        <v>2391</v>
      </c>
    </row>
    <row r="38" spans="1:7" ht="13.5" customHeight="1">
      <c r="A38" s="953" t="s">
        <v>799</v>
      </c>
      <c r="B38" s="259" t="s">
        <v>2392</v>
      </c>
      <c r="C38" s="264">
        <f ca="1">ROUND(C34*F38,0)</f>
        <v>7</v>
      </c>
      <c r="D38" s="264"/>
      <c r="E38" s="264"/>
      <c r="F38" s="303">
        <f>'数据-取费表'!B36</f>
        <v>1.4999999999999999E-2</v>
      </c>
      <c r="G38" s="263" t="s">
        <v>2387</v>
      </c>
    </row>
    <row r="39" spans="1:7" s="258" customFormat="1" ht="13.5" customHeight="1">
      <c r="A39" s="299" t="s">
        <v>2393</v>
      </c>
      <c r="B39" s="254" t="s">
        <v>2394</v>
      </c>
      <c r="C39" s="276">
        <f ca="1">ROUND(C33*F20,0)</f>
        <v>11</v>
      </c>
      <c r="D39" s="276"/>
      <c r="E39" s="276"/>
      <c r="F39" s="277"/>
      <c r="G39" s="278" t="s">
        <v>2395</v>
      </c>
    </row>
    <row r="40" spans="1:7" s="258" customFormat="1" ht="13.5" customHeight="1">
      <c r="A40" s="299" t="s">
        <v>2396</v>
      </c>
      <c r="B40" s="254" t="s">
        <v>2397</v>
      </c>
      <c r="C40" s="1730">
        <f>F21</f>
        <v>0.02</v>
      </c>
      <c r="D40" s="280" t="s">
        <v>2398</v>
      </c>
      <c r="E40" s="276"/>
      <c r="F40" s="277"/>
      <c r="G40" s="278" t="s">
        <v>2399</v>
      </c>
    </row>
    <row r="41" spans="1:7" s="258" customFormat="1" ht="13.5" customHeight="1">
      <c r="A41" s="299" t="s">
        <v>2400</v>
      </c>
      <c r="B41" s="254" t="s">
        <v>2401</v>
      </c>
      <c r="C41" s="276">
        <f ca="1">ROUND(SUM(C42:C43),0)</f>
        <v>12</v>
      </c>
      <c r="D41" s="279">
        <f ca="1">C44</f>
        <v>4.0000000000000002E-4</v>
      </c>
      <c r="E41" s="280" t="s">
        <v>2398</v>
      </c>
      <c r="F41" s="281"/>
      <c r="G41" s="278" t="str">
        <f>IF('数据-取费表'!B22&lt;=1,"单利计息","复利计息")</f>
        <v>单利计息</v>
      </c>
    </row>
    <row r="42" spans="1:7" ht="13.5" customHeight="1">
      <c r="A42" s="953" t="s">
        <v>791</v>
      </c>
      <c r="B42" s="259" t="s">
        <v>2402</v>
      </c>
      <c r="C42" s="282">
        <f ca="1">ROUND(IF('数据-取费表'!B22&lt;=1,C33*F22*'数据-取费表'!B21/2,C33*(POWER((1+F22),'数据-取费表'!B21/2)-1)),0)</f>
        <v>12</v>
      </c>
      <c r="D42" s="282"/>
      <c r="E42" s="282"/>
      <c r="F42" s="283"/>
      <c r="G42" s="3177" t="s">
        <v>2403</v>
      </c>
    </row>
    <row r="43" spans="1:7" ht="13.5" customHeight="1">
      <c r="A43" s="953" t="s">
        <v>792</v>
      </c>
      <c r="B43" s="259" t="s">
        <v>2404</v>
      </c>
      <c r="C43" s="282">
        <f ca="1">ROUND(IF('数据-取费表'!B22&lt;=1,C39*F22*'数据-取费表'!B21/2,C39*(POWER((1+F22),'数据-取费表'!B21/2)-1)),0)</f>
        <v>0</v>
      </c>
      <c r="D43" s="282"/>
      <c r="E43" s="282"/>
      <c r="F43" s="283"/>
      <c r="G43" s="3178"/>
    </row>
    <row r="44" spans="1:7" ht="13.5" customHeight="1">
      <c r="A44" s="953" t="s">
        <v>793</v>
      </c>
      <c r="B44" s="259" t="s">
        <v>2405</v>
      </c>
      <c r="C44" s="282">
        <f ca="1">ROUND(IF('数据-取费表'!B22&lt;=1,C40*F22*'数据-取费表'!B21/2,C40*(POWER((1+F22),'数据-取费表'!B21/2)-1)),4)</f>
        <v>4.0000000000000002E-4</v>
      </c>
      <c r="D44" s="282"/>
      <c r="E44" s="282"/>
      <c r="F44" s="283"/>
      <c r="G44" s="3179"/>
    </row>
    <row r="45" spans="1:7" s="258" customFormat="1" ht="13.5" customHeight="1">
      <c r="A45" s="299" t="s">
        <v>2406</v>
      </c>
      <c r="B45" s="288" t="s">
        <v>2372</v>
      </c>
      <c r="C45" s="289">
        <f ca="1">C46</f>
        <v>109</v>
      </c>
      <c r="D45" s="279">
        <f ca="1">C47</f>
        <v>4.0000000000000001E-3</v>
      </c>
      <c r="E45" s="280" t="s">
        <v>2398</v>
      </c>
      <c r="F45" s="290"/>
      <c r="G45" s="291" t="s">
        <v>2407</v>
      </c>
    </row>
    <row r="46" spans="1:7" s="258" customFormat="1" ht="13.5" customHeight="1">
      <c r="A46" s="953" t="s">
        <v>791</v>
      </c>
      <c r="B46" s="292" t="s">
        <v>2408</v>
      </c>
      <c r="C46" s="293">
        <f ca="1">ROUND((C33+C39)*F27,0)</f>
        <v>109</v>
      </c>
      <c r="D46" s="307"/>
      <c r="E46" s="280"/>
      <c r="F46" s="290"/>
      <c r="G46" s="291"/>
    </row>
    <row r="47" spans="1:7" s="258" customFormat="1" ht="13.5" customHeight="1">
      <c r="A47" s="953" t="s">
        <v>792</v>
      </c>
      <c r="B47" s="292" t="s">
        <v>2409</v>
      </c>
      <c r="C47" s="282">
        <f ca="1">ROUND(C40*F27,4)</f>
        <v>4.0000000000000001E-3</v>
      </c>
      <c r="D47" s="307"/>
      <c r="E47" s="280"/>
      <c r="F47" s="290"/>
      <c r="G47" s="291"/>
    </row>
    <row r="48" spans="1:7" s="258" customFormat="1" ht="13.5" customHeight="1">
      <c r="A48" s="299" t="s">
        <v>2371</v>
      </c>
      <c r="B48" s="254" t="s">
        <v>2410</v>
      </c>
      <c r="C48" s="1730">
        <f>ROUND(F30/(1+'数据-取费表'!C42),4)</f>
        <v>5.33E-2</v>
      </c>
      <c r="D48" s="280" t="s">
        <v>2398</v>
      </c>
      <c r="E48" s="276"/>
      <c r="F48" s="281"/>
      <c r="G48" s="278" t="s">
        <v>2411</v>
      </c>
    </row>
    <row r="49" spans="1:7" ht="16.5" customHeight="1">
      <c r="A49" s="299" t="s">
        <v>2377</v>
      </c>
      <c r="B49" s="254" t="s">
        <v>2412</v>
      </c>
      <c r="C49" s="276">
        <f ca="1">ROUND((C33+C39+C41+C45)/(1-C40-D41-D45-C48),0)</f>
        <v>720</v>
      </c>
      <c r="D49" s="276"/>
      <c r="E49" s="276"/>
      <c r="F49" s="308"/>
      <c r="G49" s="278" t="s">
        <v>2413</v>
      </c>
    </row>
    <row r="50" spans="1:7" s="302" customFormat="1" ht="24">
      <c r="A50" s="299" t="s">
        <v>2414</v>
      </c>
      <c r="B50" s="254" t="s">
        <v>2415</v>
      </c>
      <c r="C50" s="276"/>
      <c r="D50" s="276"/>
      <c r="E50" s="276"/>
      <c r="F50" s="308">
        <f>IF('数据-取费表'!B24=0,'数据-取费表'!N16,1)</f>
        <v>0.98</v>
      </c>
      <c r="G50" s="291" t="s">
        <v>2416</v>
      </c>
    </row>
    <row r="51" spans="1:7" ht="16.5" customHeight="1">
      <c r="A51" s="299" t="s">
        <v>2417</v>
      </c>
      <c r="B51" s="254" t="s">
        <v>2418</v>
      </c>
      <c r="C51" s="276">
        <f ca="1">ROUND(C49*F50,0)</f>
        <v>706</v>
      </c>
      <c r="D51" s="276"/>
      <c r="E51" s="276"/>
      <c r="F51" s="308"/>
      <c r="G51" s="278" t="s">
        <v>2419</v>
      </c>
    </row>
    <row r="52" spans="1:7" s="252" customFormat="1" ht="16.5" thickBot="1">
      <c r="A52" s="309" t="s">
        <v>2420</v>
      </c>
      <c r="B52" s="310"/>
      <c r="C52" s="311">
        <f ca="1">C31+C51</f>
        <v>762</v>
      </c>
      <c r="D52" s="310"/>
      <c r="E52" s="310"/>
      <c r="F52" s="310"/>
      <c r="G52" s="312"/>
    </row>
    <row r="55" spans="1:7" ht="15">
      <c r="B55" s="314" t="s">
        <v>2421</v>
      </c>
      <c r="C55" s="315"/>
    </row>
    <row r="56" spans="1:7">
      <c r="B56" s="317" t="s">
        <v>1513</v>
      </c>
      <c r="C56" s="319">
        <f ca="1">1-C57</f>
        <v>7.2999999999999954E-2</v>
      </c>
    </row>
    <row r="57" spans="1:7">
      <c r="B57" s="317" t="s">
        <v>1514</v>
      </c>
      <c r="C57" s="318">
        <f ca="1">ROUND(C51/C52,3)</f>
        <v>0.92700000000000005</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0" sqref="C40"/>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2320</v>
      </c>
      <c r="B1" s="1939"/>
      <c r="C1" s="2555" t="s">
        <v>2422</v>
      </c>
      <c r="D1" s="242"/>
      <c r="E1" s="242"/>
      <c r="F1" s="242"/>
      <c r="G1" s="1381">
        <f>MATCH(B1,'数据-取费表'!A6:A16,0)+5</f>
        <v>7</v>
      </c>
      <c r="H1" s="1284" t="str">
        <f>IF(ISERROR(FIND("住宅",B1)),"非住宅","住宅")</f>
        <v>非住宅</v>
      </c>
    </row>
    <row r="2" spans="1:8" s="244" customFormat="1" ht="18" customHeight="1">
      <c r="A2" s="245" t="s">
        <v>2321</v>
      </c>
      <c r="B2" s="246">
        <f ca="1">ROUND(IF(D2="——",C52/10000,C52/10000-E2),0)</f>
        <v>760</v>
      </c>
      <c r="C2" s="243" t="s">
        <v>2322</v>
      </c>
      <c r="D2" s="2549" t="s">
        <v>70</v>
      </c>
      <c r="E2" s="1442" t="e">
        <f ca="1">SUMIF(INDIRECT("'"&amp;G2&amp;"'"&amp;"!A:A"),"承租人权益价值",INDIRECT("'"&amp;G2&amp;"'"&amp;"!c:c"))</f>
        <v>#REF!</v>
      </c>
      <c r="F2" s="2550" t="s">
        <v>2322</v>
      </c>
      <c r="G2" s="2551"/>
    </row>
    <row r="3" spans="1:8" s="244" customFormat="1" ht="18" customHeight="1" thickBot="1">
      <c r="A3" s="247" t="s">
        <v>2323</v>
      </c>
      <c r="B3" s="248">
        <f ca="1">ROUND(B2*10000/(IF(B1="",'数据-汇总表'!E3,INDIRECT("'数据-取费表'!k"&amp;$G$1))),0)</f>
        <v>5506</v>
      </c>
      <c r="C3" s="243" t="s">
        <v>2324</v>
      </c>
      <c r="D3" s="243"/>
      <c r="E3" s="243"/>
      <c r="F3" s="243"/>
      <c r="G3" s="243"/>
    </row>
    <row r="4" spans="1:8" s="252" customFormat="1" ht="15.75">
      <c r="A4" s="249" t="s">
        <v>2325</v>
      </c>
      <c r="B4" s="250"/>
      <c r="C4" s="250"/>
      <c r="D4" s="250"/>
      <c r="E4" s="250"/>
      <c r="F4" s="250"/>
      <c r="G4" s="251"/>
    </row>
    <row r="5" spans="1:8" s="258" customFormat="1" ht="13.5" customHeight="1">
      <c r="A5" s="299" t="s">
        <v>2326</v>
      </c>
      <c r="B5" s="254" t="s">
        <v>2327</v>
      </c>
      <c r="C5" s="255">
        <f ca="1">C6+C7+C8</f>
        <v>126986</v>
      </c>
      <c r="D5" s="255" t="s">
        <v>2328</v>
      </c>
      <c r="E5" s="256" t="s">
        <v>2329</v>
      </c>
      <c r="F5" s="256" t="s">
        <v>2330</v>
      </c>
      <c r="G5" s="257"/>
    </row>
    <row r="6" spans="1:8" s="258" customFormat="1" ht="13.5" customHeight="1">
      <c r="A6" s="951" t="s">
        <v>2331</v>
      </c>
      <c r="B6" s="259" t="s">
        <v>2332</v>
      </c>
      <c r="C6" s="260"/>
      <c r="D6" s="261"/>
      <c r="E6" s="262"/>
      <c r="F6" s="262"/>
      <c r="G6" s="263"/>
    </row>
    <row r="7" spans="1:8" s="258" customFormat="1" ht="13.5" customHeight="1">
      <c r="A7" s="951" t="s">
        <v>2333</v>
      </c>
      <c r="B7" s="259" t="s">
        <v>2334</v>
      </c>
      <c r="C7" s="264">
        <f>ROUND(C6*F7,0)</f>
        <v>0</v>
      </c>
      <c r="D7" s="264"/>
      <c r="E7" s="262"/>
      <c r="F7" s="265">
        <f>'数据-取费表'!B48+'数据-取费表'!B49</f>
        <v>4.0500000000000001E-2</v>
      </c>
      <c r="G7" s="263"/>
    </row>
    <row r="8" spans="1:8" s="267" customFormat="1">
      <c r="A8" s="951" t="s">
        <v>2335</v>
      </c>
      <c r="B8" s="259" t="s">
        <v>2336</v>
      </c>
      <c r="C8" s="264">
        <f ca="1">IF(G8="已包含在土地购买价格中",0,C9+C10)</f>
        <v>126986</v>
      </c>
      <c r="D8" s="266"/>
      <c r="E8" s="264"/>
      <c r="F8" s="265"/>
      <c r="G8" s="2552"/>
    </row>
    <row r="9" spans="1:8" s="258" customFormat="1" ht="13.5" customHeight="1">
      <c r="A9" s="952" t="s">
        <v>800</v>
      </c>
      <c r="B9" s="268" t="s">
        <v>2337</v>
      </c>
      <c r="C9" s="269">
        <f ca="1">ROUND(D9*E9,0)</f>
        <v>0</v>
      </c>
      <c r="D9" s="1034">
        <f ca="1">IF(B1="",'数据-汇总表'!E5,IF(INDIRECT("'数据-取费表'!c"&amp;$G$1)="住宅",INDIRECT("'数据-取费表'!k"&amp;$G$1),0))</f>
        <v>0</v>
      </c>
      <c r="E9" s="269">
        <f>'数据-取费表'!B27</f>
        <v>92</v>
      </c>
      <c r="F9" s="265"/>
      <c r="G9" s="270"/>
    </row>
    <row r="10" spans="1:8" s="258" customFormat="1" ht="13.5" customHeight="1">
      <c r="A10" s="952" t="s">
        <v>801</v>
      </c>
      <c r="B10" s="268" t="s">
        <v>2339</v>
      </c>
      <c r="C10" s="269">
        <f ca="1">ROUND(D10*E10,0)</f>
        <v>126986</v>
      </c>
      <c r="D10" s="1034">
        <f ca="1">IF(B1="",'数据-汇总表'!E6,IF(INDIRECT("'数据-取费表'!c"&amp;$G$1)="住宅",INDIRECT("'数据-取费表'!s"&amp;$G$1),INDIRECT("'数据-取费表'!k"&amp;$G$1)+INDIRECT("'数据-取费表'!s"&amp;$G$1)))</f>
        <v>1380.28</v>
      </c>
      <c r="E10" s="269">
        <f>'数据-取费表'!B28</f>
        <v>92</v>
      </c>
      <c r="F10" s="265"/>
      <c r="G10" s="270"/>
    </row>
    <row r="11" spans="1:8" s="258" customFormat="1" ht="13.5" hidden="1" customHeight="1">
      <c r="A11" s="271" t="s">
        <v>7</v>
      </c>
      <c r="B11" s="259" t="s">
        <v>2340</v>
      </c>
      <c r="C11" s="255"/>
      <c r="D11" s="1036"/>
      <c r="E11" s="262"/>
      <c r="F11" s="262"/>
      <c r="G11" s="263"/>
    </row>
    <row r="12" spans="1:8" s="258" customFormat="1" ht="13.5" hidden="1" customHeight="1">
      <c r="A12" s="271" t="s">
        <v>8</v>
      </c>
      <c r="B12" s="259" t="s">
        <v>2423</v>
      </c>
      <c r="C12" s="255">
        <v>0</v>
      </c>
      <c r="D12" s="1036"/>
      <c r="E12" s="272"/>
      <c r="F12" s="265">
        <v>3.0499999999999999E-2</v>
      </c>
      <c r="G12" s="263"/>
    </row>
    <row r="13" spans="1:8" s="258" customFormat="1" ht="13.5" hidden="1" customHeight="1">
      <c r="A13" s="271" t="s">
        <v>9</v>
      </c>
      <c r="B13" s="259" t="s">
        <v>2424</v>
      </c>
      <c r="C13" s="255"/>
      <c r="D13" s="1036"/>
      <c r="E13" s="262"/>
      <c r="F13" s="262"/>
      <c r="G13" s="263"/>
    </row>
    <row r="14" spans="1:8" s="258" customFormat="1" ht="13.5" hidden="1" customHeight="1">
      <c r="A14" s="271" t="s">
        <v>10</v>
      </c>
      <c r="B14" s="259" t="s">
        <v>2336</v>
      </c>
      <c r="C14" s="255"/>
      <c r="D14" s="1036"/>
      <c r="E14" s="262"/>
      <c r="F14" s="262"/>
      <c r="G14" s="263" t="s">
        <v>2425</v>
      </c>
    </row>
    <row r="15" spans="1:8" s="258" customFormat="1" ht="13.5" hidden="1" customHeight="1">
      <c r="A15" s="271" t="s">
        <v>11</v>
      </c>
      <c r="B15" s="259" t="s">
        <v>2426</v>
      </c>
      <c r="C15" s="264"/>
      <c r="D15" s="1036"/>
      <c r="E15" s="262"/>
      <c r="F15" s="262"/>
      <c r="G15" s="263" t="s">
        <v>2427</v>
      </c>
    </row>
    <row r="16" spans="1:8" s="258" customFormat="1" ht="13.5" hidden="1" customHeight="1">
      <c r="A16" s="271" t="s">
        <v>12</v>
      </c>
      <c r="B16" s="259" t="s">
        <v>2336</v>
      </c>
      <c r="C16" s="264"/>
      <c r="D16" s="1036"/>
      <c r="E16" s="262"/>
      <c r="F16" s="262"/>
      <c r="G16" s="263"/>
    </row>
    <row r="17" spans="1:7" s="258" customFormat="1" ht="13.5" hidden="1" customHeight="1">
      <c r="A17" s="271" t="s">
        <v>13</v>
      </c>
      <c r="B17" s="259" t="s">
        <v>2428</v>
      </c>
      <c r="C17" s="273"/>
      <c r="D17" s="1037"/>
      <c r="E17" s="273"/>
      <c r="F17" s="273"/>
      <c r="G17" s="263" t="s">
        <v>2427</v>
      </c>
    </row>
    <row r="18" spans="1:7" s="258" customFormat="1" ht="13.5" hidden="1" customHeight="1">
      <c r="A18" s="271" t="s">
        <v>14</v>
      </c>
      <c r="B18" s="259" t="s">
        <v>2429</v>
      </c>
      <c r="C18" s="264">
        <v>0</v>
      </c>
      <c r="D18" s="1036"/>
      <c r="E18" s="262"/>
      <c r="F18" s="265">
        <v>3.0499999999999999E-2</v>
      </c>
      <c r="G18" s="263" t="s">
        <v>2430</v>
      </c>
    </row>
    <row r="19" spans="1:7" s="267" customFormat="1" ht="13.5" customHeight="1">
      <c r="A19" s="299" t="s">
        <v>2431</v>
      </c>
      <c r="B19" s="254" t="s">
        <v>2432</v>
      </c>
      <c r="C19" s="255">
        <f ca="1">IF(G19="已包含在土地取得成本中","0",ROUND(D19*E19,0))</f>
        <v>276056</v>
      </c>
      <c r="D19" s="1038">
        <f ca="1">D9+D10</f>
        <v>1380.28</v>
      </c>
      <c r="E19" s="255">
        <f>'数据-取费表'!B31</f>
        <v>200</v>
      </c>
      <c r="F19" s="275"/>
      <c r="G19" s="2552"/>
    </row>
    <row r="20" spans="1:7" s="258" customFormat="1" ht="13.5" customHeight="1">
      <c r="A20" s="299" t="s">
        <v>2433</v>
      </c>
      <c r="B20" s="254" t="s">
        <v>2434</v>
      </c>
      <c r="C20" s="276">
        <f ca="1">ROUND((C5+C19)*F20,0)</f>
        <v>8061</v>
      </c>
      <c r="D20" s="276"/>
      <c r="E20" s="276"/>
      <c r="F20" s="277">
        <f>'数据-取费表'!B37</f>
        <v>0.02</v>
      </c>
      <c r="G20" s="278" t="s">
        <v>2435</v>
      </c>
    </row>
    <row r="21" spans="1:7" s="258" customFormat="1" ht="13.5" customHeight="1">
      <c r="A21" s="299" t="s">
        <v>2436</v>
      </c>
      <c r="B21" s="254" t="s">
        <v>2437</v>
      </c>
      <c r="C21" s="279">
        <f>F21</f>
        <v>0.02</v>
      </c>
      <c r="D21" s="280" t="s">
        <v>2438</v>
      </c>
      <c r="E21" s="276"/>
      <c r="F21" s="277">
        <f>'数据-取费表'!B38</f>
        <v>0.02</v>
      </c>
      <c r="G21" s="278" t="s">
        <v>2439</v>
      </c>
    </row>
    <row r="22" spans="1:7" s="258" customFormat="1" ht="13.5" customHeight="1">
      <c r="A22" s="299" t="s">
        <v>2440</v>
      </c>
      <c r="B22" s="254" t="s">
        <v>2441</v>
      </c>
      <c r="C22" s="1382">
        <f ca="1">ROUND(SUM(C23:C25),0)</f>
        <v>17707</v>
      </c>
      <c r="D22" s="279">
        <f ca="1">C26</f>
        <v>4.0000000000000002E-4</v>
      </c>
      <c r="E22" s="280" t="s">
        <v>2438</v>
      </c>
      <c r="F22" s="281">
        <f ca="1">'数据-取费表'!B40</f>
        <v>4.3499999999999997E-2</v>
      </c>
      <c r="G22" s="278" t="str">
        <f>IF('数据-取费表'!B22&lt;=1,"单利计息","复利计息")</f>
        <v>单利计息</v>
      </c>
    </row>
    <row r="23" spans="1:7" s="258" customFormat="1" ht="13.5" customHeight="1">
      <c r="A23" s="953" t="s">
        <v>2331</v>
      </c>
      <c r="B23" s="259" t="s">
        <v>2442</v>
      </c>
      <c r="C23" s="1383">
        <f ca="1">ROUND(IF('数据-取费表'!B22&lt;=1,C5*F22*'数据-取费表'!B22,C5*(POWER((1+F22),'数据-取费表'!B22)-1)),0)</f>
        <v>5524</v>
      </c>
      <c r="D23" s="282"/>
      <c r="E23" s="282"/>
      <c r="F23" s="283"/>
      <c r="G23" s="284" t="s">
        <v>2443</v>
      </c>
    </row>
    <row r="24" spans="1:7" s="258" customFormat="1" ht="13.5" customHeight="1">
      <c r="A24" s="953" t="s">
        <v>2333</v>
      </c>
      <c r="B24" s="259" t="s">
        <v>2444</v>
      </c>
      <c r="C24" s="1383">
        <f ca="1">ROUND(IF('数据-取费表'!B22&lt;=1,C19*F22*('数据-取费表'!B19/2+'数据-取费表'!B20),C19*(POWER((1+F22),('数据-取费表'!B19/2+'数据-取费表'!B20))-1)),0)</f>
        <v>12008</v>
      </c>
      <c r="D24" s="282"/>
      <c r="E24" s="282"/>
      <c r="F24" s="283"/>
      <c r="G24" s="284" t="s">
        <v>2445</v>
      </c>
    </row>
    <row r="25" spans="1:7" s="258" customFormat="1" ht="24">
      <c r="A25" s="953" t="s">
        <v>2335</v>
      </c>
      <c r="B25" s="259" t="s">
        <v>2446</v>
      </c>
      <c r="C25" s="1383">
        <f ca="1">ROUND(IF('数据-取费表'!B22&lt;=1,C20*F22*'数据-取费表'!B22/2,C20*(POWER((1+F22),'数据-取费表'!B22/2)-1)),0)</f>
        <v>175</v>
      </c>
      <c r="D25" s="282"/>
      <c r="E25" s="285"/>
      <c r="F25" s="283"/>
      <c r="G25" s="286" t="s">
        <v>2447</v>
      </c>
    </row>
    <row r="26" spans="1:7" s="258" customFormat="1">
      <c r="A26" s="953" t="s">
        <v>795</v>
      </c>
      <c r="B26" s="259" t="s">
        <v>2370</v>
      </c>
      <c r="C26" s="282">
        <f ca="1">ROUND(IF('数据-取费表'!B22&lt;=1,F21*F22*'数据-取费表'!B22/2,F21*(POWER((1+F22),'数据-取费表'!B22/2)-1)),4)</f>
        <v>4.0000000000000002E-4</v>
      </c>
      <c r="D26" s="282"/>
      <c r="E26" s="285"/>
      <c r="F26" s="283"/>
      <c r="G26" s="287"/>
    </row>
    <row r="27" spans="1:7" s="258" customFormat="1" ht="24.75">
      <c r="A27" s="299" t="s">
        <v>2371</v>
      </c>
      <c r="B27" s="288" t="s">
        <v>2372</v>
      </c>
      <c r="C27" s="289">
        <f ca="1">C28</f>
        <v>82221</v>
      </c>
      <c r="D27" s="279">
        <f ca="1">C29</f>
        <v>4.0000000000000001E-3</v>
      </c>
      <c r="E27" s="280" t="s">
        <v>2373</v>
      </c>
      <c r="F27" s="290">
        <f ca="1">IF(B1="",'数据-取费表'!Q16,INDIRECT("'数据-取费表'!q"&amp;$G$1))</f>
        <v>0.2</v>
      </c>
      <c r="G27" s="291" t="s">
        <v>2374</v>
      </c>
    </row>
    <row r="28" spans="1:7" s="258" customFormat="1" ht="13.5" customHeight="1">
      <c r="A28" s="953" t="s">
        <v>791</v>
      </c>
      <c r="B28" s="292" t="s">
        <v>2375</v>
      </c>
      <c r="C28" s="293">
        <f ca="1">ROUND((C5+C19+C20)*F27,0)</f>
        <v>82221</v>
      </c>
      <c r="D28" s="279"/>
      <c r="E28" s="280"/>
      <c r="F28" s="290"/>
      <c r="G28" s="291"/>
    </row>
    <row r="29" spans="1:7" s="258" customFormat="1" ht="13.5" customHeight="1">
      <c r="A29" s="953" t="s">
        <v>792</v>
      </c>
      <c r="B29" s="292" t="s">
        <v>2376</v>
      </c>
      <c r="C29" s="282">
        <f ca="1">ROUND(C21*F27,4)</f>
        <v>4.0000000000000001E-3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554083</v>
      </c>
      <c r="D31" s="274"/>
      <c r="E31" s="255"/>
      <c r="F31" s="294"/>
      <c r="G31" s="278" t="s">
        <v>2381</v>
      </c>
    </row>
    <row r="32" spans="1:7" s="252" customFormat="1" ht="15.75">
      <c r="A32" s="296" t="s">
        <v>2448</v>
      </c>
      <c r="B32" s="297"/>
      <c r="C32" s="297"/>
      <c r="D32" s="297"/>
      <c r="E32" s="297"/>
      <c r="F32" s="297"/>
      <c r="G32" s="298"/>
    </row>
    <row r="33" spans="1:7" s="258" customFormat="1" ht="13.5" customHeight="1">
      <c r="A33" s="299" t="s">
        <v>782</v>
      </c>
      <c r="B33" s="254" t="s">
        <v>2449</v>
      </c>
      <c r="C33" s="300">
        <f ca="1">SUM(C34:C38)</f>
        <v>5324430</v>
      </c>
      <c r="D33" s="276"/>
      <c r="E33" s="256"/>
      <c r="F33" s="285"/>
      <c r="G33" s="278"/>
    </row>
    <row r="34" spans="1:7" s="302" customFormat="1" ht="13.5" customHeight="1">
      <c r="A34" s="953" t="s">
        <v>791</v>
      </c>
      <c r="B34" s="259" t="s">
        <v>2384</v>
      </c>
      <c r="C34" s="264">
        <f ca="1">ROUND(IF(B1="",SUMPRODUCT('数据-取费表'!K6:K14,'数据-取费表'!L6:L14),INDIRECT("'数据-取费表'!l"&amp;$G$1)*INDIRECT("'数据-取费表'!k"&amp;$G$1)+'数据-取费表'!L14*INDIRECT("'数据-取费表'!S"&amp;$G$1)),0)</f>
        <v>4830980</v>
      </c>
      <c r="D34" s="261"/>
      <c r="E34" s="264"/>
      <c r="F34" s="301"/>
      <c r="G34" s="263"/>
    </row>
    <row r="35" spans="1:7" ht="13.5" customHeight="1">
      <c r="A35" s="953" t="s">
        <v>796</v>
      </c>
      <c r="B35" s="259" t="s">
        <v>2386</v>
      </c>
      <c r="C35" s="264">
        <f ca="1">ROUND(C34*F35,0)</f>
        <v>144929</v>
      </c>
      <c r="D35" s="264"/>
      <c r="E35" s="264"/>
      <c r="F35" s="303">
        <f>'数据-取费表'!B33</f>
        <v>0.03</v>
      </c>
      <c r="G35" s="263" t="s">
        <v>2387</v>
      </c>
    </row>
    <row r="36" spans="1:7" ht="24">
      <c r="A36" s="953" t="s">
        <v>797</v>
      </c>
      <c r="B36" s="259" t="s">
        <v>2388</v>
      </c>
      <c r="C36" s="264">
        <f ca="1">ROUND(IF(B1="",SUM('数据-取费表'!AP6:AP13)*F36,IF(INDIRECT("'数据-取费表'!c"&amp;$G$1)="住宅",INDIRECT("'数据-取费表'!k"&amp;$G$1)*INDIRECT("'数据-取费表'!l"&amp;$G$1)*F36,0)),0)</f>
        <v>0</v>
      </c>
      <c r="D36" s="264"/>
      <c r="E36" s="264"/>
      <c r="F36" s="303">
        <f>'数据-取费表'!B34</f>
        <v>0</v>
      </c>
      <c r="G36" s="304" t="s">
        <v>2389</v>
      </c>
    </row>
    <row r="37" spans="1:7" s="302" customFormat="1" ht="13.5" customHeight="1">
      <c r="A37" s="953" t="s">
        <v>798</v>
      </c>
      <c r="B37" s="259" t="s">
        <v>2390</v>
      </c>
      <c r="C37" s="293">
        <f ca="1">ROUND(E37*D37,0)</f>
        <v>276056</v>
      </c>
      <c r="D37" s="261">
        <f ca="1">D19</f>
        <v>1380.28</v>
      </c>
      <c r="E37" s="293">
        <f>'数据-取费表'!B35</f>
        <v>200</v>
      </c>
      <c r="F37" s="303"/>
      <c r="G37" s="305"/>
    </row>
    <row r="38" spans="1:7" ht="13.5" customHeight="1">
      <c r="A38" s="953" t="s">
        <v>799</v>
      </c>
      <c r="B38" s="259" t="s">
        <v>2392</v>
      </c>
      <c r="C38" s="264">
        <f ca="1">ROUND(C34*F38,0)</f>
        <v>72465</v>
      </c>
      <c r="D38" s="264"/>
      <c r="E38" s="264"/>
      <c r="F38" s="303">
        <f>'数据-取费表'!B36</f>
        <v>1.4999999999999999E-2</v>
      </c>
      <c r="G38" s="263" t="s">
        <v>2387</v>
      </c>
    </row>
    <row r="39" spans="1:7" s="258" customFormat="1" ht="13.5" customHeight="1">
      <c r="A39" s="299" t="s">
        <v>2393</v>
      </c>
      <c r="B39" s="254" t="s">
        <v>2394</v>
      </c>
      <c r="C39" s="276">
        <f ca="1">ROUND(C33*F20,0)</f>
        <v>106489</v>
      </c>
      <c r="D39" s="276"/>
      <c r="E39" s="276"/>
      <c r="F39" s="277"/>
      <c r="G39" s="278" t="s">
        <v>2395</v>
      </c>
    </row>
    <row r="40" spans="1:7" s="258" customFormat="1" ht="13.5" customHeight="1">
      <c r="A40" s="299" t="s">
        <v>2396</v>
      </c>
      <c r="B40" s="254" t="s">
        <v>2397</v>
      </c>
      <c r="C40" s="1730">
        <f>F21</f>
        <v>0.02</v>
      </c>
      <c r="D40" s="280" t="s">
        <v>2398</v>
      </c>
      <c r="E40" s="276"/>
      <c r="F40" s="277"/>
      <c r="G40" s="278" t="s">
        <v>2399</v>
      </c>
    </row>
    <row r="41" spans="1:7" s="258" customFormat="1" ht="13.5" customHeight="1">
      <c r="A41" s="299" t="s">
        <v>2400</v>
      </c>
      <c r="B41" s="254" t="s">
        <v>2401</v>
      </c>
      <c r="C41" s="276">
        <f ca="1">ROUND(SUM(C42:C43),0)</f>
        <v>118122</v>
      </c>
      <c r="D41" s="279">
        <f ca="1">C44</f>
        <v>4.0000000000000002E-4</v>
      </c>
      <c r="E41" s="280" t="s">
        <v>2398</v>
      </c>
      <c r="F41" s="281"/>
      <c r="G41" s="278" t="str">
        <f>IF('数据-取费表'!B22&lt;=1,"单利计息","复利计息")</f>
        <v>单利计息</v>
      </c>
    </row>
    <row r="42" spans="1:7" ht="13.5" customHeight="1">
      <c r="A42" s="953" t="s">
        <v>791</v>
      </c>
      <c r="B42" s="259" t="s">
        <v>2402</v>
      </c>
      <c r="C42" s="282">
        <f ca="1">ROUND(IF('数据-取费表'!B22&lt;=1,C33*F22*'数据-取费表'!B20/2,C33*(POWER((1+F22),'数据-取费表'!B20/2)-1)),0)</f>
        <v>115806</v>
      </c>
      <c r="D42" s="282"/>
      <c r="E42" s="282"/>
      <c r="F42" s="283"/>
      <c r="G42" s="3177" t="s">
        <v>2450</v>
      </c>
    </row>
    <row r="43" spans="1:7" ht="13.5" customHeight="1">
      <c r="A43" s="953" t="s">
        <v>792</v>
      </c>
      <c r="B43" s="259" t="s">
        <v>2404</v>
      </c>
      <c r="C43" s="282">
        <f ca="1">ROUND(IF('数据-取费表'!B22&lt;=1,C39*F22*'数据-取费表'!B20/2,C39*(POWER((1+F22),'数据-取费表'!B20/2)-1)),0)</f>
        <v>2316</v>
      </c>
      <c r="D43" s="282"/>
      <c r="E43" s="282"/>
      <c r="F43" s="283"/>
      <c r="G43" s="3178"/>
    </row>
    <row r="44" spans="1:7" ht="13.5" customHeight="1">
      <c r="A44" s="953" t="s">
        <v>793</v>
      </c>
      <c r="B44" s="259" t="s">
        <v>2405</v>
      </c>
      <c r="C44" s="282">
        <f ca="1">ROUND(IF('数据-取费表'!B22&lt;=1,C40*F22*'数据-取费表'!B20/2,C40*(POWER((1+F22),'数据-取费表'!B20/2)-1)),4)</f>
        <v>4.0000000000000002E-4</v>
      </c>
      <c r="D44" s="282"/>
      <c r="E44" s="282"/>
      <c r="F44" s="283"/>
      <c r="G44" s="3179"/>
    </row>
    <row r="45" spans="1:7" s="258" customFormat="1" ht="13.5" customHeight="1">
      <c r="A45" s="299" t="s">
        <v>2406</v>
      </c>
      <c r="B45" s="288" t="s">
        <v>2372</v>
      </c>
      <c r="C45" s="289">
        <f ca="1">C46</f>
        <v>1086184</v>
      </c>
      <c r="D45" s="279">
        <f ca="1">C47</f>
        <v>4.0000000000000001E-3</v>
      </c>
      <c r="E45" s="280" t="s">
        <v>2398</v>
      </c>
      <c r="F45" s="290"/>
      <c r="G45" s="291" t="s">
        <v>2407</v>
      </c>
    </row>
    <row r="46" spans="1:7" s="258" customFormat="1" ht="13.5" customHeight="1">
      <c r="A46" s="953" t="s">
        <v>791</v>
      </c>
      <c r="B46" s="292" t="s">
        <v>2408</v>
      </c>
      <c r="C46" s="293">
        <f ca="1">ROUND((C33+C39)*F27,0)</f>
        <v>1086184</v>
      </c>
      <c r="D46" s="307"/>
      <c r="E46" s="280"/>
      <c r="F46" s="290"/>
      <c r="G46" s="291"/>
    </row>
    <row r="47" spans="1:7" s="258" customFormat="1" ht="13.5" customHeight="1">
      <c r="A47" s="953" t="s">
        <v>792</v>
      </c>
      <c r="B47" s="292" t="s">
        <v>2409</v>
      </c>
      <c r="C47" s="282">
        <f ca="1">ROUND(C40*F27,4)</f>
        <v>4.0000000000000001E-3</v>
      </c>
      <c r="D47" s="307"/>
      <c r="E47" s="280"/>
      <c r="F47" s="290"/>
      <c r="G47" s="291"/>
    </row>
    <row r="48" spans="1:7" s="258" customFormat="1" ht="13.5" customHeight="1">
      <c r="A48" s="299" t="s">
        <v>2371</v>
      </c>
      <c r="B48" s="254" t="s">
        <v>2410</v>
      </c>
      <c r="C48" s="306">
        <f>ROUND(F30/(1+'数据-取费表'!C42),4)</f>
        <v>5.33E-2</v>
      </c>
      <c r="D48" s="280" t="s">
        <v>2398</v>
      </c>
      <c r="E48" s="276"/>
      <c r="F48" s="281"/>
      <c r="G48" s="278" t="s">
        <v>2411</v>
      </c>
    </row>
    <row r="49" spans="1:7" ht="16.5" customHeight="1">
      <c r="A49" s="299" t="s">
        <v>2377</v>
      </c>
      <c r="B49" s="254" t="s">
        <v>2451</v>
      </c>
      <c r="C49" s="276">
        <f ca="1">ROUND((C33+C39+C41+C45)/(1-C40-D41-D45-C48),0)</f>
        <v>7194216</v>
      </c>
      <c r="D49" s="276"/>
      <c r="E49" s="276"/>
      <c r="F49" s="308"/>
      <c r="G49" s="278" t="s">
        <v>2413</v>
      </c>
    </row>
    <row r="50" spans="1:7" s="302" customFormat="1">
      <c r="A50" s="299" t="s">
        <v>2414</v>
      </c>
      <c r="B50" s="254" t="s">
        <v>2415</v>
      </c>
      <c r="C50" s="276"/>
      <c r="D50" s="276"/>
      <c r="E50" s="276"/>
      <c r="F50" s="308">
        <f>IF('数据-取费表'!B24=0,'数据-取费表'!N16,1)</f>
        <v>0.98</v>
      </c>
      <c r="G50" s="291"/>
    </row>
    <row r="51" spans="1:7" ht="16.5" customHeight="1">
      <c r="A51" s="299" t="s">
        <v>2417</v>
      </c>
      <c r="B51" s="254" t="s">
        <v>2452</v>
      </c>
      <c r="C51" s="276">
        <f ca="1">ROUND(C49*F50,0)</f>
        <v>7050332</v>
      </c>
      <c r="D51" s="276"/>
      <c r="E51" s="276"/>
      <c r="F51" s="308"/>
      <c r="G51" s="278" t="s">
        <v>2419</v>
      </c>
    </row>
    <row r="52" spans="1:7" s="252" customFormat="1" ht="16.5" thickBot="1">
      <c r="A52" s="309" t="s">
        <v>2420</v>
      </c>
      <c r="B52" s="310"/>
      <c r="C52" s="311">
        <f ca="1">C31+C51</f>
        <v>7604415</v>
      </c>
      <c r="D52" s="310"/>
      <c r="E52" s="310"/>
      <c r="F52" s="310"/>
      <c r="G52" s="312"/>
    </row>
    <row r="55" spans="1:7" ht="15">
      <c r="B55" s="314" t="s">
        <v>2421</v>
      </c>
      <c r="C55" s="315"/>
    </row>
    <row r="56" spans="1:7">
      <c r="B56" s="317" t="s">
        <v>1513</v>
      </c>
      <c r="C56" s="319">
        <f ca="1">1-C57</f>
        <v>7.2999999999999954E-2</v>
      </c>
    </row>
    <row r="57" spans="1:7">
      <c r="B57" s="317" t="s">
        <v>1514</v>
      </c>
      <c r="C57" s="318">
        <f ca="1">ROUND(C51/C52,3)</f>
        <v>0.92700000000000005</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40" sqref="C40"/>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2453</v>
      </c>
      <c r="B1" s="1583"/>
      <c r="C1" s="1584"/>
      <c r="D1" s="1582"/>
      <c r="E1" s="320"/>
      <c r="F1" s="320"/>
      <c r="G1" s="1583"/>
      <c r="H1" s="320"/>
      <c r="I1" s="320"/>
      <c r="J1" s="320"/>
      <c r="K1" s="320">
        <f>MATCH(C1,'数据-取费表'!A6:A16,0)+5</f>
        <v>7</v>
      </c>
    </row>
    <row r="2" spans="1:33" ht="18" customHeight="1">
      <c r="A2" s="245" t="s">
        <v>2321</v>
      </c>
      <c r="B2" s="248">
        <f ca="1">C32</f>
        <v>0</v>
      </c>
      <c r="C2" s="320" t="s">
        <v>2454</v>
      </c>
      <c r="D2" s="320"/>
      <c r="E2" s="320"/>
      <c r="F2" s="320"/>
      <c r="G2" s="320"/>
      <c r="H2" s="320"/>
      <c r="I2" s="320"/>
      <c r="J2" s="320"/>
      <c r="K2" s="320"/>
    </row>
    <row r="3" spans="1:33" ht="18" customHeight="1" thickBot="1">
      <c r="A3" s="247" t="s">
        <v>2323</v>
      </c>
      <c r="B3" s="248">
        <f ca="1">ROUND(B2*10000/IF(C1="",'数据-汇总表'!E3,INDIRECT("'数据-取费表'!K"&amp;$K$1)),0)</f>
        <v>0</v>
      </c>
      <c r="C3" s="320" t="s">
        <v>2455</v>
      </c>
      <c r="D3" s="320"/>
      <c r="E3" s="320"/>
      <c r="F3" s="320"/>
      <c r="G3" s="320"/>
      <c r="H3" s="320"/>
      <c r="I3" s="320"/>
      <c r="J3" s="320"/>
      <c r="K3" s="320"/>
    </row>
    <row r="4" spans="1:33" s="958" customFormat="1" ht="16.5" customHeight="1">
      <c r="A4" s="955" t="s">
        <v>2456</v>
      </c>
      <c r="B4" s="956"/>
      <c r="C4" s="998">
        <f>SUM(C8:K8)</f>
        <v>0</v>
      </c>
      <c r="D4" s="956"/>
      <c r="E4" s="956"/>
      <c r="F4" s="956"/>
      <c r="G4" s="956"/>
      <c r="H4" s="956"/>
      <c r="I4" s="956"/>
      <c r="J4" s="956"/>
      <c r="K4" s="957"/>
    </row>
    <row r="5" spans="1:33" s="962" customFormat="1" ht="24.75">
      <c r="A5" s="959" t="s">
        <v>2457</v>
      </c>
      <c r="B5" s="960" t="s">
        <v>2458</v>
      </c>
      <c r="C5" s="2556" t="s">
        <v>2459</v>
      </c>
      <c r="D5" s="2556" t="s">
        <v>2460</v>
      </c>
      <c r="E5" s="2556" t="s">
        <v>2461</v>
      </c>
      <c r="F5" s="2556"/>
      <c r="G5" s="2556"/>
      <c r="H5" s="2556"/>
      <c r="I5" s="2556"/>
      <c r="J5" s="2556"/>
      <c r="K5" s="2556"/>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2462</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2463</v>
      </c>
      <c r="B7" s="140" t="s">
        <v>2464</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7" t="s">
        <v>2465</v>
      </c>
      <c r="B8" s="177" t="s">
        <v>2466</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2467</v>
      </c>
      <c r="B9" s="956"/>
      <c r="C9" s="956"/>
      <c r="D9" s="956"/>
      <c r="E9" s="956"/>
      <c r="F9" s="956"/>
      <c r="G9" s="956"/>
      <c r="H9" s="956"/>
      <c r="I9" s="956"/>
      <c r="J9" s="956"/>
      <c r="K9" s="957"/>
    </row>
    <row r="10" spans="1:33" s="972" customFormat="1" ht="13.5" customHeight="1">
      <c r="A10" s="959" t="s">
        <v>2468</v>
      </c>
      <c r="B10" s="8" t="s">
        <v>2469</v>
      </c>
      <c r="C10" s="968" t="s">
        <v>2470</v>
      </c>
      <c r="D10" s="969" t="s">
        <v>2471</v>
      </c>
      <c r="E10" s="969" t="s">
        <v>2472</v>
      </c>
      <c r="F10" s="969" t="s">
        <v>2473</v>
      </c>
      <c r="G10" s="8"/>
      <c r="H10" s="970"/>
      <c r="I10" s="970"/>
      <c r="J10" s="970"/>
      <c r="K10" s="971"/>
    </row>
    <row r="11" spans="1:33" s="977" customFormat="1" ht="13.5" customHeight="1">
      <c r="A11" s="973" t="s">
        <v>1334</v>
      </c>
      <c r="B11" s="974" t="s">
        <v>2474</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2475</v>
      </c>
      <c r="C12" s="24">
        <f ca="1">ROUND(C11*F12,0)</f>
        <v>0</v>
      </c>
      <c r="D12" s="975"/>
      <c r="E12" s="375"/>
      <c r="F12" s="978">
        <f>'数据-取费表'!B33</f>
        <v>0.03</v>
      </c>
      <c r="G12" s="8" t="s">
        <v>2476</v>
      </c>
      <c r="H12" s="970"/>
      <c r="I12" s="970"/>
      <c r="J12" s="970"/>
      <c r="K12" s="971"/>
    </row>
    <row r="13" spans="1:33" s="977" customFormat="1" ht="13.5" customHeight="1">
      <c r="A13" s="973" t="s">
        <v>1336</v>
      </c>
      <c r="B13" s="974" t="s">
        <v>2477</v>
      </c>
      <c r="C13" s="24">
        <f ca="1">ROUND(IF(C1="",SUMIF('数据-取费表'!C:C,"住宅",'数据-取费表'!P:P)*F13,IF(INDIRECT("'数据-取费表'!c"&amp;$K$1)="住宅",INDIRECT("'数据-取费表'!P"&amp;$K$1)*F13,0)),0)</f>
        <v>0</v>
      </c>
      <c r="D13" s="1035"/>
      <c r="E13" s="375"/>
      <c r="F13" s="978">
        <f>'数据-取费表'!B34</f>
        <v>0</v>
      </c>
      <c r="G13" s="8" t="s">
        <v>2478</v>
      </c>
      <c r="H13" s="970"/>
      <c r="I13" s="970"/>
      <c r="J13" s="970"/>
      <c r="K13" s="971"/>
    </row>
    <row r="14" spans="1:33" s="979" customFormat="1" ht="13.5" customHeight="1">
      <c r="A14" s="973" t="s">
        <v>1337</v>
      </c>
      <c r="B14" s="974" t="s">
        <v>2479</v>
      </c>
      <c r="C14" s="24">
        <f ca="1">ROUND(D14*E14*F11/10000,0)</f>
        <v>0</v>
      </c>
      <c r="D14" s="1035">
        <f ca="1">IF(C1="",'数据-汇总表'!E3,INDIRECT("'数据-取费表'!K"&amp;$K$1)+INDIRECT("'数据-取费表'!S"&amp;$K$1))</f>
        <v>1380.28</v>
      </c>
      <c r="E14" s="24">
        <f>'数据-取费表'!B35</f>
        <v>200</v>
      </c>
      <c r="F14" s="978"/>
      <c r="G14" s="8" t="s">
        <v>2480</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2481</v>
      </c>
      <c r="C15" s="985">
        <f ca="1">ROUND(C11*F15,0)</f>
        <v>0</v>
      </c>
      <c r="D15" s="980"/>
      <c r="E15" s="985"/>
      <c r="F15" s="986">
        <f>'数据-取费表'!B36</f>
        <v>1.4999999999999999E-2</v>
      </c>
      <c r="G15" s="140" t="s">
        <v>2482</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2483</v>
      </c>
      <c r="C16" s="985">
        <f ca="1">SUM(C11:C15)</f>
        <v>0</v>
      </c>
      <c r="D16" s="980"/>
      <c r="E16" s="985"/>
      <c r="F16" s="986"/>
      <c r="G16" s="140"/>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2484</v>
      </c>
      <c r="C17" s="24">
        <f ca="1">ROUND(D17*E17/10000,0)</f>
        <v>0</v>
      </c>
      <c r="D17" s="1035">
        <f ca="1">D14</f>
        <v>1380.28</v>
      </c>
      <c r="E17" s="24">
        <f>'数据-取费表'!B32</f>
        <v>0</v>
      </c>
      <c r="F17" s="980"/>
      <c r="G17" s="140" t="s">
        <v>2485</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2486</v>
      </c>
      <c r="C18" s="24">
        <f ca="1">C19+C20-IF(C1="",'数据-取费表'!B29,IF(G18="已全部缴纳",C19+C20,H18))</f>
        <v>0</v>
      </c>
      <c r="D18" s="1035"/>
      <c r="E18" s="24"/>
      <c r="F18" s="978"/>
      <c r="G18" s="2558"/>
      <c r="H18" s="1579"/>
      <c r="I18" s="2559" t="s">
        <v>2487</v>
      </c>
      <c r="J18" s="981"/>
      <c r="K18" s="982"/>
    </row>
    <row r="19" spans="1:33" s="977" customFormat="1" ht="13.5" customHeight="1">
      <c r="A19" s="973" t="s">
        <v>805</v>
      </c>
      <c r="B19" s="974" t="s">
        <v>2488</v>
      </c>
      <c r="C19" s="24">
        <f ca="1">ROUND(D19*E19/10000,0)</f>
        <v>0</v>
      </c>
      <c r="D19" s="1035">
        <f ca="1">IF(C1="",'数据-汇总表'!E5,IF(INDIRECT("'数据-取费表'!c"&amp;$K$1)="住宅",INDIRECT("'数据-取费表'!k"&amp;$K$1),0))</f>
        <v>0</v>
      </c>
      <c r="E19" s="24">
        <f>'数据-取费表'!B27</f>
        <v>92</v>
      </c>
      <c r="F19" s="978"/>
      <c r="G19" s="15"/>
      <c r="H19" s="1581"/>
      <c r="I19" s="983"/>
      <c r="J19" s="983"/>
      <c r="K19" s="984"/>
    </row>
    <row r="20" spans="1:33" s="977" customFormat="1" ht="13.5" customHeight="1">
      <c r="A20" s="973" t="s">
        <v>806</v>
      </c>
      <c r="B20" s="974" t="s">
        <v>2489</v>
      </c>
      <c r="C20" s="24">
        <f ca="1">ROUND(D20*E20/10000,0)</f>
        <v>13</v>
      </c>
      <c r="D20" s="1035">
        <f ca="1">IF(C1="",'数据-汇总表'!E6,IF(INDIRECT("'数据-取费表'!c"&amp;$K$1)="住宅",INDIRECT("'数据-取费表'!s"&amp;$K$1),INDIRECT("'数据-取费表'!k"&amp;$K$1)+INDIRECT("'数据-取费表'!s"&amp;$K$1)))</f>
        <v>1380.28</v>
      </c>
      <c r="E20" s="24">
        <f>'数据-取费表'!B28</f>
        <v>92</v>
      </c>
      <c r="F20" s="978"/>
      <c r="G20" s="15"/>
      <c r="H20" s="983"/>
      <c r="I20" s="983"/>
      <c r="J20" s="983"/>
      <c r="K20" s="984"/>
    </row>
    <row r="21" spans="1:33" s="977" customFormat="1" ht="13.5" customHeight="1">
      <c r="A21" s="963" t="s">
        <v>802</v>
      </c>
      <c r="B21" s="987" t="s">
        <v>2490</v>
      </c>
      <c r="C21" s="988">
        <f ca="1">C16+C17+C18</f>
        <v>0</v>
      </c>
      <c r="D21" s="989"/>
      <c r="E21" s="325"/>
      <c r="F21" s="325"/>
      <c r="G21" s="140" t="s">
        <v>2491</v>
      </c>
      <c r="H21" s="981"/>
      <c r="I21" s="981"/>
      <c r="J21" s="981"/>
      <c r="K21" s="982"/>
    </row>
    <row r="22" spans="1:33" s="977" customFormat="1" ht="13.5" customHeight="1">
      <c r="A22" s="963" t="s">
        <v>2463</v>
      </c>
      <c r="B22" s="987" t="s">
        <v>2492</v>
      </c>
      <c r="C22" s="988">
        <f ca="1">ROUND(C21*F22,0)</f>
        <v>0</v>
      </c>
      <c r="D22" s="325"/>
      <c r="E22" s="325"/>
      <c r="F22" s="990">
        <f>'数据-取费表'!B37</f>
        <v>0.02</v>
      </c>
      <c r="G22" s="8" t="s">
        <v>2493</v>
      </c>
      <c r="H22" s="970"/>
      <c r="I22" s="970"/>
      <c r="J22" s="970"/>
      <c r="K22" s="971"/>
    </row>
    <row r="23" spans="1:33" s="977" customFormat="1" ht="13.5" customHeight="1">
      <c r="A23" s="963" t="s">
        <v>2465</v>
      </c>
      <c r="B23" s="987" t="s">
        <v>2494</v>
      </c>
      <c r="C23" s="988">
        <f ca="1">ROUND(C4*F23*F11,0)</f>
        <v>0</v>
      </c>
      <c r="D23" s="325"/>
      <c r="E23" s="325"/>
      <c r="F23" s="990">
        <f>'数据-取费表'!B38</f>
        <v>0.02</v>
      </c>
      <c r="G23" s="8" t="s">
        <v>2495</v>
      </c>
      <c r="H23" s="970"/>
      <c r="I23" s="970"/>
      <c r="J23" s="970"/>
      <c r="K23" s="971"/>
    </row>
    <row r="24" spans="1:33" s="977" customFormat="1" ht="13.5" customHeight="1">
      <c r="A24" s="963" t="s">
        <v>2496</v>
      </c>
      <c r="B24" s="987" t="s">
        <v>2497</v>
      </c>
      <c r="C24" s="324">
        <f>ROUND(F24/(1+'数据-取费表'!C42),4)</f>
        <v>3.8600000000000002E-2</v>
      </c>
      <c r="D24" s="325" t="s">
        <v>15</v>
      </c>
      <c r="E24" s="325"/>
      <c r="F24" s="990">
        <f>'数据-取费表'!B48+'数据-取费表'!B49</f>
        <v>4.0500000000000001E-2</v>
      </c>
      <c r="G24" s="8" t="s">
        <v>2498</v>
      </c>
      <c r="H24" s="992"/>
      <c r="I24" s="992"/>
      <c r="J24" s="992"/>
      <c r="K24" s="993"/>
    </row>
    <row r="25" spans="1:33" s="977" customFormat="1" ht="13.5" customHeight="1">
      <c r="A25" s="963" t="s">
        <v>2499</v>
      </c>
      <c r="B25" s="989" t="s">
        <v>2500</v>
      </c>
      <c r="C25" s="1358">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2"/>
      <c r="I25" s="992"/>
      <c r="J25" s="992"/>
      <c r="K25" s="993"/>
    </row>
    <row r="26" spans="1:33" s="995" customFormat="1" ht="13.5" customHeight="1">
      <c r="A26" s="973" t="s">
        <v>803</v>
      </c>
      <c r="B26" s="994" t="s">
        <v>2501</v>
      </c>
      <c r="C26" s="1359">
        <f ca="1">ROUND(IF('数据-取费表'!B22&lt;=1,(1+C24)*F25*'数据-取费表'!B24,(1+C24)*(POWER((1+F25),'数据-取费表'!B24)-1)),4)</f>
        <v>0</v>
      </c>
      <c r="D26" s="328"/>
      <c r="E26" s="329"/>
      <c r="F26" s="330"/>
      <c r="G26" s="2560" t="str">
        <f>IF('数据-取费表'!B22&lt;=1,"（(1)+取得税费率/(1+5%)）×年利率×建设期","（(1)+取得税费率）/(1+5%)×((1+年利率)^建设期-1)")</f>
        <v>（(1)+取得税费率/(1+5%)）×年利率×建设期</v>
      </c>
      <c r="H26" s="981"/>
      <c r="I26" s="981"/>
      <c r="J26" s="981"/>
      <c r="K26" s="982"/>
    </row>
    <row r="27" spans="1:33" s="995" customFormat="1" ht="13.5" customHeight="1">
      <c r="A27" s="973" t="s">
        <v>804</v>
      </c>
      <c r="B27" s="994" t="s">
        <v>2502</v>
      </c>
      <c r="C27" s="1360">
        <f ca="1">ROUND(IF('数据-取费表'!B22&lt;=1,(C21+C22+C23)*F25*'数据-取费表'!B24/2,(C21+C22+C23)*(POWER((1+F25),'数据-取费表'!B24/2)-1)),0)</f>
        <v>0</v>
      </c>
      <c r="D27" s="328"/>
      <c r="E27" s="329"/>
      <c r="F27" s="330"/>
      <c r="G27" s="2560" t="str">
        <f>IF('数据-取费表'!B22&lt;=1,"（1）-（3）项×年利率×建设期÷2","（1）-（3）项×((1+年利率)^(建设期÷2)-1)")</f>
        <v>（1）-（3）项×年利率×建设期÷2</v>
      </c>
      <c r="H27" s="981"/>
      <c r="I27" s="981"/>
      <c r="J27" s="981"/>
      <c r="K27" s="982"/>
    </row>
    <row r="28" spans="1:33" s="333" customFormat="1" ht="13.5" customHeight="1">
      <c r="A28" s="963" t="s">
        <v>2503</v>
      </c>
      <c r="B28" s="2561" t="s">
        <v>2504</v>
      </c>
      <c r="C28" s="331">
        <f ca="1">C30</f>
        <v>0</v>
      </c>
      <c r="D28" s="324">
        <f ca="1">C29</f>
        <v>0</v>
      </c>
      <c r="E28" s="326" t="s">
        <v>15</v>
      </c>
      <c r="F28" s="332">
        <f ca="1">IF(C1="",'数据-取费表'!Q16,INDIRECT("'数据-取费表'!q"&amp;$K$1))</f>
        <v>0.2</v>
      </c>
      <c r="G28" s="991"/>
      <c r="H28" s="992"/>
      <c r="I28" s="992"/>
      <c r="J28" s="992"/>
      <c r="K28" s="993"/>
    </row>
    <row r="29" spans="1:33" s="335" customFormat="1" ht="13.5" customHeight="1">
      <c r="A29" s="973" t="s">
        <v>803</v>
      </c>
      <c r="B29" s="996" t="s">
        <v>2505</v>
      </c>
      <c r="C29" s="328">
        <f ca="1">ROUND((1+C24)*F28*'数据-取费表'!B24/'数据-取费表'!B20,4)</f>
        <v>0</v>
      </c>
      <c r="D29" s="328"/>
      <c r="E29" s="329"/>
      <c r="F29" s="334"/>
      <c r="G29" s="140" t="s">
        <v>2506</v>
      </c>
      <c r="H29" s="981"/>
      <c r="I29" s="981"/>
      <c r="J29" s="981"/>
      <c r="K29" s="982"/>
    </row>
    <row r="30" spans="1:33" s="335" customFormat="1" ht="13.5" customHeight="1">
      <c r="A30" s="973" t="s">
        <v>804</v>
      </c>
      <c r="B30" s="996" t="s">
        <v>2507</v>
      </c>
      <c r="C30" s="336">
        <f ca="1">ROUND((C21+C22+C23)*F28,0)</f>
        <v>0</v>
      </c>
      <c r="D30" s="328"/>
      <c r="E30" s="329"/>
      <c r="F30" s="334"/>
      <c r="G30" s="140"/>
      <c r="H30" s="981"/>
      <c r="I30" s="981"/>
      <c r="J30" s="981"/>
      <c r="K30" s="982"/>
    </row>
    <row r="31" spans="1:33" s="977" customFormat="1" ht="13.5" customHeight="1" thickBot="1">
      <c r="A31" s="2562" t="s">
        <v>2508</v>
      </c>
      <c r="B31" s="1007" t="s">
        <v>2509</v>
      </c>
      <c r="C31" s="1008">
        <f>ROUND(C4*F31/(1+'数据-取费表'!C42),0)</f>
        <v>0</v>
      </c>
      <c r="D31" s="1009"/>
      <c r="E31" s="1010"/>
      <c r="F31" s="1011">
        <f>'数据-取费表'!B41</f>
        <v>5.6000000000000001E-2</v>
      </c>
      <c r="G31" s="1012" t="s">
        <v>2510</v>
      </c>
      <c r="H31" s="1013"/>
      <c r="I31" s="1013"/>
      <c r="J31" s="1013"/>
      <c r="K31" s="1014"/>
    </row>
    <row r="32" spans="1:33" s="972" customFormat="1" ht="13.5" customHeight="1" thickBot="1">
      <c r="A32" s="1002" t="s">
        <v>2511</v>
      </c>
      <c r="B32" s="1003"/>
      <c r="C32" s="1004">
        <f ca="1">ROUND((C4-C21-C22-C23-C25-C28-C31)/(1+C24+D25+D28),0)</f>
        <v>0</v>
      </c>
      <c r="D32" s="1003"/>
      <c r="E32" s="1003"/>
      <c r="F32" s="1003"/>
      <c r="G32" s="1005" t="s">
        <v>2512</v>
      </c>
      <c r="H32" s="1003"/>
      <c r="I32" s="1003"/>
      <c r="J32" s="1003"/>
      <c r="K32" s="1006"/>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2"/>
  <sheetViews>
    <sheetView topLeftCell="A76" zoomScale="70" zoomScaleNormal="70" workbookViewId="0">
      <selection activeCell="J55" sqref="J5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2522</v>
      </c>
      <c r="B1" s="2584" t="s">
        <v>2636</v>
      </c>
      <c r="C1" s="1636" t="s">
        <v>2524</v>
      </c>
      <c r="D1" s="1623" t="s">
        <v>4021</v>
      </c>
      <c r="E1" s="2659"/>
      <c r="F1" s="2586" t="s">
        <v>3101</v>
      </c>
      <c r="G1" s="1633" t="s">
        <v>2637</v>
      </c>
      <c r="H1" s="1632"/>
      <c r="I1" s="1632"/>
      <c r="J1" s="1632"/>
      <c r="K1" s="1634"/>
      <c r="L1" s="1635"/>
      <c r="M1" s="1636"/>
      <c r="N1" s="1636"/>
      <c r="O1" s="1636"/>
      <c r="P1" s="2660"/>
      <c r="Q1" s="2661"/>
      <c r="R1" s="2661"/>
      <c r="S1" s="2661"/>
      <c r="T1" s="2661"/>
      <c r="U1" s="2661"/>
      <c r="V1" s="2661"/>
      <c r="W1" s="2661"/>
      <c r="X1" s="2661"/>
      <c r="Y1" s="2661"/>
      <c r="Z1" s="2661"/>
      <c r="AA1" s="2661"/>
      <c r="AB1" s="2661"/>
      <c r="AC1" s="2662"/>
    </row>
    <row r="2" spans="1:29" s="398" customFormat="1" ht="28.5" customHeight="1" thickTop="1">
      <c r="A2" s="1619" t="s">
        <v>2321</v>
      </c>
      <c r="B2" s="1420">
        <f>IF(C2="——",ROUND(C49*D3/10000,0),ROUND(C49*D3/10000,0)-D2)</f>
        <v>4233</v>
      </c>
      <c r="C2" s="2588" t="s">
        <v>70</v>
      </c>
      <c r="D2" s="1367" t="e">
        <f ca="1">SUMIF(INDIRECT("'"&amp;F2&amp;"'"&amp;"!A:A"),"承租人权益价值",INDIRECT("'"&amp;F2&amp;"'"&amp;"!c:c"))</f>
        <v>#REF!</v>
      </c>
      <c r="E2" s="2589" t="s">
        <v>2322</v>
      </c>
      <c r="F2" s="2590"/>
      <c r="G2" s="1127"/>
      <c r="H2" s="1127"/>
      <c r="I2" s="1127"/>
      <c r="J2" s="1127"/>
      <c r="K2" s="1127"/>
      <c r="L2" s="1130"/>
      <c r="M2" s="1131"/>
      <c r="N2" s="1131"/>
      <c r="O2" s="1131"/>
      <c r="P2" s="2663"/>
      <c r="Q2" s="1131"/>
      <c r="R2" s="1131"/>
      <c r="S2" s="1131"/>
      <c r="T2" s="1131"/>
      <c r="U2" s="1131"/>
      <c r="V2" s="1131"/>
      <c r="W2" s="1131"/>
      <c r="X2" s="1131"/>
      <c r="Y2" s="1131"/>
      <c r="Z2" s="1131"/>
      <c r="AA2" s="1131"/>
      <c r="AB2" s="1131"/>
      <c r="AC2" s="2664"/>
    </row>
    <row r="3" spans="1:29" s="398" customFormat="1" ht="28.5" customHeight="1" thickBot="1">
      <c r="A3" s="247" t="s">
        <v>2323</v>
      </c>
      <c r="B3" s="609">
        <f>IF(C2="——",C49,ROUND(B2*10000/D3,0))</f>
        <v>30670</v>
      </c>
      <c r="C3" s="400" t="s">
        <v>2638</v>
      </c>
      <c r="D3" s="399">
        <f>IF(D1="",'数据-汇总表'!E3,SUMIF('数据-汇总表'!$C19:$C33,D1,'数据-汇总表'!$E19:$E33))</f>
        <v>1380.28</v>
      </c>
      <c r="E3" s="2665"/>
      <c r="F3" s="1128"/>
      <c r="G3" s="1127"/>
      <c r="H3" s="1127"/>
      <c r="I3" s="1127"/>
      <c r="J3" s="1127"/>
      <c r="K3" s="1129"/>
      <c r="L3" s="1130"/>
      <c r="M3" s="1131"/>
      <c r="N3" s="1131"/>
      <c r="O3" s="1131"/>
      <c r="P3" s="2663"/>
      <c r="Q3" s="1131"/>
      <c r="R3" s="1131"/>
      <c r="S3" s="1131"/>
      <c r="T3" s="1131"/>
      <c r="U3" s="1131"/>
      <c r="V3" s="1131"/>
      <c r="W3" s="1131"/>
      <c r="X3" s="1131"/>
      <c r="Y3" s="1131"/>
      <c r="Z3" s="1131"/>
      <c r="AA3" s="1131"/>
      <c r="AB3" s="1131"/>
      <c r="AC3" s="2665"/>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3" t="s">
        <v>2642</v>
      </c>
      <c r="AC4" s="3180" t="s">
        <v>2643</v>
      </c>
    </row>
    <row r="5" spans="1:29" ht="15">
      <c r="A5" s="404"/>
      <c r="B5" s="405"/>
      <c r="C5" s="3192" t="s">
        <v>2536</v>
      </c>
      <c r="D5" s="3193"/>
      <c r="E5" s="3190" t="s">
        <v>3936</v>
      </c>
      <c r="F5" s="3191"/>
      <c r="G5" s="3196" t="s">
        <v>4015</v>
      </c>
      <c r="H5" s="3193"/>
      <c r="I5" s="3196" t="s">
        <v>4027</v>
      </c>
      <c r="J5" s="3193"/>
      <c r="K5" s="610"/>
      <c r="L5" s="1132"/>
      <c r="M5" s="1133"/>
      <c r="N5" s="1133"/>
      <c r="O5" s="1133"/>
      <c r="P5" s="3208"/>
      <c r="Q5" s="3209"/>
      <c r="R5" s="3188"/>
      <c r="S5" s="3189"/>
      <c r="T5" s="3188"/>
      <c r="U5" s="3189"/>
      <c r="V5" s="3183"/>
      <c r="W5" s="3183"/>
      <c r="X5" s="1815"/>
      <c r="Y5" s="3188"/>
      <c r="Z5" s="3189"/>
      <c r="AA5" s="3181"/>
      <c r="AB5" s="3183"/>
      <c r="AC5" s="3181"/>
    </row>
    <row r="6" spans="1:29" ht="15.75" thickBot="1">
      <c r="A6" s="406"/>
      <c r="B6" s="407"/>
      <c r="C6" s="3194" t="s">
        <v>2540</v>
      </c>
      <c r="D6" s="3195"/>
      <c r="E6" s="3197" t="s">
        <v>2540</v>
      </c>
      <c r="F6" s="3198"/>
      <c r="G6" s="3199" t="s">
        <v>2540</v>
      </c>
      <c r="H6" s="3200"/>
      <c r="I6" s="3194" t="s">
        <v>2540</v>
      </c>
      <c r="J6" s="3195"/>
      <c r="K6" s="610" t="s">
        <v>2541</v>
      </c>
      <c r="L6" s="1132"/>
      <c r="M6" s="1133"/>
      <c r="N6" s="1133"/>
      <c r="O6" s="1133"/>
      <c r="P6" s="3210"/>
      <c r="Q6" s="3211"/>
      <c r="R6" s="3188"/>
      <c r="S6" s="3189"/>
      <c r="T6" s="3212"/>
      <c r="U6" s="3213"/>
      <c r="V6" s="3183"/>
      <c r="W6" s="3183"/>
      <c r="X6" s="1815"/>
      <c r="Y6" s="3212"/>
      <c r="Z6" s="3213"/>
      <c r="AA6" s="3182"/>
      <c r="AB6" s="3183"/>
      <c r="AC6" s="3182"/>
    </row>
    <row r="7" spans="1:29" s="117" customFormat="1" ht="15.75" thickBot="1">
      <c r="A7" s="408" t="s">
        <v>2542</v>
      </c>
      <c r="B7" s="409"/>
      <c r="C7" s="410">
        <f>'数据-取费表'!B2</f>
        <v>43321</v>
      </c>
      <c r="D7" s="411">
        <v>100</v>
      </c>
      <c r="E7" s="412">
        <v>43252</v>
      </c>
      <c r="F7" s="413">
        <f>SUMIF(58:58,YEAR(E7)&amp;"-"&amp;MONTH(E7),59:59)</f>
        <v>99</v>
      </c>
      <c r="G7" s="2698">
        <v>43009</v>
      </c>
      <c r="H7" s="411">
        <f>SUMIF(58:58,YEAR(G7)&amp;"-"&amp;MONTH(G7),59:59)</f>
        <v>97</v>
      </c>
      <c r="I7" s="412">
        <v>43313</v>
      </c>
      <c r="J7" s="411">
        <f>SUMIF(58:58,YEAR(I7)&amp;"-"&amp;MONTH(I7),59:59)</f>
        <v>100</v>
      </c>
      <c r="K7" s="611"/>
      <c r="L7" s="1134"/>
      <c r="M7" s="1135"/>
      <c r="N7" s="1135"/>
      <c r="O7" s="1135"/>
      <c r="P7" s="3184" t="s">
        <v>2543</v>
      </c>
      <c r="Q7" s="3214"/>
      <c r="R7" s="769" t="s">
        <v>17</v>
      </c>
      <c r="S7" s="770">
        <f t="shared" ref="S7:S15" si="0">F7</f>
        <v>99</v>
      </c>
      <c r="T7" s="769" t="s">
        <v>17</v>
      </c>
      <c r="U7" s="770">
        <f t="shared" ref="U7:U15" si="1">H7</f>
        <v>97</v>
      </c>
      <c r="V7" s="769" t="s">
        <v>17</v>
      </c>
      <c r="W7" s="770">
        <f t="shared" ref="W7:W15" si="2">J7</f>
        <v>100</v>
      </c>
      <c r="X7" s="771"/>
      <c r="Y7" s="3184" t="s">
        <v>2543</v>
      </c>
      <c r="Z7" s="3185"/>
      <c r="AA7" s="772">
        <f>D7/F7</f>
        <v>1.0101010101010102</v>
      </c>
      <c r="AB7" s="772">
        <f>D7/H7</f>
        <v>1.0309278350515463</v>
      </c>
      <c r="AC7" s="772">
        <f>D7/J7</f>
        <v>1</v>
      </c>
    </row>
    <row r="8" spans="1:29" s="117" customFormat="1" ht="15.75" thickBot="1">
      <c r="A8" s="408" t="s">
        <v>2544</v>
      </c>
      <c r="B8" s="409"/>
      <c r="C8" s="414" t="s">
        <v>2646</v>
      </c>
      <c r="D8" s="411">
        <v>100</v>
      </c>
      <c r="E8" s="414" t="s">
        <v>3102</v>
      </c>
      <c r="F8" s="413">
        <f>SUMIF(61:61,E8,62:62)-SUMIF(61:61,C8,62:62)+100</f>
        <v>100</v>
      </c>
      <c r="G8" s="414" t="s">
        <v>3102</v>
      </c>
      <c r="H8" s="411">
        <f>SUMIF(61:61,G8,62:62)-SUMIF(61:61,C8,62:62)+100</f>
        <v>100</v>
      </c>
      <c r="I8" s="414" t="s">
        <v>3102</v>
      </c>
      <c r="J8" s="411">
        <f>SUMIF(61:61,I8,62:62)-SUMIF(61:61,C8,62:62)+100</f>
        <v>100</v>
      </c>
      <c r="K8" s="611"/>
      <c r="L8" s="1134"/>
      <c r="M8" s="1135"/>
      <c r="N8" s="1135"/>
      <c r="O8" s="1135"/>
      <c r="P8" s="3184" t="s">
        <v>2546</v>
      </c>
      <c r="Q8" s="3185"/>
      <c r="R8" s="769" t="s">
        <v>17</v>
      </c>
      <c r="S8" s="770">
        <f t="shared" si="0"/>
        <v>100</v>
      </c>
      <c r="T8" s="769" t="s">
        <v>17</v>
      </c>
      <c r="U8" s="770">
        <f t="shared" si="1"/>
        <v>100</v>
      </c>
      <c r="V8" s="769" t="s">
        <v>17</v>
      </c>
      <c r="W8" s="770">
        <f t="shared" si="2"/>
        <v>100</v>
      </c>
      <c r="X8" s="771"/>
      <c r="Y8" s="3184" t="s">
        <v>2546</v>
      </c>
      <c r="Z8" s="3185"/>
      <c r="AA8" s="772">
        <f t="shared" ref="AA8:AA46" si="3">D8/F8</f>
        <v>1</v>
      </c>
      <c r="AB8" s="772">
        <f t="shared" ref="AB8:AB46" si="4">D8/H8</f>
        <v>1</v>
      </c>
      <c r="AC8" s="772">
        <f t="shared" ref="AC8:AC46" si="5">D8/J8</f>
        <v>1</v>
      </c>
    </row>
    <row r="9" spans="1:29" s="117" customFormat="1">
      <c r="A9" s="415" t="s">
        <v>2547</v>
      </c>
      <c r="B9" s="71" t="s">
        <v>2548</v>
      </c>
      <c r="C9" s="2951" t="s">
        <v>3103</v>
      </c>
      <c r="D9" s="135">
        <v>100</v>
      </c>
      <c r="E9" s="417" t="s">
        <v>1377</v>
      </c>
      <c r="F9" s="418">
        <f>SUMIF(63:63,E9,64:64)-SUMIF(63:63,C9,64:64)+100</f>
        <v>100</v>
      </c>
      <c r="G9" s="419" t="s">
        <v>1377</v>
      </c>
      <c r="H9" s="135">
        <f>SUMIF(63:63,G9,64:64)-SUMIF(63:63,C9,64:64)+100</f>
        <v>100</v>
      </c>
      <c r="I9" s="417" t="s">
        <v>1377</v>
      </c>
      <c r="J9" s="135">
        <f>SUMIF(63:63,I9,64:64)-SUMIF(63:63,C9,64:64)+100</f>
        <v>100</v>
      </c>
      <c r="K9" s="611"/>
      <c r="L9" s="1134"/>
      <c r="M9" s="1135"/>
      <c r="N9" s="1135"/>
      <c r="O9" s="1135"/>
      <c r="P9" s="3201"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772">
        <f t="shared" si="5"/>
        <v>1</v>
      </c>
    </row>
    <row r="10" spans="1:29" s="427" customFormat="1" ht="27.75" thickBot="1">
      <c r="A10" s="421"/>
      <c r="B10" s="422" t="s">
        <v>2551</v>
      </c>
      <c r="C10" s="423" t="s">
        <v>3104</v>
      </c>
      <c r="D10" s="136">
        <v>100</v>
      </c>
      <c r="E10" s="424" t="s">
        <v>3104</v>
      </c>
      <c r="F10" s="425">
        <f>SUMIF(65:65,E10,66:66)-SUMIF(65:65,C10,66:66)+100</f>
        <v>100</v>
      </c>
      <c r="G10" s="423" t="s">
        <v>3104</v>
      </c>
      <c r="H10" s="136">
        <f>SUMIF(65:65,G10,66:66)-SUMIF(65:65,C10,66:66)+100</f>
        <v>100</v>
      </c>
      <c r="I10" s="424" t="s">
        <v>3104</v>
      </c>
      <c r="J10" s="136">
        <f>SUMIF(65:65,I10,66:66)-SUMIF(65:65,C10,66:66)+100</f>
        <v>100</v>
      </c>
      <c r="K10" s="612">
        <v>5</v>
      </c>
      <c r="L10" s="1137"/>
      <c r="M10" s="1138"/>
      <c r="N10" s="1138"/>
      <c r="O10" s="1138"/>
      <c r="P10" s="3201"/>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75" hidden="1" thickBot="1">
      <c r="A11" s="428"/>
      <c r="B11" s="422" t="s">
        <v>2552</v>
      </c>
      <c r="C11" s="429"/>
      <c r="D11" s="136">
        <v>100</v>
      </c>
      <c r="E11" s="430"/>
      <c r="F11" s="425">
        <f>LOOKUP(E11,68:68,69:69)-LOOKUP(C11,68:68,69:69)+100</f>
        <v>100</v>
      </c>
      <c r="G11" s="429"/>
      <c r="H11" s="136">
        <f>LOOKUP(G11,68:68,69:69)-LOOKUP(C11,68:68,69:69)+100</f>
        <v>100</v>
      </c>
      <c r="I11" s="429"/>
      <c r="J11" s="136">
        <f>LOOKUP(I11,68:68,69:69)-LOOKUP(C11,68:68,69:69)+100</f>
        <v>100</v>
      </c>
      <c r="K11" s="612"/>
      <c r="L11" s="1140"/>
      <c r="M11" s="1133"/>
      <c r="N11" s="1133"/>
      <c r="O11" s="1133"/>
      <c r="P11" s="3201"/>
      <c r="Q11" s="1797" t="str">
        <f t="shared" si="6"/>
        <v>容积率</v>
      </c>
      <c r="R11" s="769" t="s">
        <v>17</v>
      </c>
      <c r="S11" s="770">
        <f t="shared" si="0"/>
        <v>100</v>
      </c>
      <c r="T11" s="769" t="s">
        <v>17</v>
      </c>
      <c r="U11" s="770">
        <f t="shared" si="1"/>
        <v>100</v>
      </c>
      <c r="V11" s="769" t="s">
        <v>17</v>
      </c>
      <c r="W11" s="770">
        <f t="shared" si="2"/>
        <v>100</v>
      </c>
      <c r="X11" s="771"/>
      <c r="Y11" s="3057"/>
      <c r="Z11" s="55" t="str">
        <f t="shared" si="7"/>
        <v>容积率</v>
      </c>
      <c r="AA11" s="772">
        <f t="shared" si="3"/>
        <v>1</v>
      </c>
      <c r="AB11" s="772">
        <f t="shared" si="4"/>
        <v>1</v>
      </c>
      <c r="AC11" s="772">
        <f t="shared" si="5"/>
        <v>1</v>
      </c>
    </row>
    <row r="12" spans="1:29" s="117" customFormat="1" ht="15.75" hidden="1" thickBot="1">
      <c r="A12" s="431"/>
      <c r="B12" s="2602"/>
      <c r="C12" s="432"/>
      <c r="D12" s="433">
        <v>100</v>
      </c>
      <c r="E12" s="434"/>
      <c r="F12" s="425">
        <f>SUMIF(70:70,E12,71:71)-SUMIF(70:70,C12,71:71)+100</f>
        <v>100</v>
      </c>
      <c r="G12" s="434"/>
      <c r="H12" s="136">
        <f>SUMIF(70:70,G12,71:71)-SUMIF(70:70,C12,71:71)+100</f>
        <v>100</v>
      </c>
      <c r="I12" s="434"/>
      <c r="J12" s="136">
        <f>SUMIF(70:70,I12,71:71)-SUMIF(70:70,C12,71:71)+100</f>
        <v>100</v>
      </c>
      <c r="K12" s="613"/>
      <c r="L12" s="1134"/>
      <c r="M12" s="1135"/>
      <c r="N12" s="1135"/>
      <c r="O12" s="1135"/>
      <c r="P12" s="3201"/>
      <c r="Q12" s="1797">
        <f t="shared" si="6"/>
        <v>0</v>
      </c>
      <c r="R12" s="769" t="s">
        <v>17</v>
      </c>
      <c r="S12" s="770">
        <f t="shared" si="0"/>
        <v>100</v>
      </c>
      <c r="T12" s="769" t="s">
        <v>17</v>
      </c>
      <c r="U12" s="770">
        <f t="shared" si="1"/>
        <v>100</v>
      </c>
      <c r="V12" s="769" t="s">
        <v>17</v>
      </c>
      <c r="W12" s="770">
        <f t="shared" si="2"/>
        <v>100</v>
      </c>
      <c r="X12" s="771"/>
      <c r="Y12" s="3057"/>
      <c r="Z12" s="55">
        <f t="shared" si="7"/>
        <v>0</v>
      </c>
      <c r="AA12" s="772">
        <f>D12/F12</f>
        <v>1</v>
      </c>
      <c r="AB12" s="772">
        <f>D12/H12</f>
        <v>1</v>
      </c>
      <c r="AC12" s="772">
        <f>D12/J12</f>
        <v>1</v>
      </c>
    </row>
    <row r="13" spans="1:29" ht="15.75" hidden="1" thickBot="1">
      <c r="A13" s="428"/>
      <c r="B13" s="2602"/>
      <c r="C13" s="434"/>
      <c r="D13" s="435">
        <v>100</v>
      </c>
      <c r="E13" s="434"/>
      <c r="F13" s="425">
        <f>SUMIF(72:72,E13,73:73)-SUMIF(72:72,C13,73:73)+100</f>
        <v>100</v>
      </c>
      <c r="G13" s="434"/>
      <c r="H13" s="435">
        <f>SUMIF(72:72,G13,73:73)-SUMIF(72:72,C13,73:73)+100</f>
        <v>100</v>
      </c>
      <c r="I13" s="434"/>
      <c r="J13" s="435">
        <f>SUMIF(72:72,I13,73:73)-SUMIF(72:72,C13,73:73)+100</f>
        <v>100</v>
      </c>
      <c r="K13" s="613"/>
      <c r="L13" s="1142"/>
      <c r="M13" s="1133"/>
      <c r="N13" s="1133"/>
      <c r="O13" s="1133"/>
      <c r="P13" s="3201"/>
      <c r="Q13" s="1797">
        <f t="shared" si="6"/>
        <v>0</v>
      </c>
      <c r="R13" s="769" t="s">
        <v>17</v>
      </c>
      <c r="S13" s="770">
        <f t="shared" si="0"/>
        <v>100</v>
      </c>
      <c r="T13" s="769" t="s">
        <v>17</v>
      </c>
      <c r="U13" s="770">
        <f t="shared" si="1"/>
        <v>100</v>
      </c>
      <c r="V13" s="769" t="s">
        <v>17</v>
      </c>
      <c r="W13" s="770">
        <f t="shared" si="2"/>
        <v>100</v>
      </c>
      <c r="X13" s="771"/>
      <c r="Y13" s="3057"/>
      <c r="Z13" s="55">
        <f t="shared" si="7"/>
        <v>0</v>
      </c>
      <c r="AA13" s="772">
        <f t="shared" si="3"/>
        <v>1</v>
      </c>
      <c r="AB13" s="772">
        <f t="shared" si="4"/>
        <v>1</v>
      </c>
      <c r="AC13" s="772">
        <f t="shared" si="5"/>
        <v>1</v>
      </c>
    </row>
    <row r="14" spans="1:29" ht="15.75" hidden="1" thickBot="1">
      <c r="A14" s="436"/>
      <c r="B14" s="2604"/>
      <c r="C14" s="437"/>
      <c r="D14" s="438">
        <v>100</v>
      </c>
      <c r="E14" s="434"/>
      <c r="F14" s="439">
        <f>SUMIF(74:74,E14,75:75)-SUMIF(74:74,C14,75:75)+100</f>
        <v>100</v>
      </c>
      <c r="G14" s="434"/>
      <c r="H14" s="438">
        <f>SUMIF(74:74,G14,75:75)-SUMIF(74:74,C14,75:75)+100</f>
        <v>100</v>
      </c>
      <c r="I14" s="434"/>
      <c r="J14" s="438">
        <f>SUMIF(74:74,I14,75:75)-SUMIF(74:74,C14,75:75)+100</f>
        <v>100</v>
      </c>
      <c r="K14" s="613"/>
      <c r="L14" s="1142"/>
      <c r="M14" s="1133"/>
      <c r="N14" s="1133"/>
      <c r="O14" s="1133"/>
      <c r="P14" s="3201"/>
      <c r="Q14" s="1797">
        <f t="shared" si="6"/>
        <v>0</v>
      </c>
      <c r="R14" s="769" t="s">
        <v>17</v>
      </c>
      <c r="S14" s="770">
        <f t="shared" si="0"/>
        <v>100</v>
      </c>
      <c r="T14" s="769" t="s">
        <v>17</v>
      </c>
      <c r="U14" s="770">
        <f t="shared" si="1"/>
        <v>100</v>
      </c>
      <c r="V14" s="769" t="s">
        <v>17</v>
      </c>
      <c r="W14" s="770">
        <f t="shared" si="2"/>
        <v>100</v>
      </c>
      <c r="X14" s="771"/>
      <c r="Y14" s="3057"/>
      <c r="Z14" s="55">
        <f t="shared" si="7"/>
        <v>0</v>
      </c>
      <c r="AA14" s="772">
        <f t="shared" si="3"/>
        <v>1</v>
      </c>
      <c r="AB14" s="772">
        <f t="shared" si="4"/>
        <v>1</v>
      </c>
      <c r="AC14" s="772">
        <f t="shared" si="5"/>
        <v>1</v>
      </c>
    </row>
    <row r="15" spans="1:29" ht="71.25">
      <c r="A15" s="440" t="s">
        <v>2553</v>
      </c>
      <c r="B15" s="69" t="s">
        <v>2647</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5</v>
      </c>
      <c r="L15" s="1142"/>
      <c r="M15" s="1133"/>
      <c r="N15" s="1133"/>
      <c r="O15" s="1133"/>
      <c r="P15" s="3215" t="s">
        <v>2554</v>
      </c>
      <c r="Q15" s="1812" t="str">
        <f t="shared" si="6"/>
        <v>商业繁华度</v>
      </c>
      <c r="R15" s="773" t="s">
        <v>17</v>
      </c>
      <c r="S15" s="774">
        <f t="shared" si="0"/>
        <v>100</v>
      </c>
      <c r="T15" s="773" t="s">
        <v>17</v>
      </c>
      <c r="U15" s="774">
        <f t="shared" si="1"/>
        <v>100</v>
      </c>
      <c r="V15" s="773" t="s">
        <v>17</v>
      </c>
      <c r="W15" s="774">
        <f t="shared" si="2"/>
        <v>100</v>
      </c>
      <c r="X15" s="1815"/>
      <c r="Y15" s="3217" t="s">
        <v>2554</v>
      </c>
      <c r="Z15" s="1816" t="str">
        <f t="shared" si="7"/>
        <v>商业繁华度</v>
      </c>
      <c r="AA15" s="1813">
        <f t="shared" si="3"/>
        <v>1</v>
      </c>
      <c r="AB15" s="1813">
        <f t="shared" si="4"/>
        <v>1</v>
      </c>
      <c r="AC15" s="1813">
        <f t="shared" si="5"/>
        <v>1</v>
      </c>
    </row>
    <row r="16" spans="1:29" ht="15">
      <c r="A16" s="428"/>
      <c r="B16" s="446"/>
      <c r="C16" s="447" t="s">
        <v>3937</v>
      </c>
      <c r="D16" s="448"/>
      <c r="E16" s="447" t="s">
        <v>3937</v>
      </c>
      <c r="F16" s="449"/>
      <c r="G16" s="447" t="s">
        <v>3937</v>
      </c>
      <c r="H16" s="450"/>
      <c r="I16" s="447" t="s">
        <v>3937</v>
      </c>
      <c r="J16" s="448"/>
      <c r="K16" s="615"/>
      <c r="L16" s="1142"/>
      <c r="M16" s="1133"/>
      <c r="N16" s="1133"/>
      <c r="O16" s="1133"/>
      <c r="P16" s="3216"/>
      <c r="Q16" s="1812"/>
      <c r="R16" s="773"/>
      <c r="S16" s="774"/>
      <c r="T16" s="773"/>
      <c r="U16" s="774"/>
      <c r="V16" s="773"/>
      <c r="W16" s="774"/>
      <c r="X16" s="1815"/>
      <c r="Y16" s="3218"/>
      <c r="Z16" s="1816"/>
      <c r="AA16" s="1813">
        <v>1</v>
      </c>
      <c r="AB16" s="1813">
        <v>1</v>
      </c>
      <c r="AC16" s="1813">
        <v>1</v>
      </c>
    </row>
    <row r="17" spans="1:29" ht="85.5">
      <c r="A17" s="428"/>
      <c r="B17" s="451" t="s">
        <v>2095</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5</v>
      </c>
      <c r="L17" s="1142"/>
      <c r="M17" s="1133"/>
      <c r="N17" s="1133"/>
      <c r="O17" s="1133"/>
      <c r="P17" s="3216"/>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456"/>
      <c r="C18" s="2610" t="s">
        <v>3937</v>
      </c>
      <c r="D18" s="450"/>
      <c r="E18" s="2610" t="s">
        <v>3937</v>
      </c>
      <c r="F18" s="453"/>
      <c r="G18" s="2610" t="s">
        <v>3937</v>
      </c>
      <c r="H18" s="448"/>
      <c r="I18" s="2610" t="s">
        <v>3937</v>
      </c>
      <c r="J18" s="448"/>
      <c r="K18" s="615"/>
      <c r="L18" s="1142"/>
      <c r="M18" s="1133"/>
      <c r="N18" s="1133"/>
      <c r="O18" s="1133"/>
      <c r="P18" s="3216"/>
      <c r="Q18" s="1812"/>
      <c r="R18" s="773"/>
      <c r="S18" s="774"/>
      <c r="T18" s="773"/>
      <c r="U18" s="774"/>
      <c r="V18" s="773"/>
      <c r="W18" s="774"/>
      <c r="X18" s="1815"/>
      <c r="Y18" s="3218"/>
      <c r="Z18" s="1816"/>
      <c r="AA18" s="1813">
        <v>1</v>
      </c>
      <c r="AB18" s="1813">
        <v>1</v>
      </c>
      <c r="AC18" s="1813">
        <v>1</v>
      </c>
    </row>
    <row r="19" spans="1:29" ht="42.75">
      <c r="A19" s="428"/>
      <c r="B19" s="451" t="s">
        <v>2648</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3</v>
      </c>
      <c r="L19" s="1142"/>
      <c r="M19" s="1133"/>
      <c r="N19" s="1133"/>
      <c r="O19" s="1133"/>
      <c r="P19" s="3216"/>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1813">
        <f t="shared" si="5"/>
        <v>1</v>
      </c>
    </row>
    <row r="20" spans="1:29" ht="15">
      <c r="A20" s="428"/>
      <c r="B20" s="456"/>
      <c r="C20" s="2610" t="s">
        <v>3937</v>
      </c>
      <c r="D20" s="448"/>
      <c r="E20" s="2610" t="s">
        <v>3937</v>
      </c>
      <c r="F20" s="449"/>
      <c r="G20" s="2610" t="s">
        <v>3937</v>
      </c>
      <c r="H20" s="448"/>
      <c r="I20" s="2610" t="s">
        <v>3937</v>
      </c>
      <c r="J20" s="448"/>
      <c r="K20" s="615"/>
      <c r="L20" s="1142"/>
      <c r="M20" s="1133"/>
      <c r="N20" s="1133"/>
      <c r="O20" s="1133"/>
      <c r="P20" s="3216"/>
      <c r="Q20" s="1812"/>
      <c r="R20" s="773"/>
      <c r="S20" s="774"/>
      <c r="T20" s="773"/>
      <c r="U20" s="774"/>
      <c r="V20" s="773"/>
      <c r="W20" s="774"/>
      <c r="X20" s="1815"/>
      <c r="Y20" s="3218"/>
      <c r="Z20" s="1816"/>
      <c r="AA20" s="1813">
        <v>1</v>
      </c>
      <c r="AB20" s="1813">
        <v>1</v>
      </c>
      <c r="AC20" s="1813">
        <v>1</v>
      </c>
    </row>
    <row r="21" spans="1:29" ht="28.5">
      <c r="A21" s="428"/>
      <c r="B21" s="1386" t="s">
        <v>2649</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2</v>
      </c>
      <c r="L21" s="1142"/>
      <c r="M21" s="1133"/>
      <c r="N21" s="1133"/>
      <c r="O21" s="1133"/>
      <c r="P21" s="3216"/>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10" t="s">
        <v>3938</v>
      </c>
      <c r="D22" s="448"/>
      <c r="E22" s="2610" t="s">
        <v>3938</v>
      </c>
      <c r="F22" s="449"/>
      <c r="G22" s="2610" t="s">
        <v>3938</v>
      </c>
      <c r="H22" s="448"/>
      <c r="I22" s="2610" t="s">
        <v>3938</v>
      </c>
      <c r="J22" s="448"/>
      <c r="K22" s="1385"/>
      <c r="L22" s="1142"/>
      <c r="M22" s="1133"/>
      <c r="N22" s="1133"/>
      <c r="O22" s="1133"/>
      <c r="P22" s="3216"/>
      <c r="Q22" s="1812"/>
      <c r="R22" s="773"/>
      <c r="S22" s="774"/>
      <c r="T22" s="773"/>
      <c r="U22" s="774"/>
      <c r="V22" s="773"/>
      <c r="W22" s="774"/>
      <c r="X22" s="1815"/>
      <c r="Y22" s="3218"/>
      <c r="Z22" s="1816"/>
      <c r="AA22" s="1813">
        <v>1</v>
      </c>
      <c r="AB22" s="1813">
        <v>1</v>
      </c>
      <c r="AC22" s="1813">
        <v>1</v>
      </c>
    </row>
    <row r="23" spans="1:29" ht="57">
      <c r="A23" s="428"/>
      <c r="B23" s="451" t="s">
        <v>2100</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3</v>
      </c>
      <c r="L23" s="1142"/>
      <c r="M23" s="1133"/>
      <c r="N23" s="1133"/>
      <c r="O23" s="1133"/>
      <c r="P23" s="3216"/>
      <c r="Q23" s="1812" t="str">
        <f>B23</f>
        <v>自然及人文环境</v>
      </c>
      <c r="R23" s="773" t="s">
        <v>17</v>
      </c>
      <c r="S23" s="774">
        <f>F23</f>
        <v>100</v>
      </c>
      <c r="T23" s="773" t="s">
        <v>17</v>
      </c>
      <c r="U23" s="774">
        <f>H23</f>
        <v>100</v>
      </c>
      <c r="V23" s="773" t="s">
        <v>17</v>
      </c>
      <c r="W23" s="774">
        <f>J23</f>
        <v>100</v>
      </c>
      <c r="X23" s="1815"/>
      <c r="Y23" s="3218"/>
      <c r="Z23" s="1816" t="str">
        <f>Q23</f>
        <v>自然及人文环境</v>
      </c>
      <c r="AA23" s="1813">
        <f t="shared" si="3"/>
        <v>1</v>
      </c>
      <c r="AB23" s="1813">
        <f t="shared" si="4"/>
        <v>1</v>
      </c>
      <c r="AC23" s="1813">
        <f t="shared" si="5"/>
        <v>1</v>
      </c>
    </row>
    <row r="24" spans="1:29" ht="15">
      <c r="A24" s="428"/>
      <c r="B24" s="456"/>
      <c r="C24" s="447" t="s">
        <v>3939</v>
      </c>
      <c r="D24" s="448"/>
      <c r="E24" s="447" t="s">
        <v>3939</v>
      </c>
      <c r="F24" s="449"/>
      <c r="G24" s="447" t="s">
        <v>3939</v>
      </c>
      <c r="H24" s="448"/>
      <c r="I24" s="447" t="s">
        <v>3939</v>
      </c>
      <c r="J24" s="448"/>
      <c r="K24" s="615"/>
      <c r="L24" s="1142"/>
      <c r="M24" s="1133"/>
      <c r="N24" s="1133"/>
      <c r="O24" s="1133"/>
      <c r="P24" s="3216"/>
      <c r="Q24" s="1812"/>
      <c r="R24" s="773"/>
      <c r="S24" s="774"/>
      <c r="T24" s="773"/>
      <c r="U24" s="774"/>
      <c r="V24" s="773"/>
      <c r="W24" s="774"/>
      <c r="X24" s="1815"/>
      <c r="Y24" s="3218"/>
      <c r="Z24" s="1816"/>
      <c r="AA24" s="1813">
        <v>1</v>
      </c>
      <c r="AB24" s="1813">
        <v>1</v>
      </c>
      <c r="AC24" s="1813">
        <v>1</v>
      </c>
    </row>
    <row r="25" spans="1:29" ht="15">
      <c r="A25" s="428"/>
      <c r="B25" s="422" t="s">
        <v>2650</v>
      </c>
      <c r="C25" s="616"/>
      <c r="D25" s="435">
        <v>100</v>
      </c>
      <c r="E25" s="616"/>
      <c r="F25" s="461">
        <f>SUMIF(86:86,E25,87:87)-SUMIF(86:86,C25,87:87)+100</f>
        <v>100</v>
      </c>
      <c r="G25" s="616"/>
      <c r="H25" s="435">
        <f>SUMIF(86:86,G25,87:87)-SUMIF(86:86,C25,87:87)+100</f>
        <v>100</v>
      </c>
      <c r="I25" s="616"/>
      <c r="J25" s="435">
        <f>SUMIF(86:86,I25,87:87)-SUMIF(86:86,C25,87:87)+100</f>
        <v>100</v>
      </c>
      <c r="K25" s="612"/>
      <c r="L25" s="1142"/>
      <c r="M25" s="1133"/>
      <c r="N25" s="1133"/>
      <c r="O25" s="1133"/>
      <c r="P25" s="3216"/>
      <c r="Q25" s="1812" t="str">
        <f t="shared" ref="Q25:Q46" si="11">B25</f>
        <v>临街状况</v>
      </c>
      <c r="R25" s="773" t="s">
        <v>17</v>
      </c>
      <c r="S25" s="774">
        <f>F25</f>
        <v>100</v>
      </c>
      <c r="T25" s="773" t="s">
        <v>17</v>
      </c>
      <c r="U25" s="774">
        <f>H25</f>
        <v>100</v>
      </c>
      <c r="V25" s="773" t="s">
        <v>17</v>
      </c>
      <c r="W25" s="774">
        <f>J25</f>
        <v>100</v>
      </c>
      <c r="X25" s="1815"/>
      <c r="Y25" s="3218"/>
      <c r="Z25" s="1816" t="str">
        <f>Q25</f>
        <v>临街状况</v>
      </c>
      <c r="AA25" s="1813">
        <f t="shared" si="3"/>
        <v>1</v>
      </c>
      <c r="AB25" s="1813">
        <f t="shared" si="4"/>
        <v>1</v>
      </c>
      <c r="AC25" s="1813">
        <f t="shared" si="5"/>
        <v>1</v>
      </c>
    </row>
    <row r="26" spans="1:29" ht="15">
      <c r="A26" s="428"/>
      <c r="B26" s="1388" t="s">
        <v>2651</v>
      </c>
      <c r="C26" s="2963" t="s">
        <v>4026</v>
      </c>
      <c r="D26" s="435">
        <v>100</v>
      </c>
      <c r="E26" s="2963" t="s">
        <v>3939</v>
      </c>
      <c r="F26" s="461">
        <f>SUMIF(88:88,E26,89:89)-SUMIF(88:88,C26,89:89)+100</f>
        <v>100</v>
      </c>
      <c r="G26" s="2963" t="s">
        <v>3939</v>
      </c>
      <c r="H26" s="435">
        <f>SUMIF(88:88,G26,89:89)-SUMIF(88:88,C26,89:89)+100</f>
        <v>100</v>
      </c>
      <c r="I26" s="2963" t="s">
        <v>3997</v>
      </c>
      <c r="J26" s="435">
        <f>SUMIF(88:88,I26,89:89)-SUMIF(88:88,C26,89:89)+100</f>
        <v>100</v>
      </c>
      <c r="K26" s="613"/>
      <c r="L26" s="1142"/>
      <c r="M26" s="1133"/>
      <c r="N26" s="1133"/>
      <c r="O26" s="1133"/>
      <c r="P26" s="3216"/>
      <c r="Q26" s="1812" t="str">
        <f t="shared" si="11"/>
        <v>平面位置/可视性</v>
      </c>
      <c r="R26" s="773" t="s">
        <v>17</v>
      </c>
      <c r="S26" s="774">
        <f>F26</f>
        <v>100</v>
      </c>
      <c r="T26" s="773" t="s">
        <v>17</v>
      </c>
      <c r="U26" s="774">
        <f>H26</f>
        <v>100</v>
      </c>
      <c r="V26" s="773" t="s">
        <v>17</v>
      </c>
      <c r="W26" s="774">
        <f>J26</f>
        <v>100</v>
      </c>
      <c r="X26" s="1815"/>
      <c r="Y26" s="3218"/>
      <c r="Z26" s="1816" t="str">
        <f>Q26</f>
        <v>平面位置/可视性</v>
      </c>
      <c r="AA26" s="1813">
        <f t="shared" si="3"/>
        <v>1</v>
      </c>
      <c r="AB26" s="1813">
        <f t="shared" si="4"/>
        <v>1</v>
      </c>
      <c r="AC26" s="1813">
        <f t="shared" si="5"/>
        <v>1</v>
      </c>
    </row>
    <row r="27" spans="1:29" s="117" customFormat="1" ht="15">
      <c r="A27" s="431"/>
      <c r="B27" s="451" t="s">
        <v>2652</v>
      </c>
      <c r="C27" s="2667" t="s">
        <v>3939</v>
      </c>
      <c r="D27" s="462">
        <v>100</v>
      </c>
      <c r="E27" s="2667" t="s">
        <v>3939</v>
      </c>
      <c r="F27" s="464">
        <f>SUMIF(90:90,E27,91:91)-SUMIF(90:90,C27,91:91)+100</f>
        <v>100</v>
      </c>
      <c r="G27" s="2667" t="s">
        <v>3939</v>
      </c>
      <c r="H27" s="462">
        <f>SUMIF(90:90,G27,91:91)-SUMIF(90:90,C27,91:91)+100</f>
        <v>100</v>
      </c>
      <c r="I27" s="2667" t="s">
        <v>3939</v>
      </c>
      <c r="J27" s="462">
        <f>SUMIF(90:90,I27,91:91)-SUMIF(90:90,C27,91:91)+100</f>
        <v>100</v>
      </c>
      <c r="K27" s="612">
        <v>3</v>
      </c>
      <c r="L27" s="1134"/>
      <c r="M27" s="1135"/>
      <c r="N27" s="1135"/>
      <c r="O27" s="1135"/>
      <c r="P27" s="3216"/>
      <c r="Q27" s="1797" t="str">
        <f t="shared" si="11"/>
        <v>人流量</v>
      </c>
      <c r="R27" s="769" t="s">
        <v>17</v>
      </c>
      <c r="S27" s="770">
        <f>F27</f>
        <v>100</v>
      </c>
      <c r="T27" s="769" t="s">
        <v>17</v>
      </c>
      <c r="U27" s="770">
        <f>H27</f>
        <v>100</v>
      </c>
      <c r="V27" s="769" t="s">
        <v>17</v>
      </c>
      <c r="W27" s="770">
        <f>J27</f>
        <v>100</v>
      </c>
      <c r="X27" s="771"/>
      <c r="Y27" s="3218"/>
      <c r="Z27" s="55" t="str">
        <f>Q27</f>
        <v>人流量</v>
      </c>
      <c r="AA27" s="1813">
        <f>D27/F27</f>
        <v>1</v>
      </c>
      <c r="AB27" s="1813">
        <f>D27/H27</f>
        <v>1</v>
      </c>
      <c r="AC27" s="1813">
        <f>D27/J27</f>
        <v>1</v>
      </c>
    </row>
    <row r="28" spans="1:29" ht="15.75" thickBot="1">
      <c r="A28" s="428"/>
      <c r="B28" s="422" t="s">
        <v>2653</v>
      </c>
      <c r="C28" s="616"/>
      <c r="D28" s="435">
        <v>100</v>
      </c>
      <c r="E28" s="616"/>
      <c r="F28" s="461">
        <f>SUMIF(92:92,E28,93:93)-SUMIF(92:92,C28,93:93)+100</f>
        <v>100</v>
      </c>
      <c r="G28" s="616"/>
      <c r="H28" s="435">
        <f>SUMIF(92:92,G28,93:93)-SUMIF(92:92,C28,93:93)+100</f>
        <v>100</v>
      </c>
      <c r="I28" s="616"/>
      <c r="J28" s="435">
        <f>SUMIF(92:92,I28,93:93)-SUMIF(92:92,C28,93:93)+100</f>
        <v>100</v>
      </c>
      <c r="K28" s="613"/>
      <c r="L28" s="1142"/>
      <c r="M28" s="1133"/>
      <c r="N28" s="1133"/>
      <c r="O28" s="1133"/>
      <c r="P28" s="3216"/>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218"/>
      <c r="Z28" s="1816" t="str">
        <f t="shared" ref="Z28:Z46" si="15">Q28</f>
        <v>楼层</v>
      </c>
      <c r="AA28" s="1813">
        <f t="shared" si="3"/>
        <v>1</v>
      </c>
      <c r="AB28" s="1813">
        <f t="shared" si="4"/>
        <v>1</v>
      </c>
      <c r="AC28" s="1813">
        <f t="shared" si="5"/>
        <v>1</v>
      </c>
    </row>
    <row r="29" spans="1:29" ht="15.75" hidden="1" thickBot="1">
      <c r="A29" s="428"/>
      <c r="B29" s="1388"/>
      <c r="C29" s="434"/>
      <c r="D29" s="435">
        <v>100</v>
      </c>
      <c r="E29" s="434"/>
      <c r="F29" s="461">
        <f>SUMIF(94:94,E29,95:95)-SUMIF(94:94,C29,95:95)+100</f>
        <v>100</v>
      </c>
      <c r="G29" s="434"/>
      <c r="H29" s="435">
        <f>SUMIF(94:94,G29,95:95)-SUMIF(94:94,C29,95:95)+100</f>
        <v>100</v>
      </c>
      <c r="I29" s="434"/>
      <c r="J29" s="435">
        <f>SUMIF(94:94,I29,95:95)-SUMIF(94:94,C29,95:95)+100</f>
        <v>100</v>
      </c>
      <c r="K29" s="613"/>
      <c r="L29" s="1142"/>
      <c r="M29" s="1133"/>
      <c r="N29" s="1133"/>
      <c r="O29" s="1133"/>
      <c r="P29" s="3216"/>
      <c r="Q29" s="1812">
        <f t="shared" si="11"/>
        <v>0</v>
      </c>
      <c r="R29" s="773" t="s">
        <v>17</v>
      </c>
      <c r="S29" s="774">
        <f t="shared" si="12"/>
        <v>100</v>
      </c>
      <c r="T29" s="773" t="s">
        <v>17</v>
      </c>
      <c r="U29" s="774">
        <f t="shared" si="13"/>
        <v>100</v>
      </c>
      <c r="V29" s="773" t="s">
        <v>17</v>
      </c>
      <c r="W29" s="774">
        <f t="shared" si="14"/>
        <v>100</v>
      </c>
      <c r="X29" s="1815"/>
      <c r="Y29" s="3218"/>
      <c r="Z29" s="1816">
        <f t="shared" si="15"/>
        <v>0</v>
      </c>
      <c r="AA29" s="1813">
        <f t="shared" si="3"/>
        <v>1</v>
      </c>
      <c r="AB29" s="1813">
        <f t="shared" si="4"/>
        <v>1</v>
      </c>
      <c r="AC29" s="1813">
        <f t="shared" si="5"/>
        <v>1</v>
      </c>
    </row>
    <row r="30" spans="1:29" ht="15.75" hidden="1" thickBot="1">
      <c r="A30" s="428"/>
      <c r="B30" s="1388"/>
      <c r="C30" s="434"/>
      <c r="D30" s="435">
        <v>100</v>
      </c>
      <c r="E30" s="434"/>
      <c r="F30" s="461">
        <f>SUMIF(96:96,E30,97:97)-SUMIF(96:96,C30,97:97)+100</f>
        <v>100</v>
      </c>
      <c r="G30" s="434"/>
      <c r="H30" s="435">
        <f>SUMIF(96:96,G30,97:97)-SUMIF(96:96,C30,97:97)+100</f>
        <v>100</v>
      </c>
      <c r="I30" s="434"/>
      <c r="J30" s="435">
        <f>SUMIF(96:96,I30,97:97)-SUMIF(96:96,C30,97:97)+100</f>
        <v>100</v>
      </c>
      <c r="K30" s="613"/>
      <c r="L30" s="1142"/>
      <c r="M30" s="1133"/>
      <c r="N30" s="1133"/>
      <c r="O30" s="1133"/>
      <c r="P30" s="3216"/>
      <c r="Q30" s="1812">
        <f t="shared" si="11"/>
        <v>0</v>
      </c>
      <c r="R30" s="773" t="s">
        <v>17</v>
      </c>
      <c r="S30" s="774">
        <f t="shared" si="12"/>
        <v>100</v>
      </c>
      <c r="T30" s="773" t="s">
        <v>17</v>
      </c>
      <c r="U30" s="774">
        <f t="shared" si="13"/>
        <v>100</v>
      </c>
      <c r="V30" s="773" t="s">
        <v>17</v>
      </c>
      <c r="W30" s="774">
        <f t="shared" si="14"/>
        <v>100</v>
      </c>
      <c r="X30" s="1815"/>
      <c r="Y30" s="3218"/>
      <c r="Z30" s="1816">
        <f t="shared" si="15"/>
        <v>0</v>
      </c>
      <c r="AA30" s="1813">
        <f t="shared" si="3"/>
        <v>1</v>
      </c>
      <c r="AB30" s="1813">
        <f t="shared" si="4"/>
        <v>1</v>
      </c>
      <c r="AC30" s="1813">
        <f t="shared" si="5"/>
        <v>1</v>
      </c>
    </row>
    <row r="31" spans="1:29" ht="15.75" hidden="1" thickBot="1">
      <c r="A31" s="436"/>
      <c r="B31" s="1388"/>
      <c r="C31" s="437"/>
      <c r="D31" s="438">
        <v>100</v>
      </c>
      <c r="E31" s="434"/>
      <c r="F31" s="439">
        <f>SUMIF(98:98,E31,99:99)-SUMIF(98:98,C31,99:99)+100</f>
        <v>100</v>
      </c>
      <c r="G31" s="434"/>
      <c r="H31" s="438">
        <f>SUMIF(98:98,G31,99:99)-SUMIF(98:98,C31,99:99)+100</f>
        <v>100</v>
      </c>
      <c r="I31" s="434"/>
      <c r="J31" s="438">
        <f>SUMIF(98:98,I31,99:99)-SUMIF(98:98,C31,99:99)+100</f>
        <v>100</v>
      </c>
      <c r="K31" s="613"/>
      <c r="L31" s="1142"/>
      <c r="M31" s="1133"/>
      <c r="N31" s="1133"/>
      <c r="O31" s="1133"/>
      <c r="P31" s="3216"/>
      <c r="Q31" s="1812">
        <f t="shared" si="11"/>
        <v>0</v>
      </c>
      <c r="R31" s="773" t="s">
        <v>17</v>
      </c>
      <c r="S31" s="774">
        <f t="shared" si="12"/>
        <v>100</v>
      </c>
      <c r="T31" s="773" t="s">
        <v>17</v>
      </c>
      <c r="U31" s="774">
        <f t="shared" si="13"/>
        <v>100</v>
      </c>
      <c r="V31" s="773" t="s">
        <v>17</v>
      </c>
      <c r="W31" s="774">
        <f t="shared" si="14"/>
        <v>100</v>
      </c>
      <c r="X31" s="1815"/>
      <c r="Y31" s="3218"/>
      <c r="Z31" s="1816">
        <f t="shared" si="15"/>
        <v>0</v>
      </c>
      <c r="AA31" s="1813">
        <f t="shared" si="3"/>
        <v>1</v>
      </c>
      <c r="AB31" s="1813">
        <f t="shared" si="4"/>
        <v>1</v>
      </c>
      <c r="AC31" s="1813">
        <f t="shared" si="5"/>
        <v>1</v>
      </c>
    </row>
    <row r="32" spans="1:29" ht="15">
      <c r="A32" s="440" t="s">
        <v>2557</v>
      </c>
      <c r="B32" s="71" t="s">
        <v>2654</v>
      </c>
      <c r="C32" s="2619" t="s">
        <v>4076</v>
      </c>
      <c r="D32" s="467">
        <v>100</v>
      </c>
      <c r="E32" s="2619" t="s">
        <v>4076</v>
      </c>
      <c r="F32" s="461">
        <f>SUMIF(100:100,E32,101:101)-SUMIF(100:100,C32,101:101)+100</f>
        <v>100</v>
      </c>
      <c r="G32" s="2619" t="s">
        <v>4076</v>
      </c>
      <c r="H32" s="435">
        <f>SUMIF(100:100,G32,101:101)-SUMIF(100:100,C32,101:101)+100</f>
        <v>100</v>
      </c>
      <c r="I32" s="2619" t="s">
        <v>4076</v>
      </c>
      <c r="J32" s="467">
        <f>SUMIF(100:100,I32,101:101)-SUMIF(100:100,C32,101:101)+100</f>
        <v>100</v>
      </c>
      <c r="K32" s="612">
        <v>5</v>
      </c>
      <c r="L32" s="1142"/>
      <c r="M32" s="1133"/>
      <c r="N32" s="1133"/>
      <c r="O32" s="1133"/>
      <c r="P32" s="3219" t="s">
        <v>2559</v>
      </c>
      <c r="Q32" s="1812" t="str">
        <f t="shared" si="11"/>
        <v>商业类型</v>
      </c>
      <c r="R32" s="773" t="s">
        <v>17</v>
      </c>
      <c r="S32" s="774">
        <f t="shared" si="12"/>
        <v>100</v>
      </c>
      <c r="T32" s="773" t="s">
        <v>17</v>
      </c>
      <c r="U32" s="774">
        <f t="shared" si="13"/>
        <v>100</v>
      </c>
      <c r="V32" s="773" t="s">
        <v>17</v>
      </c>
      <c r="W32" s="774">
        <f t="shared" si="14"/>
        <v>100</v>
      </c>
      <c r="X32" s="1815"/>
      <c r="Y32" s="3222" t="s">
        <v>2559</v>
      </c>
      <c r="Z32" s="1816" t="str">
        <f t="shared" si="15"/>
        <v>商业类型</v>
      </c>
      <c r="AA32" s="1813">
        <f t="shared" si="3"/>
        <v>1</v>
      </c>
      <c r="AB32" s="1813">
        <f t="shared" si="4"/>
        <v>1</v>
      </c>
      <c r="AC32" s="1813">
        <f t="shared" si="5"/>
        <v>1</v>
      </c>
    </row>
    <row r="33" spans="1:29" s="471" customFormat="1" ht="15">
      <c r="A33" s="468"/>
      <c r="B33" s="422" t="s">
        <v>2560</v>
      </c>
      <c r="C33" s="469"/>
      <c r="D33" s="136">
        <v>100</v>
      </c>
      <c r="E33" s="469"/>
      <c r="F33" s="425">
        <f>LOOKUP(E33,103:103,104:104)-LOOKUP(C33,103:103,104:104)+100</f>
        <v>100</v>
      </c>
      <c r="G33" s="469"/>
      <c r="H33" s="136">
        <f>LOOKUP(G33,103:103,104:104)-LOOKUP(C33,103:103,104:104)+100</f>
        <v>100</v>
      </c>
      <c r="I33" s="469"/>
      <c r="J33" s="136">
        <f>LOOKUP(I33,103:103,104:104)-LOOKUP(C33,103:103,104:104)+100</f>
        <v>100</v>
      </c>
      <c r="K33" s="613"/>
      <c r="L33" s="1140"/>
      <c r="M33" s="1143"/>
      <c r="N33" s="1143"/>
      <c r="O33" s="1143"/>
      <c r="P33" s="3220"/>
      <c r="Q33" s="775" t="str">
        <f t="shared" si="11"/>
        <v>项目建筑规模</v>
      </c>
      <c r="R33" s="776" t="s">
        <v>17</v>
      </c>
      <c r="S33" s="777">
        <f t="shared" si="12"/>
        <v>100</v>
      </c>
      <c r="T33" s="776" t="s">
        <v>17</v>
      </c>
      <c r="U33" s="777">
        <f t="shared" si="13"/>
        <v>100</v>
      </c>
      <c r="V33" s="776" t="s">
        <v>17</v>
      </c>
      <c r="W33" s="777">
        <f t="shared" si="14"/>
        <v>100</v>
      </c>
      <c r="X33" s="778"/>
      <c r="Y33" s="3222"/>
      <c r="Z33" s="779" t="str">
        <f t="shared" si="15"/>
        <v>项目建筑规模</v>
      </c>
      <c r="AA33" s="1813">
        <f t="shared" si="3"/>
        <v>1</v>
      </c>
      <c r="AB33" s="1813">
        <f t="shared" si="4"/>
        <v>1</v>
      </c>
      <c r="AC33" s="1813">
        <f t="shared" si="5"/>
        <v>1</v>
      </c>
    </row>
    <row r="34" spans="1:29" ht="15">
      <c r="A34" s="472"/>
      <c r="B34" s="422" t="s">
        <v>2561</v>
      </c>
      <c r="C34" s="2621" t="s">
        <v>3093</v>
      </c>
      <c r="D34" s="435">
        <v>100</v>
      </c>
      <c r="E34" s="2621" t="s">
        <v>3093</v>
      </c>
      <c r="F34" s="461">
        <f>SUMIF(105:105,E34,106:106)-SUMIF(105:105,C34,106:106)+100</f>
        <v>100</v>
      </c>
      <c r="G34" s="2621" t="s">
        <v>3093</v>
      </c>
      <c r="H34" s="435">
        <f>SUMIF(105:105,G34,106:106)-SUMIF(105:105,C34,106:106)+100</f>
        <v>100</v>
      </c>
      <c r="I34" s="2621" t="s">
        <v>3093</v>
      </c>
      <c r="J34" s="435">
        <f>SUMIF(105:105,I34,106:106)-SUMIF(105:105,C34,106:106)+100</f>
        <v>100</v>
      </c>
      <c r="K34" s="612">
        <v>2</v>
      </c>
      <c r="L34" s="1142"/>
      <c r="M34" s="1133"/>
      <c r="N34" s="1133"/>
      <c r="O34" s="1133"/>
      <c r="P34" s="3220"/>
      <c r="Q34" s="1812" t="str">
        <f t="shared" si="11"/>
        <v>建筑结构</v>
      </c>
      <c r="R34" s="773" t="s">
        <v>17</v>
      </c>
      <c r="S34" s="774">
        <f t="shared" si="12"/>
        <v>100</v>
      </c>
      <c r="T34" s="773" t="s">
        <v>17</v>
      </c>
      <c r="U34" s="774">
        <f t="shared" si="13"/>
        <v>100</v>
      </c>
      <c r="V34" s="773" t="s">
        <v>17</v>
      </c>
      <c r="W34" s="774">
        <f t="shared" si="14"/>
        <v>100</v>
      </c>
      <c r="X34" s="1815"/>
      <c r="Y34" s="3222"/>
      <c r="Z34" s="1816" t="str">
        <f t="shared" si="15"/>
        <v>建筑结构</v>
      </c>
      <c r="AA34" s="1813">
        <f t="shared" si="3"/>
        <v>1</v>
      </c>
      <c r="AB34" s="1813">
        <f t="shared" si="4"/>
        <v>1</v>
      </c>
      <c r="AC34" s="1813">
        <f t="shared" si="5"/>
        <v>1</v>
      </c>
    </row>
    <row r="35" spans="1:29" ht="15">
      <c r="A35" s="472"/>
      <c r="B35" s="422" t="s">
        <v>2655</v>
      </c>
      <c r="C35" s="2615" t="s">
        <v>4003</v>
      </c>
      <c r="D35" s="435">
        <v>100</v>
      </c>
      <c r="E35" s="2615" t="s">
        <v>4003</v>
      </c>
      <c r="F35" s="461">
        <f>SUMIF(107:107,E35,108:108)-SUMIF(107:107,C35,108:108)+100</f>
        <v>100</v>
      </c>
      <c r="G35" s="2615" t="s">
        <v>4003</v>
      </c>
      <c r="H35" s="435">
        <f>SUMIF(107:107,G35,108:108)-SUMIF(107:107,C35,108:108)+100</f>
        <v>100</v>
      </c>
      <c r="I35" s="2615" t="s">
        <v>4003</v>
      </c>
      <c r="J35" s="435">
        <f>SUMIF(107:107,I35,108:108)-SUMIF(107:107,C35,108:108)+100</f>
        <v>100</v>
      </c>
      <c r="K35" s="612">
        <v>2</v>
      </c>
      <c r="L35" s="1142"/>
      <c r="M35" s="1133"/>
      <c r="N35" s="1133"/>
      <c r="O35" s="1133"/>
      <c r="P35" s="3220"/>
      <c r="Q35" s="1812" t="str">
        <f t="shared" si="11"/>
        <v>公共部分装修</v>
      </c>
      <c r="R35" s="773" t="s">
        <v>17</v>
      </c>
      <c r="S35" s="774">
        <f t="shared" si="12"/>
        <v>100</v>
      </c>
      <c r="T35" s="773" t="s">
        <v>17</v>
      </c>
      <c r="U35" s="774">
        <f t="shared" si="13"/>
        <v>100</v>
      </c>
      <c r="V35" s="773" t="s">
        <v>17</v>
      </c>
      <c r="W35" s="774">
        <f t="shared" si="14"/>
        <v>100</v>
      </c>
      <c r="X35" s="1815"/>
      <c r="Y35" s="3222"/>
      <c r="Z35" s="1816" t="str">
        <f t="shared" si="15"/>
        <v>公共部分装修</v>
      </c>
      <c r="AA35" s="1813">
        <f t="shared" si="3"/>
        <v>1</v>
      </c>
      <c r="AB35" s="1813">
        <f t="shared" si="4"/>
        <v>1</v>
      </c>
      <c r="AC35" s="1813">
        <f t="shared" si="5"/>
        <v>1</v>
      </c>
    </row>
    <row r="36" spans="1:29" ht="15">
      <c r="A36" s="472"/>
      <c r="B36" s="422" t="s">
        <v>2656</v>
      </c>
      <c r="C36" s="474">
        <f>'数据-取费表'!N6</f>
        <v>0.98</v>
      </c>
      <c r="D36" s="435">
        <v>100</v>
      </c>
      <c r="E36" s="474">
        <f>ROUND(1-(2018-2018)/60,2)</f>
        <v>1</v>
      </c>
      <c r="F36" s="461">
        <f>LOOKUP(E36,110:110,111:111)-LOOKUP(C36,110:110,111:111)+100</f>
        <v>100</v>
      </c>
      <c r="G36" s="474">
        <v>1</v>
      </c>
      <c r="H36" s="435">
        <f>LOOKUP(G36,110:110,111:111)-LOOKUP(C36,110:110,111:111)+100</f>
        <v>100</v>
      </c>
      <c r="I36" s="474">
        <v>1</v>
      </c>
      <c r="J36" s="435">
        <f>LOOKUP(I36,110:110,111:111)-LOOKUP(C36,110:110,111:111)+100</f>
        <v>100</v>
      </c>
      <c r="K36" s="612">
        <v>2</v>
      </c>
      <c r="L36" s="1142"/>
      <c r="M36" s="1133"/>
      <c r="N36" s="1133"/>
      <c r="O36" s="1133"/>
      <c r="P36" s="3220"/>
      <c r="Q36" s="1812" t="str">
        <f t="shared" si="11"/>
        <v>成新度</v>
      </c>
      <c r="R36" s="773" t="s">
        <v>17</v>
      </c>
      <c r="S36" s="774">
        <f t="shared" si="12"/>
        <v>100</v>
      </c>
      <c r="T36" s="773" t="s">
        <v>17</v>
      </c>
      <c r="U36" s="774">
        <f t="shared" si="13"/>
        <v>100</v>
      </c>
      <c r="V36" s="773" t="s">
        <v>17</v>
      </c>
      <c r="W36" s="774">
        <f t="shared" si="14"/>
        <v>100</v>
      </c>
      <c r="X36" s="1815"/>
      <c r="Y36" s="3222"/>
      <c r="Z36" s="1816" t="str">
        <f t="shared" si="15"/>
        <v>成新度</v>
      </c>
      <c r="AA36" s="1813">
        <f t="shared" si="3"/>
        <v>1</v>
      </c>
      <c r="AB36" s="1813">
        <f t="shared" si="4"/>
        <v>1</v>
      </c>
      <c r="AC36" s="1813">
        <f t="shared" si="5"/>
        <v>1</v>
      </c>
    </row>
    <row r="37" spans="1:29" s="117" customFormat="1" ht="15">
      <c r="A37" s="473"/>
      <c r="B37" s="422" t="s">
        <v>2657</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v>2</v>
      </c>
      <c r="L37" s="1134"/>
      <c r="M37" s="1135"/>
      <c r="N37" s="1135"/>
      <c r="O37" s="1135"/>
      <c r="P37" s="3220"/>
      <c r="Q37" s="1797" t="str">
        <f t="shared" si="11"/>
        <v>市政基础设施</v>
      </c>
      <c r="R37" s="769" t="s">
        <v>17</v>
      </c>
      <c r="S37" s="770">
        <f t="shared" si="12"/>
        <v>100</v>
      </c>
      <c r="T37" s="769" t="s">
        <v>17</v>
      </c>
      <c r="U37" s="770">
        <f t="shared" si="13"/>
        <v>100</v>
      </c>
      <c r="V37" s="769" t="s">
        <v>17</v>
      </c>
      <c r="W37" s="770">
        <f t="shared" si="14"/>
        <v>100</v>
      </c>
      <c r="X37" s="771"/>
      <c r="Y37" s="3222"/>
      <c r="Z37" s="55" t="str">
        <f t="shared" si="15"/>
        <v>市政基础设施</v>
      </c>
      <c r="AA37" s="772">
        <f t="shared" si="3"/>
        <v>1</v>
      </c>
      <c r="AB37" s="772">
        <f t="shared" si="4"/>
        <v>1</v>
      </c>
      <c r="AC37" s="772">
        <f t="shared" si="5"/>
        <v>1</v>
      </c>
    </row>
    <row r="38" spans="1:29" ht="15">
      <c r="A38" s="472"/>
      <c r="B38" s="422" t="s">
        <v>2658</v>
      </c>
      <c r="C38" s="2615" t="s">
        <v>4002</v>
      </c>
      <c r="D38" s="435">
        <v>100</v>
      </c>
      <c r="E38" s="2615" t="s">
        <v>4002</v>
      </c>
      <c r="F38" s="461">
        <f>SUMIF(114:114,E38,115:115)-SUMIF(114:114,C38,115:115)+100</f>
        <v>100</v>
      </c>
      <c r="G38" s="2615" t="s">
        <v>4002</v>
      </c>
      <c r="H38" s="435">
        <f>SUMIF(114:114,G38,115:115)-SUMIF(114:114,C38,115:115)+100</f>
        <v>100</v>
      </c>
      <c r="I38" s="2615" t="s">
        <v>4002</v>
      </c>
      <c r="J38" s="435">
        <f>SUMIF(114:114,I38,115:115)-SUMIF(114:114,C38,115:115)+100</f>
        <v>100</v>
      </c>
      <c r="K38" s="612">
        <v>5</v>
      </c>
      <c r="L38" s="1142"/>
      <c r="M38" s="1133"/>
      <c r="N38" s="1133"/>
      <c r="O38" s="1133"/>
      <c r="P38" s="3220" t="s">
        <v>2559</v>
      </c>
      <c r="Q38" s="1812" t="str">
        <f t="shared" si="11"/>
        <v>业态</v>
      </c>
      <c r="R38" s="773" t="s">
        <v>17</v>
      </c>
      <c r="S38" s="774">
        <f t="shared" si="12"/>
        <v>100</v>
      </c>
      <c r="T38" s="773" t="s">
        <v>17</v>
      </c>
      <c r="U38" s="774">
        <f t="shared" si="13"/>
        <v>100</v>
      </c>
      <c r="V38" s="773" t="s">
        <v>17</v>
      </c>
      <c r="W38" s="774">
        <f t="shared" si="14"/>
        <v>100</v>
      </c>
      <c r="X38" s="1815"/>
      <c r="Y38" s="3222" t="s">
        <v>2559</v>
      </c>
      <c r="Z38" s="1816" t="str">
        <f t="shared" si="15"/>
        <v>业态</v>
      </c>
      <c r="AA38" s="1813">
        <f t="shared" si="3"/>
        <v>1</v>
      </c>
      <c r="AB38" s="1813">
        <f t="shared" si="4"/>
        <v>1</v>
      </c>
      <c r="AC38" s="1813">
        <f t="shared" si="5"/>
        <v>1</v>
      </c>
    </row>
    <row r="39" spans="1:29" ht="15">
      <c r="A39" s="472"/>
      <c r="B39" s="422" t="s">
        <v>2659</v>
      </c>
      <c r="C39" s="2615" t="s">
        <v>4000</v>
      </c>
      <c r="D39" s="435">
        <v>100</v>
      </c>
      <c r="E39" s="2615" t="s">
        <v>4000</v>
      </c>
      <c r="F39" s="461">
        <f>SUMIF(116:116,E39,117:117)-SUMIF(116:116,C39,117:117)+100</f>
        <v>100</v>
      </c>
      <c r="G39" s="2615" t="s">
        <v>4000</v>
      </c>
      <c r="H39" s="435">
        <f>SUMIF(116:116,G39,117:117)-SUMIF(116:116,C39,117:117)+100</f>
        <v>100</v>
      </c>
      <c r="I39" s="2615" t="s">
        <v>4000</v>
      </c>
      <c r="J39" s="435">
        <f>SUMIF(116:116,I39,117:117)-SUMIF(116:116,C39,117:117)+100</f>
        <v>100</v>
      </c>
      <c r="K39" s="612">
        <v>5</v>
      </c>
      <c r="L39" s="1142"/>
      <c r="M39" s="1133"/>
      <c r="N39" s="1133"/>
      <c r="O39" s="1133"/>
      <c r="P39" s="3220"/>
      <c r="Q39" s="1812" t="str">
        <f t="shared" si="11"/>
        <v>层高</v>
      </c>
      <c r="R39" s="773" t="s">
        <v>17</v>
      </c>
      <c r="S39" s="774">
        <f t="shared" si="12"/>
        <v>100</v>
      </c>
      <c r="T39" s="773" t="s">
        <v>17</v>
      </c>
      <c r="U39" s="774">
        <f t="shared" si="13"/>
        <v>100</v>
      </c>
      <c r="V39" s="773" t="s">
        <v>17</v>
      </c>
      <c r="W39" s="774">
        <f t="shared" si="14"/>
        <v>100</v>
      </c>
      <c r="X39" s="1815"/>
      <c r="Y39" s="3222"/>
      <c r="Z39" s="1816" t="str">
        <f t="shared" si="15"/>
        <v>层高</v>
      </c>
      <c r="AA39" s="1813">
        <f t="shared" si="3"/>
        <v>1</v>
      </c>
      <c r="AB39" s="1813">
        <f t="shared" si="4"/>
        <v>1</v>
      </c>
      <c r="AC39" s="1813">
        <f t="shared" si="5"/>
        <v>1</v>
      </c>
    </row>
    <row r="40" spans="1:29" ht="15">
      <c r="A40" s="472"/>
      <c r="B40" s="422" t="s">
        <v>2660</v>
      </c>
      <c r="C40" s="617"/>
      <c r="D40" s="435">
        <v>100</v>
      </c>
      <c r="E40" s="617"/>
      <c r="F40" s="461">
        <f>SUMIF(118:118,E40,119:119)-SUMIF(118:118,C40,119:119)+100</f>
        <v>100</v>
      </c>
      <c r="G40" s="617"/>
      <c r="H40" s="435">
        <f>SUMIF(118:118,G40,119:119)-SUMIF(118:118,C40,119:119)+100</f>
        <v>100</v>
      </c>
      <c r="I40" s="617"/>
      <c r="J40" s="435">
        <f>SUMIF(118:118,I40,119:119)-SUMIF(118:118,C40,119:119)+100</f>
        <v>100</v>
      </c>
      <c r="K40" s="613"/>
      <c r="L40" s="1142"/>
      <c r="M40" s="1133"/>
      <c r="N40" s="1133"/>
      <c r="O40" s="1133"/>
      <c r="P40" s="3220"/>
      <c r="Q40" s="1812" t="str">
        <f t="shared" si="11"/>
        <v>单套建筑面积</v>
      </c>
      <c r="R40" s="773" t="s">
        <v>17</v>
      </c>
      <c r="S40" s="774">
        <f t="shared" si="12"/>
        <v>100</v>
      </c>
      <c r="T40" s="773" t="s">
        <v>17</v>
      </c>
      <c r="U40" s="774">
        <f t="shared" si="13"/>
        <v>100</v>
      </c>
      <c r="V40" s="773" t="s">
        <v>17</v>
      </c>
      <c r="W40" s="774">
        <f t="shared" si="14"/>
        <v>100</v>
      </c>
      <c r="X40" s="1815"/>
      <c r="Y40" s="3222"/>
      <c r="Z40" s="1816" t="str">
        <f t="shared" si="15"/>
        <v>单套建筑面积</v>
      </c>
      <c r="AA40" s="1813">
        <f t="shared" si="3"/>
        <v>1</v>
      </c>
      <c r="AB40" s="1813">
        <f t="shared" si="4"/>
        <v>1</v>
      </c>
      <c r="AC40" s="1813">
        <f t="shared" si="5"/>
        <v>1</v>
      </c>
    </row>
    <row r="41" spans="1:29" s="471" customFormat="1" ht="15">
      <c r="A41" s="468"/>
      <c r="B41" s="1814" t="s">
        <v>2661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0"/>
      <c r="M41" s="1143"/>
      <c r="N41" s="1143"/>
      <c r="O41" s="1143"/>
      <c r="P41" s="3220"/>
      <c r="Q41" s="775" t="str">
        <f t="shared" si="11"/>
        <v>进深比</v>
      </c>
      <c r="R41" s="776" t="s">
        <v>17</v>
      </c>
      <c r="S41" s="777">
        <f t="shared" si="12"/>
        <v>100</v>
      </c>
      <c r="T41" s="776" t="s">
        <v>17</v>
      </c>
      <c r="U41" s="777">
        <f t="shared" si="13"/>
        <v>100</v>
      </c>
      <c r="V41" s="776" t="s">
        <v>17</v>
      </c>
      <c r="W41" s="777">
        <f t="shared" si="14"/>
        <v>100</v>
      </c>
      <c r="X41" s="778"/>
      <c r="Y41" s="3222"/>
      <c r="Z41" s="779" t="str">
        <f t="shared" si="15"/>
        <v>进深比</v>
      </c>
      <c r="AA41" s="1813">
        <f t="shared" si="3"/>
        <v>1</v>
      </c>
      <c r="AB41" s="1813">
        <f t="shared" si="4"/>
        <v>1</v>
      </c>
      <c r="AC41" s="1813">
        <f t="shared" si="5"/>
        <v>1</v>
      </c>
    </row>
    <row r="42" spans="1:29" ht="15">
      <c r="A42" s="472"/>
      <c r="B42" s="422" t="s">
        <v>2662</v>
      </c>
      <c r="C42" s="2615" t="s">
        <v>3998</v>
      </c>
      <c r="D42" s="435">
        <v>100</v>
      </c>
      <c r="E42" s="2615" t="s">
        <v>3998</v>
      </c>
      <c r="F42" s="461">
        <f>SUMIF(122:122,E42,123:123)-SUMIF(122:122,C42,123:123)+100</f>
        <v>100</v>
      </c>
      <c r="G42" s="2615" t="s">
        <v>3998</v>
      </c>
      <c r="H42" s="435">
        <f>SUMIF(122:122,G42,123:123)-SUMIF(122:122,C42,123:123)+100</f>
        <v>100</v>
      </c>
      <c r="I42" s="2615" t="s">
        <v>3998</v>
      </c>
      <c r="J42" s="435">
        <f>SUMIF(122:122,I42,123:123)-SUMIF(122:122,C42,123:123)+100</f>
        <v>100</v>
      </c>
      <c r="K42" s="612">
        <v>3</v>
      </c>
      <c r="L42" s="1142"/>
      <c r="M42" s="1133"/>
      <c r="N42" s="1133"/>
      <c r="O42" s="1133"/>
      <c r="P42" s="3220"/>
      <c r="Q42" s="1812" t="str">
        <f t="shared" si="11"/>
        <v>内部装修</v>
      </c>
      <c r="R42" s="773" t="s">
        <v>17</v>
      </c>
      <c r="S42" s="774">
        <f t="shared" si="12"/>
        <v>100</v>
      </c>
      <c r="T42" s="773" t="s">
        <v>17</v>
      </c>
      <c r="U42" s="774">
        <f t="shared" si="13"/>
        <v>100</v>
      </c>
      <c r="V42" s="773" t="s">
        <v>17</v>
      </c>
      <c r="W42" s="774">
        <f t="shared" si="14"/>
        <v>100</v>
      </c>
      <c r="X42" s="1815"/>
      <c r="Y42" s="3222"/>
      <c r="Z42" s="1816" t="str">
        <f t="shared" si="15"/>
        <v>内部装修</v>
      </c>
      <c r="AA42" s="1813">
        <f t="shared" si="3"/>
        <v>1</v>
      </c>
      <c r="AB42" s="1813">
        <f t="shared" si="4"/>
        <v>1</v>
      </c>
      <c r="AC42" s="1813">
        <f t="shared" si="5"/>
        <v>1</v>
      </c>
    </row>
    <row r="43" spans="1:29" ht="15.75" thickBot="1">
      <c r="A43" s="472"/>
      <c r="B43" s="422" t="s">
        <v>2570</v>
      </c>
      <c r="C43" s="2615" t="s">
        <v>3937</v>
      </c>
      <c r="D43" s="435">
        <v>100</v>
      </c>
      <c r="E43" s="2615" t="s">
        <v>3937</v>
      </c>
      <c r="F43" s="461">
        <f>SUMIF(124:124,E43,125:125)-SUMIF(124:124,C43,125:125)+100</f>
        <v>100</v>
      </c>
      <c r="G43" s="2968" t="s">
        <v>3937</v>
      </c>
      <c r="H43" s="438">
        <f>SUMIF(124:124,G43,125:125)-SUMIF(124:124,C43,125:125)+100</f>
        <v>100</v>
      </c>
      <c r="I43" s="2615" t="s">
        <v>3937</v>
      </c>
      <c r="J43" s="435">
        <f>SUMIF(124:124,I43,125:125)-SUMIF(124:124,C43,125:125)+100</f>
        <v>100</v>
      </c>
      <c r="K43" s="612">
        <v>3</v>
      </c>
      <c r="L43" s="1142"/>
      <c r="M43" s="1133"/>
      <c r="N43" s="1133"/>
      <c r="O43" s="1133"/>
      <c r="P43" s="3220"/>
      <c r="Q43" s="1812" t="str">
        <f t="shared" si="11"/>
        <v>内部装修维护情况</v>
      </c>
      <c r="R43" s="773" t="s">
        <v>17</v>
      </c>
      <c r="S43" s="774">
        <f t="shared" si="12"/>
        <v>100</v>
      </c>
      <c r="T43" s="773" t="s">
        <v>17</v>
      </c>
      <c r="U43" s="774">
        <f t="shared" si="13"/>
        <v>100</v>
      </c>
      <c r="V43" s="773" t="s">
        <v>17</v>
      </c>
      <c r="W43" s="774">
        <f t="shared" si="14"/>
        <v>100</v>
      </c>
      <c r="X43" s="1815"/>
      <c r="Y43" s="3222"/>
      <c r="Z43" s="1816" t="str">
        <f t="shared" si="15"/>
        <v>内部装修维护情况</v>
      </c>
      <c r="AA43" s="1813">
        <f t="shared" si="3"/>
        <v>1</v>
      </c>
      <c r="AB43" s="1813">
        <f t="shared" si="4"/>
        <v>1</v>
      </c>
      <c r="AC43" s="1813">
        <f t="shared" si="5"/>
        <v>1</v>
      </c>
    </row>
    <row r="44" spans="1:29" s="117" customFormat="1" ht="15" hidden="1">
      <c r="A44" s="473"/>
      <c r="B44" s="1388"/>
      <c r="C44" s="469"/>
      <c r="D44" s="136">
        <v>100</v>
      </c>
      <c r="E44" s="434"/>
      <c r="F44" s="425">
        <f>SUMIF(126:126,E44,127:127)-SUMIF(126:126,C44,127:127)+100</f>
        <v>100</v>
      </c>
      <c r="G44" s="2967"/>
      <c r="H44" s="462">
        <f>SUMIF(126:126,G44,127:127)-SUMIF(126:126,C44,127:127)+100</f>
        <v>100</v>
      </c>
      <c r="I44" s="434"/>
      <c r="J44" s="136">
        <f>SUMIF(126:126,I44,127:127)-SUMIF(126:126,C44,127:127)+100</f>
        <v>100</v>
      </c>
      <c r="K44" s="613"/>
      <c r="L44" s="1134"/>
      <c r="M44" s="1135"/>
      <c r="N44" s="1135"/>
      <c r="O44" s="1135"/>
      <c r="P44" s="3220"/>
      <c r="Q44" s="1797">
        <f t="shared" si="11"/>
        <v>0</v>
      </c>
      <c r="R44" s="769" t="s">
        <v>17</v>
      </c>
      <c r="S44" s="770">
        <f t="shared" si="12"/>
        <v>100</v>
      </c>
      <c r="T44" s="769" t="s">
        <v>17</v>
      </c>
      <c r="U44" s="770">
        <f t="shared" si="13"/>
        <v>100</v>
      </c>
      <c r="V44" s="769" t="s">
        <v>17</v>
      </c>
      <c r="W44" s="770">
        <f t="shared" si="14"/>
        <v>100</v>
      </c>
      <c r="X44" s="771"/>
      <c r="Y44" s="3222"/>
      <c r="Z44" s="55">
        <f t="shared" si="15"/>
        <v>0</v>
      </c>
      <c r="AA44" s="772">
        <f t="shared" si="3"/>
        <v>1</v>
      </c>
      <c r="AB44" s="772">
        <f t="shared" si="4"/>
        <v>1</v>
      </c>
      <c r="AC44" s="772">
        <f t="shared" si="5"/>
        <v>1</v>
      </c>
    </row>
    <row r="45" spans="1:29" ht="15" hidden="1">
      <c r="A45" s="472"/>
      <c r="B45" s="1388"/>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2"/>
      <c r="M45" s="1133"/>
      <c r="N45" s="1133"/>
      <c r="O45" s="1133"/>
      <c r="P45" s="3220"/>
      <c r="Q45" s="1812">
        <f t="shared" si="11"/>
        <v>0</v>
      </c>
      <c r="R45" s="773" t="s">
        <v>17</v>
      </c>
      <c r="S45" s="774">
        <f t="shared" si="12"/>
        <v>100</v>
      </c>
      <c r="T45" s="773" t="s">
        <v>17</v>
      </c>
      <c r="U45" s="774">
        <f t="shared" si="13"/>
        <v>100</v>
      </c>
      <c r="V45" s="773" t="s">
        <v>17</v>
      </c>
      <c r="W45" s="774">
        <f t="shared" si="14"/>
        <v>100</v>
      </c>
      <c r="X45" s="1815"/>
      <c r="Y45" s="3222"/>
      <c r="Z45" s="1816">
        <f t="shared" si="15"/>
        <v>0</v>
      </c>
      <c r="AA45" s="1813">
        <f t="shared" si="3"/>
        <v>1</v>
      </c>
      <c r="AB45" s="1813">
        <f t="shared" si="4"/>
        <v>1</v>
      </c>
      <c r="AC45" s="1813">
        <f t="shared" si="5"/>
        <v>1</v>
      </c>
    </row>
    <row r="46" spans="1:29" ht="15.75" hidden="1" thickBot="1">
      <c r="A46" s="478"/>
      <c r="B46" s="2604"/>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2"/>
      <c r="M46" s="1133"/>
      <c r="N46" s="1133"/>
      <c r="O46" s="1133"/>
      <c r="P46" s="3221"/>
      <c r="Q46" s="1812">
        <f t="shared" si="11"/>
        <v>0</v>
      </c>
      <c r="R46" s="773" t="s">
        <v>17</v>
      </c>
      <c r="S46" s="774">
        <f t="shared" si="12"/>
        <v>100</v>
      </c>
      <c r="T46" s="773" t="s">
        <v>17</v>
      </c>
      <c r="U46" s="774">
        <f t="shared" si="13"/>
        <v>100</v>
      </c>
      <c r="V46" s="773" t="s">
        <v>17</v>
      </c>
      <c r="W46" s="774">
        <f t="shared" si="14"/>
        <v>100</v>
      </c>
      <c r="X46" s="1815"/>
      <c r="Y46" s="3223"/>
      <c r="Z46" s="1816">
        <f t="shared" si="15"/>
        <v>0</v>
      </c>
      <c r="AA46" s="1813">
        <f t="shared" si="3"/>
        <v>1</v>
      </c>
      <c r="AB46" s="1813">
        <f t="shared" si="4"/>
        <v>1</v>
      </c>
      <c r="AC46" s="1813">
        <f t="shared" si="5"/>
        <v>1</v>
      </c>
    </row>
    <row r="47" spans="1:29" ht="15">
      <c r="A47" s="479" t="s">
        <v>2571</v>
      </c>
      <c r="B47" s="480"/>
      <c r="C47" s="1409" t="s">
        <v>1</v>
      </c>
      <c r="D47" s="1410"/>
      <c r="E47" s="1411">
        <f>租金案例!E2</f>
        <v>30320</v>
      </c>
      <c r="F47" s="1412"/>
      <c r="G47" s="2962">
        <f>租金案例!E4</f>
        <v>27289</v>
      </c>
      <c r="H47" s="1414"/>
      <c r="I47" s="1411">
        <f>ROUND(35000*0.95,0)</f>
        <v>33250</v>
      </c>
      <c r="J47" s="1414"/>
      <c r="K47" s="782"/>
      <c r="L47" s="1145"/>
      <c r="M47" s="1146"/>
      <c r="N47" s="1133"/>
      <c r="O47" s="1146"/>
      <c r="P47" s="3224" t="str">
        <f>A47</f>
        <v>成交单价（元/平方米）</v>
      </c>
      <c r="Q47" s="3224"/>
      <c r="R47" s="3183">
        <f>E47</f>
        <v>30320</v>
      </c>
      <c r="S47" s="3183"/>
      <c r="T47" s="3183">
        <f>G47</f>
        <v>27289</v>
      </c>
      <c r="U47" s="3183"/>
      <c r="V47" s="3183">
        <f>I47</f>
        <v>33250</v>
      </c>
      <c r="W47" s="3183"/>
      <c r="X47" s="758"/>
      <c r="Y47" s="780"/>
      <c r="Z47" s="758"/>
      <c r="AA47" s="758"/>
      <c r="AB47" s="758"/>
      <c r="AC47" s="758"/>
    </row>
    <row r="48" spans="1:29" ht="15.75" thickBot="1">
      <c r="A48" s="486" t="s">
        <v>2663</v>
      </c>
      <c r="B48" s="487"/>
      <c r="C48" s="1415">
        <f>R49</f>
        <v>30670</v>
      </c>
      <c r="D48" s="1416"/>
      <c r="E48" s="1417">
        <f>R48</f>
        <v>30626</v>
      </c>
      <c r="F48" s="1417"/>
      <c r="G48" s="1415">
        <f>T48</f>
        <v>28133</v>
      </c>
      <c r="H48" s="1416"/>
      <c r="I48" s="1417">
        <f>V48</f>
        <v>33250</v>
      </c>
      <c r="J48" s="1416"/>
      <c r="K48" s="783"/>
      <c r="L48" s="1145"/>
      <c r="M48" s="1146"/>
      <c r="N48" s="1133"/>
      <c r="O48" s="1146"/>
      <c r="P48" s="3224" t="str">
        <f>A48</f>
        <v>比较价值（元/平方米）</v>
      </c>
      <c r="Q48" s="3224"/>
      <c r="R48" s="3225">
        <f>IF(F1="售价",ROUND(PRODUCT(R47,AA7:AA46),0),ROUND(PRODUCT(R47,AA7:AA46),1))</f>
        <v>30626</v>
      </c>
      <c r="S48" s="3225"/>
      <c r="T48" s="3225">
        <f>IF(F1="售价",ROUND(PRODUCT(T47,AB7:AB46),0),ROUND(PRODUCT(T47,AB7:AB46),1))</f>
        <v>28133</v>
      </c>
      <c r="U48" s="3225"/>
      <c r="V48" s="3225">
        <f>IF(F1="售价",ROUND(PRODUCT(V47,AC7:AC46),0),ROUND(PRODUCT(V47,AC7:AC46),1))</f>
        <v>33250</v>
      </c>
      <c r="W48" s="3225"/>
      <c r="X48" s="758"/>
      <c r="Y48" s="758"/>
      <c r="Z48" s="758"/>
      <c r="AA48" s="758"/>
      <c r="AB48" s="758"/>
      <c r="AC48" s="758"/>
    </row>
    <row r="49" spans="1:29" ht="15.75" thickBot="1">
      <c r="A49" s="492" t="s">
        <v>2664</v>
      </c>
      <c r="B49" s="493"/>
      <c r="C49" s="1419">
        <f>R49</f>
        <v>30670</v>
      </c>
      <c r="D49" s="1419"/>
      <c r="E49" s="1419"/>
      <c r="F49" s="1419"/>
      <c r="G49" s="1419"/>
      <c r="H49" s="1419"/>
      <c r="I49" s="1419"/>
      <c r="J49" s="1419"/>
      <c r="K49" s="784"/>
      <c r="L49" s="1145"/>
      <c r="M49" s="1146"/>
      <c r="N49" s="1133"/>
      <c r="O49" s="1146"/>
      <c r="P49" s="3226" t="str">
        <f>A49</f>
        <v>估价对象XX用房的比较价值（楼面单价，元/平方米）</v>
      </c>
      <c r="Q49" s="3227"/>
      <c r="R49" s="3228">
        <f>IF(F1="售价",ROUND(AVERAGE(R48:V48),0),ROUND(AVERAGE(R48:V48),1))</f>
        <v>30670</v>
      </c>
      <c r="S49" s="3228"/>
      <c r="T49" s="3228"/>
      <c r="U49" s="3228"/>
      <c r="V49" s="3228"/>
      <c r="W49" s="3228"/>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7" t="s">
        <v>2665</v>
      </c>
      <c r="D52" s="498"/>
      <c r="E52" s="499">
        <f>IF(E47&lt;E48,E48/E47-1,E47/E48-1)</f>
        <v>1.0092348284960417E-2</v>
      </c>
      <c r="F52" s="500" t="str">
        <f>IF(OR(E52&gt;=0.3,E52&lt;=-0.3),"超过30%","")</f>
        <v/>
      </c>
      <c r="G52" s="499">
        <f>IF(G47&lt;G48,G48/G47-1,G47/G48-1)</f>
        <v>3.0928212833009727E-2</v>
      </c>
      <c r="H52" s="500" t="str">
        <f>IF(OR(G52&gt;=0.3,G52&lt;=-0.3),"超过30%","")</f>
        <v/>
      </c>
      <c r="I52" s="499">
        <f>IF(I47&lt;I48,I48/I47-1,I47/I48-1)</f>
        <v>0</v>
      </c>
      <c r="J52" s="500" t="str">
        <f>IF(OR(I52&gt;=0.3,I52&lt;=-0.3),"超过30%","")</f>
        <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7" t="s">
        <v>2666</v>
      </c>
      <c r="D53" s="501"/>
      <c r="E53" s="499">
        <f>IF(E48&lt;G48,G48/E48-1,E48/G48-1)</f>
        <v>8.8614794014147069E-2</v>
      </c>
      <c r="F53" s="500" t="str">
        <f>IF(OR(E53&gt;=0.2,E53&lt;=-0.2),"超过20%","")</f>
        <v/>
      </c>
      <c r="G53" s="499">
        <f>IF(G48&lt;I48,I48/G48-1,G48/I48-1)</f>
        <v>0.18188604130380681</v>
      </c>
      <c r="H53" s="500" t="str">
        <f>IF(OR(G53&gt;=0.2,G53&lt;=-0.2),"超过20%","")</f>
        <v/>
      </c>
      <c r="I53" s="499">
        <f>IF(I48&lt;E48,E48/I48-1,I48/E48-1)</f>
        <v>8.5678834976817164E-2</v>
      </c>
      <c r="J53" s="500" t="str">
        <f>IF(OR(I53&gt;=0.2,I53&lt;=-0.2),"超过20%","")</f>
        <v/>
      </c>
      <c r="K53" s="1107"/>
      <c r="L53" s="1108"/>
      <c r="M53" s="1146"/>
      <c r="N53" s="1146"/>
      <c r="O53" s="1146"/>
      <c r="P53" s="674"/>
      <c r="Q53" s="758"/>
      <c r="R53" s="758"/>
      <c r="S53" s="758"/>
      <c r="T53" s="758"/>
      <c r="U53" s="758"/>
      <c r="V53" s="758"/>
      <c r="W53" s="758"/>
      <c r="X53" s="758"/>
      <c r="Y53" s="758"/>
      <c r="Z53" s="758"/>
      <c r="AA53" s="758"/>
      <c r="AB53" s="758"/>
      <c r="AC53" s="758"/>
    </row>
    <row r="54" spans="1:29" s="502" customFormat="1" ht="13.5" customHeight="1">
      <c r="A54" s="1147"/>
      <c r="B54" s="1147"/>
      <c r="C54" s="497" t="s">
        <v>2667</v>
      </c>
      <c r="D54" s="501"/>
      <c r="E54" s="499">
        <f>IF(E47&lt;G47,G47/E47-1,E47/G47-1)</f>
        <v>0.11107039466451685</v>
      </c>
      <c r="F54" s="500" t="str">
        <f>IF(OR(E54&gt;=0.3,E54&lt;=-0.3),"超过30%","")</f>
        <v/>
      </c>
      <c r="G54" s="499">
        <f>IF(G47&lt;I47,I47/G47-1,G47/I47-1)</f>
        <v>0.21843966433361417</v>
      </c>
      <c r="H54" s="500" t="str">
        <f>IF(OR(G54&gt;=0.3,G54&lt;=-0.3),"超过30%","")</f>
        <v/>
      </c>
      <c r="I54" s="499">
        <f>IF(I47&lt;E47,E47/I47-1,I47/E47-1)</f>
        <v>9.6635883905013209E-2</v>
      </c>
      <c r="J54" s="500" t="str">
        <f>IF(OR(I54&gt;=0.3,I54&lt;=-0.3),"超过30%","")</f>
        <v/>
      </c>
      <c r="K54" s="1150"/>
      <c r="L54" s="1151"/>
      <c r="M54" s="1147"/>
      <c r="N54" s="1147"/>
      <c r="O54" s="1147"/>
      <c r="P54" s="2668"/>
      <c r="Q54" s="759"/>
      <c r="R54" s="759"/>
      <c r="S54" s="759"/>
      <c r="T54" s="759"/>
      <c r="U54" s="759"/>
      <c r="V54" s="759"/>
      <c r="W54" s="759"/>
      <c r="X54" s="759"/>
      <c r="Y54" s="759"/>
      <c r="Z54" s="759"/>
      <c r="AA54" s="759"/>
      <c r="AB54" s="759"/>
      <c r="AC54" s="759"/>
    </row>
    <row r="55" spans="1:29" s="502" customFormat="1">
      <c r="A55" s="1147"/>
      <c r="B55" s="1148"/>
      <c r="C55" s="1152"/>
      <c r="D55" s="1147"/>
      <c r="E55" s="1147"/>
      <c r="F55" s="1147"/>
      <c r="G55" s="1147"/>
      <c r="H55" s="1147"/>
      <c r="I55" s="1147"/>
      <c r="J55" s="1147"/>
      <c r="K55" s="1150"/>
      <c r="L55" s="1151"/>
      <c r="M55" s="1147"/>
      <c r="N55" s="1147"/>
      <c r="O55" s="1147"/>
      <c r="P55" s="2668"/>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2668</v>
      </c>
      <c r="B57" s="758"/>
      <c r="C57" s="763"/>
      <c r="D57" s="763"/>
      <c r="E57" s="763"/>
      <c r="F57" s="764"/>
      <c r="G57" s="764"/>
      <c r="H57" s="763"/>
      <c r="I57" s="763"/>
      <c r="J57" s="763"/>
      <c r="K57" s="765"/>
      <c r="L57" s="1163"/>
      <c r="M57" s="1161"/>
      <c r="N57" s="1161"/>
      <c r="O57" s="1161"/>
      <c r="P57" s="2669"/>
      <c r="Q57" s="2670"/>
      <c r="R57" s="758"/>
      <c r="S57" s="758"/>
      <c r="T57" s="758"/>
      <c r="U57" s="758"/>
      <c r="V57" s="758"/>
      <c r="W57" s="758"/>
      <c r="X57" s="758"/>
      <c r="Y57" s="758"/>
      <c r="Z57" s="758"/>
      <c r="AA57" s="758"/>
      <c r="AB57" s="758"/>
      <c r="AC57" s="758"/>
    </row>
    <row r="58" spans="1:29" s="508" customFormat="1" ht="15">
      <c r="A58" s="505" t="s">
        <v>2542</v>
      </c>
      <c r="B58" s="506"/>
      <c r="C58" s="1576" t="str">
        <f>YEAR(C7)&amp;"-"&amp;MONTH(C7)</f>
        <v>2018-8</v>
      </c>
      <c r="D58" s="1577">
        <f>EDATE(C58,-1)</f>
        <v>43282</v>
      </c>
      <c r="E58" s="1577">
        <f t="shared" ref="E58:N58" si="16">EDATE(D58,-1)</f>
        <v>43252</v>
      </c>
      <c r="F58" s="1577">
        <f t="shared" si="16"/>
        <v>43221</v>
      </c>
      <c r="G58" s="1577">
        <f t="shared" si="16"/>
        <v>43191</v>
      </c>
      <c r="H58" s="1577">
        <f t="shared" si="16"/>
        <v>43160</v>
      </c>
      <c r="I58" s="1577">
        <f t="shared" si="16"/>
        <v>43132</v>
      </c>
      <c r="J58" s="1577">
        <f t="shared" si="16"/>
        <v>43101</v>
      </c>
      <c r="K58" s="1577">
        <f t="shared" si="16"/>
        <v>43070</v>
      </c>
      <c r="L58" s="1577">
        <f t="shared" si="16"/>
        <v>43040</v>
      </c>
      <c r="M58" s="1577">
        <f t="shared" si="16"/>
        <v>43009</v>
      </c>
      <c r="N58" s="1577">
        <f t="shared" si="16"/>
        <v>42979</v>
      </c>
      <c r="O58" s="1577">
        <f>EDATE(N58,-1)</f>
        <v>42948</v>
      </c>
      <c r="P58" s="1572"/>
    </row>
    <row r="59" spans="1:29" s="117" customFormat="1" ht="15">
      <c r="A59" s="509"/>
      <c r="B59" s="510"/>
      <c r="C59" s="1575">
        <v>100</v>
      </c>
      <c r="D59" s="512">
        <v>100</v>
      </c>
      <c r="E59" s="512">
        <f>$D$59-$C$60</f>
        <v>99</v>
      </c>
      <c r="F59" s="512">
        <f t="shared" ref="F59:G59" si="17">$D$59-$C$60</f>
        <v>99</v>
      </c>
      <c r="G59" s="512">
        <f t="shared" si="17"/>
        <v>99</v>
      </c>
      <c r="H59" s="512">
        <f>$G$59-$C$60</f>
        <v>98</v>
      </c>
      <c r="I59" s="512">
        <f t="shared" ref="I59:J59" si="18">$G$59-$C$60</f>
        <v>98</v>
      </c>
      <c r="J59" s="512">
        <f t="shared" si="18"/>
        <v>98</v>
      </c>
      <c r="K59" s="512">
        <f>$J$59-$C$60</f>
        <v>97</v>
      </c>
      <c r="L59" s="512">
        <f t="shared" ref="L59:M59" si="19">$J$59-$C$60</f>
        <v>97</v>
      </c>
      <c r="M59" s="512">
        <f t="shared" si="19"/>
        <v>97</v>
      </c>
      <c r="N59" s="512">
        <f>$M$59-$C$60</f>
        <v>96</v>
      </c>
      <c r="O59" s="512">
        <f>$M$59-$C$60</f>
        <v>96</v>
      </c>
      <c r="P59" s="2630"/>
    </row>
    <row r="60" spans="1:29" s="117" customFormat="1" ht="15.75" thickBot="1">
      <c r="A60" s="515" t="s">
        <v>2579</v>
      </c>
      <c r="B60" s="516"/>
      <c r="C60" s="517">
        <v>1</v>
      </c>
      <c r="D60" s="518"/>
      <c r="E60" s="518"/>
      <c r="F60" s="518"/>
      <c r="G60" s="518"/>
      <c r="H60" s="518"/>
      <c r="I60" s="518"/>
      <c r="J60" s="518"/>
      <c r="K60" s="518"/>
      <c r="L60" s="518"/>
      <c r="M60" s="519"/>
      <c r="N60" s="518"/>
      <c r="O60" s="519"/>
      <c r="P60" s="2630"/>
      <c r="Q60" s="504"/>
    </row>
    <row r="61" spans="1:29" s="117" customFormat="1" ht="15">
      <c r="A61" s="521" t="s">
        <v>2544</v>
      </c>
      <c r="B61" s="510"/>
      <c r="C61" s="522" t="s">
        <v>2646</v>
      </c>
      <c r="D61" s="523"/>
      <c r="E61" s="523"/>
      <c r="F61" s="523"/>
      <c r="G61" s="523"/>
      <c r="H61" s="523"/>
      <c r="I61" s="523"/>
      <c r="J61" s="523"/>
      <c r="K61" s="523"/>
      <c r="L61" s="524"/>
      <c r="M61" s="525"/>
      <c r="N61" s="1153"/>
      <c r="O61" s="1153"/>
      <c r="P61" s="2631"/>
      <c r="Q61" s="504"/>
    </row>
    <row r="62" spans="1:29" s="117" customFormat="1" ht="15.75" thickBot="1">
      <c r="A62" s="521"/>
      <c r="B62" s="510"/>
      <c r="C62" s="511">
        <v>100</v>
      </c>
      <c r="D62" s="512"/>
      <c r="E62" s="512"/>
      <c r="F62" s="512"/>
      <c r="G62" s="512"/>
      <c r="H62" s="512"/>
      <c r="I62" s="512"/>
      <c r="J62" s="512"/>
      <c r="K62" s="512"/>
      <c r="L62" s="512"/>
      <c r="M62" s="514"/>
      <c r="N62" s="1153"/>
      <c r="O62" s="1153"/>
      <c r="P62" s="2630"/>
      <c r="Q62" s="504"/>
    </row>
    <row r="63" spans="1:29">
      <c r="A63" s="527" t="s">
        <v>2582</v>
      </c>
      <c r="B63" s="528" t="s">
        <v>2548</v>
      </c>
      <c r="C63" s="529" t="str">
        <f>C9</f>
        <v>商业</v>
      </c>
      <c r="D63" s="530"/>
      <c r="E63" s="530"/>
      <c r="F63" s="530"/>
      <c r="G63" s="530"/>
      <c r="H63" s="530"/>
      <c r="I63" s="530"/>
      <c r="J63" s="530"/>
      <c r="K63" s="531"/>
      <c r="L63" s="532"/>
      <c r="M63" s="533"/>
      <c r="N63" s="1154"/>
      <c r="O63" s="1154"/>
      <c r="P63" s="2632"/>
      <c r="Q63" s="504"/>
    </row>
    <row r="64" spans="1:29" ht="15.75" thickBot="1">
      <c r="A64" s="534"/>
      <c r="B64" s="535"/>
      <c r="C64" s="536">
        <v>100</v>
      </c>
      <c r="D64" s="536"/>
      <c r="E64" s="536"/>
      <c r="F64" s="536"/>
      <c r="G64" s="536"/>
      <c r="H64" s="536"/>
      <c r="I64" s="536"/>
      <c r="J64" s="536"/>
      <c r="K64" s="536"/>
      <c r="L64" s="536"/>
      <c r="M64" s="537"/>
      <c r="N64" s="1155"/>
      <c r="O64" s="1155"/>
      <c r="P64" s="2632"/>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4"/>
      <c r="O65" s="1154"/>
      <c r="P65" s="2632"/>
      <c r="Q65" s="504"/>
    </row>
    <row r="66" spans="1:17" ht="15.75" thickBot="1">
      <c r="A66" s="534"/>
      <c r="B66" s="543"/>
      <c r="C66" s="544" t="s">
        <v>24</v>
      </c>
      <c r="D66" s="544" t="s">
        <v>25</v>
      </c>
      <c r="E66" s="544" t="s">
        <v>26</v>
      </c>
      <c r="F66" s="544">
        <v>100</v>
      </c>
      <c r="G66" s="544">
        <f>F66-$K10</f>
        <v>95</v>
      </c>
      <c r="H66" s="544">
        <f>G66-$K10</f>
        <v>90</v>
      </c>
      <c r="I66" s="544">
        <f>H66-$K10</f>
        <v>85</v>
      </c>
      <c r="J66" s="544"/>
      <c r="K66" s="544"/>
      <c r="L66" s="544"/>
      <c r="M66" s="545"/>
      <c r="N66" s="1155"/>
      <c r="O66" s="1155"/>
      <c r="P66" s="2632"/>
      <c r="Q66" s="504"/>
    </row>
    <row r="67" spans="1:17" ht="15.75" thickTop="1">
      <c r="A67" s="534"/>
      <c r="B67" s="546" t="s">
        <v>2552</v>
      </c>
      <c r="C67" s="547" t="str">
        <f>C68&amp;"（含）"&amp;"-"&amp;D68</f>
        <v>0（含）-</v>
      </c>
      <c r="D67" s="547" t="str">
        <f t="shared" ref="D67:L67" si="20">D68&amp;"（含）"&amp;"-"&amp;E68</f>
        <v>（含）-</v>
      </c>
      <c r="E67" s="547" t="str">
        <f t="shared" si="20"/>
        <v>（含）-</v>
      </c>
      <c r="F67" s="547" t="str">
        <f t="shared" si="20"/>
        <v>（含）-</v>
      </c>
      <c r="G67" s="547" t="str">
        <f t="shared" si="20"/>
        <v>（含）-</v>
      </c>
      <c r="H67" s="547" t="str">
        <f t="shared" si="20"/>
        <v>（含）-</v>
      </c>
      <c r="I67" s="547" t="str">
        <f t="shared" si="20"/>
        <v>（含）-</v>
      </c>
      <c r="J67" s="547" t="str">
        <f t="shared" si="20"/>
        <v>（含）-</v>
      </c>
      <c r="K67" s="547" t="str">
        <f t="shared" si="20"/>
        <v>（含）-</v>
      </c>
      <c r="L67" s="547" t="str">
        <f t="shared" si="20"/>
        <v>（含）-</v>
      </c>
      <c r="M67" s="448" t="str">
        <f>M68&amp;"（含）"&amp;"-"&amp;P68</f>
        <v>（含）-</v>
      </c>
      <c r="N67" s="1155"/>
      <c r="O67" s="1155"/>
      <c r="P67" s="2632"/>
      <c r="Q67" s="504"/>
    </row>
    <row r="68" spans="1:17" ht="15">
      <c r="A68" s="534"/>
      <c r="B68" s="548"/>
      <c r="C68" s="549">
        <v>0</v>
      </c>
      <c r="D68" s="549"/>
      <c r="E68" s="549"/>
      <c r="F68" s="549"/>
      <c r="G68" s="549"/>
      <c r="H68" s="549"/>
      <c r="I68" s="549"/>
      <c r="J68" s="549"/>
      <c r="K68" s="550"/>
      <c r="L68" s="551"/>
      <c r="M68" s="552"/>
      <c r="N68" s="1154"/>
      <c r="O68" s="1154"/>
      <c r="P68" s="2632"/>
      <c r="Q68" s="504"/>
    </row>
    <row r="69" spans="1:17" ht="15.75" thickBot="1">
      <c r="A69" s="534"/>
      <c r="B69" s="535"/>
      <c r="C69" s="544">
        <v>100</v>
      </c>
      <c r="D69" s="544">
        <f t="shared" ref="D69:M69" si="21">C69-$K11</f>
        <v>100</v>
      </c>
      <c r="E69" s="544">
        <f t="shared" si="21"/>
        <v>100</v>
      </c>
      <c r="F69" s="544">
        <f t="shared" si="21"/>
        <v>100</v>
      </c>
      <c r="G69" s="544">
        <f t="shared" si="21"/>
        <v>100</v>
      </c>
      <c r="H69" s="544">
        <f t="shared" si="21"/>
        <v>100</v>
      </c>
      <c r="I69" s="544">
        <f t="shared" si="21"/>
        <v>100</v>
      </c>
      <c r="J69" s="544">
        <f t="shared" si="21"/>
        <v>100</v>
      </c>
      <c r="K69" s="544">
        <f t="shared" si="21"/>
        <v>100</v>
      </c>
      <c r="L69" s="544">
        <f t="shared" si="21"/>
        <v>100</v>
      </c>
      <c r="M69" s="545">
        <f t="shared" si="21"/>
        <v>100</v>
      </c>
      <c r="N69" s="1155"/>
      <c r="O69" s="1155"/>
      <c r="P69" s="2632"/>
      <c r="Q69" s="504"/>
    </row>
    <row r="70" spans="1:17" s="471" customFormat="1" ht="15.75" hidden="1" thickTop="1">
      <c r="A70" s="553"/>
      <c r="B70" s="538">
        <f>B12</f>
        <v>0</v>
      </c>
      <c r="C70" s="554"/>
      <c r="D70" s="554"/>
      <c r="E70" s="554"/>
      <c r="F70" s="554"/>
      <c r="G70" s="554"/>
      <c r="H70" s="555"/>
      <c r="I70" s="555"/>
      <c r="J70" s="555"/>
      <c r="K70" s="555"/>
      <c r="L70" s="556"/>
      <c r="M70" s="557"/>
      <c r="N70" s="1156"/>
      <c r="O70" s="1156"/>
      <c r="P70" s="2633"/>
      <c r="Q70" s="559"/>
    </row>
    <row r="71" spans="1:17" s="471" customFormat="1" ht="15.75" hidden="1" thickBot="1">
      <c r="A71" s="553"/>
      <c r="B71" s="543"/>
      <c r="C71" s="560"/>
      <c r="D71" s="536"/>
      <c r="E71" s="536"/>
      <c r="F71" s="536"/>
      <c r="G71" s="536"/>
      <c r="H71" s="536"/>
      <c r="I71" s="536"/>
      <c r="J71" s="536"/>
      <c r="K71" s="536"/>
      <c r="L71" s="536"/>
      <c r="M71" s="537"/>
      <c r="N71" s="1155"/>
      <c r="O71" s="1155"/>
      <c r="P71" s="2633"/>
      <c r="Q71" s="559"/>
    </row>
    <row r="72" spans="1:17" s="471" customFormat="1" ht="15.75" hidden="1" thickTop="1">
      <c r="A72" s="553"/>
      <c r="B72" s="538">
        <f>B13</f>
        <v>0</v>
      </c>
      <c r="C72" s="554"/>
      <c r="D72" s="554"/>
      <c r="E72" s="554"/>
      <c r="F72" s="554"/>
      <c r="G72" s="554"/>
      <c r="H72" s="555"/>
      <c r="I72" s="555"/>
      <c r="J72" s="555"/>
      <c r="K72" s="555"/>
      <c r="L72" s="556"/>
      <c r="M72" s="557"/>
      <c r="N72" s="1156"/>
      <c r="O72" s="1156"/>
      <c r="P72" s="2634"/>
      <c r="Q72" s="561"/>
    </row>
    <row r="73" spans="1:17" s="471" customFormat="1" ht="15.75" hidden="1" thickBot="1">
      <c r="A73" s="553"/>
      <c r="B73" s="543"/>
      <c r="C73" s="560"/>
      <c r="D73" s="536"/>
      <c r="E73" s="536"/>
      <c r="F73" s="536"/>
      <c r="G73" s="560"/>
      <c r="H73" s="562"/>
      <c r="I73" s="562"/>
      <c r="J73" s="562"/>
      <c r="K73" s="562"/>
      <c r="L73" s="562"/>
      <c r="M73" s="563"/>
      <c r="N73" s="1156"/>
      <c r="O73" s="1156"/>
      <c r="P73" s="2633"/>
      <c r="Q73" s="559"/>
    </row>
    <row r="74" spans="1:17" s="471" customFormat="1" ht="15.75" hidden="1" thickTop="1">
      <c r="A74" s="553"/>
      <c r="B74" s="546">
        <f>B14</f>
        <v>0</v>
      </c>
      <c r="C74" s="554"/>
      <c r="D74" s="554"/>
      <c r="E74" s="554"/>
      <c r="F74" s="554"/>
      <c r="G74" s="523"/>
      <c r="H74" s="564"/>
      <c r="I74" s="564"/>
      <c r="J74" s="564"/>
      <c r="K74" s="564"/>
      <c r="L74" s="565"/>
      <c r="M74" s="566"/>
      <c r="N74" s="1156"/>
      <c r="O74" s="1156"/>
      <c r="P74" s="2635"/>
      <c r="Q74" s="559"/>
    </row>
    <row r="75" spans="1:17" s="471" customFormat="1" ht="15.75" hidden="1" thickBot="1">
      <c r="A75" s="568"/>
      <c r="B75" s="569"/>
      <c r="C75" s="570"/>
      <c r="D75" s="570"/>
      <c r="E75" s="570"/>
      <c r="F75" s="570"/>
      <c r="G75" s="570"/>
      <c r="H75" s="571"/>
      <c r="I75" s="571"/>
      <c r="J75" s="571"/>
      <c r="K75" s="571"/>
      <c r="L75" s="571"/>
      <c r="M75" s="572"/>
      <c r="N75" s="1156"/>
      <c r="O75" s="1156"/>
      <c r="P75" s="2633"/>
      <c r="Q75" s="559"/>
    </row>
    <row r="76" spans="1:17" ht="15" thickTop="1">
      <c r="A76" s="527" t="s">
        <v>2553</v>
      </c>
      <c r="B76" s="528" t="s">
        <v>2590</v>
      </c>
      <c r="C76" s="573" t="s">
        <v>2591</v>
      </c>
      <c r="D76" s="573" t="s">
        <v>2592</v>
      </c>
      <c r="E76" s="573" t="s">
        <v>2593</v>
      </c>
      <c r="F76" s="573" t="s">
        <v>2594</v>
      </c>
      <c r="G76" s="573" t="s">
        <v>2595</v>
      </c>
      <c r="H76" s="529"/>
      <c r="I76" s="529"/>
      <c r="J76" s="529"/>
      <c r="K76" s="574"/>
      <c r="L76" s="575"/>
      <c r="M76" s="576"/>
      <c r="N76" s="1154"/>
      <c r="O76" s="1154"/>
      <c r="P76" s="2636"/>
      <c r="Q76" s="504"/>
    </row>
    <row r="77" spans="1:17" ht="15.75" thickBot="1">
      <c r="A77" s="534"/>
      <c r="B77" s="543"/>
      <c r="C77" s="544">
        <v>100</v>
      </c>
      <c r="D77" s="544">
        <f>C77-$K15</f>
        <v>95</v>
      </c>
      <c r="E77" s="544">
        <f>D77-$K15</f>
        <v>90</v>
      </c>
      <c r="F77" s="544">
        <f>E77-$K15</f>
        <v>85</v>
      </c>
      <c r="G77" s="544">
        <f>F77-$K15</f>
        <v>80</v>
      </c>
      <c r="H77" s="544"/>
      <c r="I77" s="544"/>
      <c r="J77" s="544"/>
      <c r="K77" s="544"/>
      <c r="L77" s="544"/>
      <c r="M77" s="545"/>
      <c r="N77" s="1155"/>
      <c r="O77" s="1155"/>
      <c r="P77" s="2632"/>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4"/>
      <c r="O78" s="1154"/>
      <c r="P78" s="2632"/>
      <c r="Q78" s="504"/>
    </row>
    <row r="79" spans="1:17" ht="15.75" thickBot="1">
      <c r="A79" s="534"/>
      <c r="B79" s="543"/>
      <c r="C79" s="544">
        <v>100</v>
      </c>
      <c r="D79" s="544">
        <f>C79-$K17</f>
        <v>95</v>
      </c>
      <c r="E79" s="544">
        <f>D79-$K17</f>
        <v>90</v>
      </c>
      <c r="F79" s="544">
        <f>E79-$K17</f>
        <v>85</v>
      </c>
      <c r="G79" s="544">
        <f>F79-$K17</f>
        <v>80</v>
      </c>
      <c r="H79" s="544"/>
      <c r="I79" s="544"/>
      <c r="J79" s="544"/>
      <c r="K79" s="544"/>
      <c r="L79" s="544"/>
      <c r="M79" s="545"/>
      <c r="N79" s="1155"/>
      <c r="O79" s="1155"/>
      <c r="P79" s="2632"/>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4"/>
      <c r="O80" s="1154"/>
      <c r="P80" s="2632"/>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5"/>
      <c r="O81" s="1155"/>
      <c r="P81" s="2632"/>
      <c r="Q81" s="504"/>
    </row>
    <row r="82" spans="1:17" ht="15.75" thickTop="1">
      <c r="A82" s="534"/>
      <c r="B82" s="546" t="s">
        <v>2649</v>
      </c>
      <c r="C82" s="659" t="s">
        <v>2669</v>
      </c>
      <c r="D82" s="659" t="s">
        <v>2670</v>
      </c>
      <c r="E82" s="659" t="s">
        <v>2671</v>
      </c>
      <c r="F82" s="659" t="s">
        <v>2672</v>
      </c>
      <c r="G82" s="659" t="s">
        <v>2673</v>
      </c>
      <c r="H82" s="539"/>
      <c r="I82" s="539"/>
      <c r="J82" s="539"/>
      <c r="K82" s="539"/>
      <c r="L82" s="539"/>
      <c r="M82" s="1384"/>
      <c r="N82" s="1155"/>
      <c r="O82" s="1155"/>
      <c r="P82" s="2632"/>
      <c r="Q82" s="504"/>
    </row>
    <row r="83" spans="1:17" ht="15.75" thickBot="1">
      <c r="A83" s="534"/>
      <c r="B83" s="546"/>
      <c r="C83" s="544">
        <v>100</v>
      </c>
      <c r="D83" s="544">
        <f>C83-$K21</f>
        <v>98</v>
      </c>
      <c r="E83" s="544">
        <f t="shared" ref="E83:G83" si="22">D83-$K21</f>
        <v>96</v>
      </c>
      <c r="F83" s="544">
        <f t="shared" si="22"/>
        <v>94</v>
      </c>
      <c r="G83" s="544">
        <f t="shared" si="22"/>
        <v>92</v>
      </c>
      <c r="H83" s="659"/>
      <c r="I83" s="659"/>
      <c r="J83" s="659"/>
      <c r="K83" s="659"/>
      <c r="L83" s="659"/>
      <c r="M83" s="450"/>
      <c r="N83" s="1155"/>
      <c r="O83" s="1155"/>
      <c r="P83" s="2632"/>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4"/>
      <c r="O84" s="1154"/>
      <c r="P84" s="2632"/>
      <c r="Q84" s="504"/>
    </row>
    <row r="85" spans="1:17" ht="15.75" thickBot="1">
      <c r="A85" s="534"/>
      <c r="B85" s="543"/>
      <c r="C85" s="544">
        <v>100</v>
      </c>
      <c r="D85" s="544">
        <f>C85-$K23</f>
        <v>97</v>
      </c>
      <c r="E85" s="544">
        <f>D85-$K23</f>
        <v>94</v>
      </c>
      <c r="F85" s="544">
        <f>E85-$K23</f>
        <v>91</v>
      </c>
      <c r="G85" s="544">
        <f>F85-$K23</f>
        <v>88</v>
      </c>
      <c r="H85" s="544"/>
      <c r="I85" s="544"/>
      <c r="J85" s="544"/>
      <c r="K85" s="544"/>
      <c r="L85" s="544"/>
      <c r="M85" s="545"/>
      <c r="N85" s="1155"/>
      <c r="O85" s="1155"/>
      <c r="P85" s="2632"/>
      <c r="Q85" s="504"/>
    </row>
    <row r="86" spans="1:17" s="117" customFormat="1" ht="15.75" thickTop="1">
      <c r="A86" s="579"/>
      <c r="B86" s="538" t="s">
        <v>2674</v>
      </c>
      <c r="C86" s="554"/>
      <c r="D86" s="554"/>
      <c r="E86" s="554"/>
      <c r="F86" s="554"/>
      <c r="G86" s="554"/>
      <c r="H86" s="554"/>
      <c r="I86" s="554"/>
      <c r="J86" s="554"/>
      <c r="K86" s="554"/>
      <c r="L86" s="580"/>
      <c r="M86" s="581"/>
      <c r="N86" s="1153"/>
      <c r="O86" s="1153"/>
      <c r="P86" s="2632"/>
      <c r="Q86" s="504"/>
    </row>
    <row r="87" spans="1:17" s="117" customFormat="1" ht="15.75" thickBot="1">
      <c r="A87" s="579"/>
      <c r="B87" s="543"/>
      <c r="C87" s="582">
        <v>100</v>
      </c>
      <c r="D87" s="544">
        <f t="shared" ref="D87:M87" si="23">C87-$K25</f>
        <v>100</v>
      </c>
      <c r="E87" s="544">
        <f t="shared" si="23"/>
        <v>100</v>
      </c>
      <c r="F87" s="544">
        <f t="shared" si="23"/>
        <v>100</v>
      </c>
      <c r="G87" s="544">
        <f t="shared" si="23"/>
        <v>100</v>
      </c>
      <c r="H87" s="544">
        <f t="shared" si="23"/>
        <v>100</v>
      </c>
      <c r="I87" s="544">
        <f t="shared" si="23"/>
        <v>100</v>
      </c>
      <c r="J87" s="544">
        <f t="shared" si="23"/>
        <v>100</v>
      </c>
      <c r="K87" s="544">
        <f t="shared" si="23"/>
        <v>100</v>
      </c>
      <c r="L87" s="544">
        <f t="shared" si="23"/>
        <v>100</v>
      </c>
      <c r="M87" s="544">
        <f t="shared" si="23"/>
        <v>100</v>
      </c>
      <c r="N87" s="1155"/>
      <c r="O87" s="1155"/>
      <c r="P87" s="2632"/>
      <c r="Q87" s="504"/>
    </row>
    <row r="88" spans="1:17" s="117" customFormat="1" ht="15.75" thickTop="1">
      <c r="A88" s="579"/>
      <c r="B88" s="538" t="str">
        <f>B26</f>
        <v>平面位置/可视性</v>
      </c>
      <c r="C88" s="2964" t="s">
        <v>3996</v>
      </c>
      <c r="D88" s="2964" t="s">
        <v>3997</v>
      </c>
      <c r="E88" s="2964" t="s">
        <v>4014</v>
      </c>
      <c r="F88" s="2637"/>
      <c r="G88" s="554"/>
      <c r="H88" s="554"/>
      <c r="I88" s="554"/>
      <c r="J88" s="554"/>
      <c r="K88" s="554"/>
      <c r="L88" s="554"/>
      <c r="M88" s="581"/>
      <c r="N88" s="1153"/>
      <c r="O88" s="1153"/>
      <c r="P88" s="2632"/>
      <c r="Q88" s="504"/>
    </row>
    <row r="89" spans="1:17" s="117" customFormat="1" ht="15.75" thickBot="1">
      <c r="A89" s="579"/>
      <c r="B89" s="543"/>
      <c r="C89" s="560"/>
      <c r="D89" s="536"/>
      <c r="E89" s="536"/>
      <c r="F89" s="536"/>
      <c r="G89" s="536"/>
      <c r="H89" s="536"/>
      <c r="I89" s="536"/>
      <c r="J89" s="536"/>
      <c r="K89" s="536"/>
      <c r="L89" s="536"/>
      <c r="M89" s="536"/>
      <c r="N89" s="1155"/>
      <c r="O89" s="1155"/>
      <c r="P89" s="2632"/>
      <c r="Q89" s="504"/>
    </row>
    <row r="90" spans="1:17" s="471" customFormat="1" ht="15.75" thickTop="1">
      <c r="A90" s="553"/>
      <c r="B90" s="538" t="str">
        <f>B27</f>
        <v>人流量</v>
      </c>
      <c r="C90" s="2964" t="s">
        <v>4012</v>
      </c>
      <c r="D90" s="2964" t="s">
        <v>3997</v>
      </c>
      <c r="E90" s="2964" t="s">
        <v>4013</v>
      </c>
      <c r="F90" s="554"/>
      <c r="G90" s="554"/>
      <c r="H90" s="555"/>
      <c r="I90" s="555"/>
      <c r="J90" s="555"/>
      <c r="K90" s="555"/>
      <c r="L90" s="556"/>
      <c r="M90" s="557"/>
      <c r="N90" s="1156"/>
      <c r="O90" s="1156"/>
      <c r="P90" s="2633"/>
      <c r="Q90" s="559"/>
    </row>
    <row r="91" spans="1:17" s="471" customFormat="1" ht="15.75" thickBot="1">
      <c r="A91" s="553"/>
      <c r="B91" s="543"/>
      <c r="C91" s="582">
        <v>100</v>
      </c>
      <c r="D91" s="544">
        <f>C91-$K27</f>
        <v>97</v>
      </c>
      <c r="E91" s="544">
        <f t="shared" ref="E91:M91" si="24">D91-$K27</f>
        <v>94</v>
      </c>
      <c r="F91" s="544">
        <f t="shared" si="24"/>
        <v>91</v>
      </c>
      <c r="G91" s="544">
        <f t="shared" si="24"/>
        <v>88</v>
      </c>
      <c r="H91" s="544">
        <f t="shared" si="24"/>
        <v>85</v>
      </c>
      <c r="I91" s="544">
        <f t="shared" si="24"/>
        <v>82</v>
      </c>
      <c r="J91" s="544">
        <f t="shared" si="24"/>
        <v>79</v>
      </c>
      <c r="K91" s="544">
        <f t="shared" si="24"/>
        <v>76</v>
      </c>
      <c r="L91" s="544">
        <f t="shared" si="24"/>
        <v>73</v>
      </c>
      <c r="M91" s="544">
        <f t="shared" si="24"/>
        <v>70</v>
      </c>
      <c r="N91" s="1156"/>
      <c r="O91" s="1156"/>
      <c r="P91" s="2633"/>
      <c r="Q91" s="559"/>
    </row>
    <row r="92" spans="1:17" ht="15.75" thickTop="1">
      <c r="A92" s="534"/>
      <c r="B92" s="538" t="str">
        <f>B28</f>
        <v>楼层</v>
      </c>
      <c r="C92" s="554" t="s">
        <v>4011</v>
      </c>
      <c r="D92" s="554"/>
      <c r="E92" s="554"/>
      <c r="F92" s="554"/>
      <c r="G92" s="554"/>
      <c r="H92" s="554"/>
      <c r="I92" s="554"/>
      <c r="J92" s="554"/>
      <c r="K92" s="554"/>
      <c r="L92" s="580"/>
      <c r="M92" s="581"/>
      <c r="N92" s="1154"/>
      <c r="O92" s="1154"/>
      <c r="P92" s="2632"/>
      <c r="Q92" s="504"/>
    </row>
    <row r="93" spans="1:17" ht="15.75" thickBot="1">
      <c r="A93" s="534"/>
      <c r="B93" s="543"/>
      <c r="C93" s="536"/>
      <c r="D93" s="536"/>
      <c r="E93" s="536"/>
      <c r="F93" s="536"/>
      <c r="G93" s="536"/>
      <c r="H93" s="536"/>
      <c r="I93" s="536"/>
      <c r="J93" s="536"/>
      <c r="K93" s="536"/>
      <c r="L93" s="536"/>
      <c r="M93" s="537"/>
      <c r="N93" s="1155"/>
      <c r="O93" s="1155"/>
      <c r="P93" s="2632"/>
      <c r="Q93" s="504"/>
    </row>
    <row r="94" spans="1:17" ht="15.75" hidden="1" thickTop="1">
      <c r="A94" s="534"/>
      <c r="B94" s="538">
        <f>B29</f>
        <v>0</v>
      </c>
      <c r="C94" s="554"/>
      <c r="D94" s="554"/>
      <c r="E94" s="554"/>
      <c r="F94" s="554"/>
      <c r="G94" s="583"/>
      <c r="H94" s="583"/>
      <c r="I94" s="583"/>
      <c r="J94" s="583"/>
      <c r="K94" s="584"/>
      <c r="L94" s="585"/>
      <c r="M94" s="586"/>
      <c r="N94" s="1154"/>
      <c r="O94" s="1154"/>
      <c r="P94" s="2632"/>
      <c r="Q94" s="504"/>
    </row>
    <row r="95" spans="1:17" ht="15.75" hidden="1" thickBot="1">
      <c r="A95" s="534"/>
      <c r="B95" s="543"/>
      <c r="C95" s="560"/>
      <c r="D95" s="536"/>
      <c r="E95" s="536"/>
      <c r="F95" s="536"/>
      <c r="G95" s="536"/>
      <c r="H95" s="536"/>
      <c r="I95" s="536"/>
      <c r="J95" s="536"/>
      <c r="K95" s="536"/>
      <c r="L95" s="536"/>
      <c r="M95" s="537"/>
      <c r="N95" s="1155"/>
      <c r="O95" s="1155"/>
      <c r="P95" s="2632"/>
      <c r="Q95" s="504"/>
    </row>
    <row r="96" spans="1:17" ht="15.75" hidden="1" thickTop="1">
      <c r="A96" s="534"/>
      <c r="B96" s="538">
        <f>B30</f>
        <v>0</v>
      </c>
      <c r="C96" s="554"/>
      <c r="D96" s="554"/>
      <c r="E96" s="554"/>
      <c r="F96" s="554"/>
      <c r="G96" s="583"/>
      <c r="H96" s="583"/>
      <c r="I96" s="583"/>
      <c r="J96" s="583"/>
      <c r="K96" s="584"/>
      <c r="L96" s="585"/>
      <c r="M96" s="586"/>
      <c r="N96" s="1154"/>
      <c r="O96" s="1154"/>
      <c r="P96" s="2632"/>
      <c r="Q96" s="504"/>
    </row>
    <row r="97" spans="1:17" ht="15.75" hidden="1" thickBot="1">
      <c r="A97" s="534"/>
      <c r="B97" s="543"/>
      <c r="C97" s="560"/>
      <c r="D97" s="536"/>
      <c r="E97" s="536"/>
      <c r="F97" s="536"/>
      <c r="G97" s="536"/>
      <c r="H97" s="536"/>
      <c r="I97" s="536"/>
      <c r="J97" s="536"/>
      <c r="K97" s="536"/>
      <c r="L97" s="536"/>
      <c r="M97" s="537"/>
      <c r="N97" s="1155"/>
      <c r="O97" s="1155"/>
      <c r="P97" s="2632"/>
      <c r="Q97" s="504"/>
    </row>
    <row r="98" spans="1:17" ht="15.75" hidden="1" thickTop="1">
      <c r="A98" s="534"/>
      <c r="B98" s="546">
        <f>B31</f>
        <v>0</v>
      </c>
      <c r="C98" s="554"/>
      <c r="D98" s="554"/>
      <c r="E98" s="554"/>
      <c r="F98" s="554"/>
      <c r="G98" s="587"/>
      <c r="H98" s="587"/>
      <c r="I98" s="587"/>
      <c r="J98" s="587"/>
      <c r="K98" s="588"/>
      <c r="L98" s="589"/>
      <c r="M98" s="590"/>
      <c r="N98" s="1154"/>
      <c r="O98" s="1154"/>
      <c r="P98" s="2632"/>
      <c r="Q98" s="504"/>
    </row>
    <row r="99" spans="1:17" ht="15.75" hidden="1" thickBot="1">
      <c r="A99" s="2638"/>
      <c r="B99" s="569"/>
      <c r="C99" s="570"/>
      <c r="D99" s="570"/>
      <c r="E99" s="570"/>
      <c r="F99" s="570"/>
      <c r="G99" s="591"/>
      <c r="H99" s="591"/>
      <c r="I99" s="591"/>
      <c r="J99" s="591"/>
      <c r="K99" s="591"/>
      <c r="L99" s="591"/>
      <c r="M99" s="592"/>
      <c r="N99" s="1155"/>
      <c r="O99" s="1155"/>
      <c r="P99" s="2632"/>
      <c r="Q99" s="504"/>
    </row>
    <row r="100" spans="1:17" ht="27.75" thickTop="1">
      <c r="A100" s="527" t="s">
        <v>2557</v>
      </c>
      <c r="B100" s="528" t="s">
        <v>2675</v>
      </c>
      <c r="C100" s="2965" t="s">
        <v>4006</v>
      </c>
      <c r="D100" s="2965" t="s">
        <v>4007</v>
      </c>
      <c r="E100" s="2965" t="s">
        <v>4008</v>
      </c>
      <c r="F100" s="530"/>
      <c r="G100" s="530"/>
      <c r="H100" s="530"/>
      <c r="I100" s="530"/>
      <c r="J100" s="530"/>
      <c r="K100" s="531"/>
      <c r="L100" s="532"/>
      <c r="M100" s="533"/>
      <c r="N100" s="1154"/>
      <c r="O100" s="1154"/>
      <c r="P100" s="2632"/>
      <c r="Q100" s="504"/>
    </row>
    <row r="101" spans="1:17" ht="15.75" thickBot="1">
      <c r="A101" s="534"/>
      <c r="B101" s="543"/>
      <c r="C101" s="544">
        <v>100</v>
      </c>
      <c r="D101" s="544">
        <f t="shared" ref="D101:M101" si="25">C101-$K32</f>
        <v>95</v>
      </c>
      <c r="E101" s="544">
        <f t="shared" si="25"/>
        <v>90</v>
      </c>
      <c r="F101" s="544">
        <f t="shared" si="25"/>
        <v>85</v>
      </c>
      <c r="G101" s="544">
        <f t="shared" si="25"/>
        <v>80</v>
      </c>
      <c r="H101" s="544">
        <f t="shared" si="25"/>
        <v>75</v>
      </c>
      <c r="I101" s="544">
        <f t="shared" si="25"/>
        <v>70</v>
      </c>
      <c r="J101" s="544">
        <f t="shared" si="25"/>
        <v>65</v>
      </c>
      <c r="K101" s="544">
        <f t="shared" si="25"/>
        <v>60</v>
      </c>
      <c r="L101" s="544">
        <f t="shared" si="25"/>
        <v>55</v>
      </c>
      <c r="M101" s="545">
        <f t="shared" si="25"/>
        <v>50</v>
      </c>
      <c r="N101" s="1155"/>
      <c r="O101" s="1155"/>
      <c r="P101" s="2632"/>
      <c r="Q101" s="504"/>
    </row>
    <row r="102" spans="1:17" ht="15.75" thickTop="1">
      <c r="A102" s="534"/>
      <c r="B102" s="538" t="s">
        <v>2607</v>
      </c>
      <c r="C102" s="578" t="str">
        <f>C103&amp;"(含)"&amp;"-"&amp;D103</f>
        <v>0(含)-</v>
      </c>
      <c r="D102" s="578" t="str">
        <f t="shared" ref="D102:L102" si="26">D103&amp;"(含)"&amp;"-"&amp;E103</f>
        <v>(含)-</v>
      </c>
      <c r="E102" s="578" t="str">
        <f t="shared" si="26"/>
        <v>(含)-</v>
      </c>
      <c r="F102" s="578" t="str">
        <f t="shared" si="26"/>
        <v>(含)-</v>
      </c>
      <c r="G102" s="578" t="str">
        <f t="shared" si="26"/>
        <v>(含)-</v>
      </c>
      <c r="H102" s="578" t="str">
        <f t="shared" si="26"/>
        <v>(含)-</v>
      </c>
      <c r="I102" s="578" t="str">
        <f t="shared" si="26"/>
        <v>(含)-</v>
      </c>
      <c r="J102" s="578" t="str">
        <f t="shared" si="26"/>
        <v>(含)-</v>
      </c>
      <c r="K102" s="578" t="str">
        <f t="shared" si="26"/>
        <v>(含)-</v>
      </c>
      <c r="L102" s="578" t="str">
        <f t="shared" si="26"/>
        <v>(含)-</v>
      </c>
      <c r="M102" s="621" t="str">
        <f>M103&amp;"(含)"&amp;"-"&amp;P103</f>
        <v>(含)-</v>
      </c>
      <c r="N102" s="1153"/>
      <c r="O102" s="1153"/>
      <c r="P102" s="2632"/>
      <c r="Q102" s="504"/>
    </row>
    <row r="103" spans="1:17" s="471" customFormat="1">
      <c r="A103" s="593"/>
      <c r="B103" s="594"/>
      <c r="C103" s="595">
        <v>0</v>
      </c>
      <c r="D103" s="595"/>
      <c r="E103" s="595"/>
      <c r="F103" s="595"/>
      <c r="G103" s="595"/>
      <c r="H103" s="595"/>
      <c r="I103" s="595"/>
      <c r="J103" s="596"/>
      <c r="K103" s="596"/>
      <c r="L103" s="597"/>
      <c r="M103" s="598"/>
      <c r="N103" s="1156"/>
      <c r="O103" s="1156"/>
      <c r="P103" s="2633"/>
      <c r="Q103" s="559"/>
    </row>
    <row r="104" spans="1:17" s="471" customFormat="1" ht="15.75" thickBot="1">
      <c r="A104" s="553"/>
      <c r="B104" s="543"/>
      <c r="C104" s="560"/>
      <c r="D104" s="536"/>
      <c r="E104" s="536"/>
      <c r="F104" s="536"/>
      <c r="G104" s="536"/>
      <c r="H104" s="536"/>
      <c r="I104" s="536"/>
      <c r="J104" s="536"/>
      <c r="K104" s="536"/>
      <c r="L104" s="536"/>
      <c r="M104" s="537"/>
      <c r="N104" s="1155"/>
      <c r="O104" s="1155"/>
      <c r="P104" s="2633"/>
      <c r="Q104" s="559"/>
    </row>
    <row r="105" spans="1:17" ht="15" thickTop="1">
      <c r="A105" s="599"/>
      <c r="B105" s="538" t="s">
        <v>2608</v>
      </c>
      <c r="C105" s="2964" t="s">
        <v>4005</v>
      </c>
      <c r="D105" s="554"/>
      <c r="E105" s="583"/>
      <c r="F105" s="583"/>
      <c r="G105" s="583"/>
      <c r="H105" s="583"/>
      <c r="I105" s="583"/>
      <c r="J105" s="583"/>
      <c r="K105" s="584"/>
      <c r="L105" s="585"/>
      <c r="M105" s="586"/>
      <c r="N105" s="1154"/>
      <c r="O105" s="1154"/>
      <c r="P105" s="2632"/>
      <c r="Q105" s="504"/>
    </row>
    <row r="106" spans="1:17" ht="15.75" thickBot="1">
      <c r="A106" s="534"/>
      <c r="B106" s="543"/>
      <c r="C106" s="544">
        <v>100</v>
      </c>
      <c r="D106" s="544">
        <f t="shared" ref="D106:M106" si="27">C106-$K34</f>
        <v>98</v>
      </c>
      <c r="E106" s="544">
        <f t="shared" si="27"/>
        <v>96</v>
      </c>
      <c r="F106" s="544">
        <f t="shared" si="27"/>
        <v>94</v>
      </c>
      <c r="G106" s="544">
        <f t="shared" si="27"/>
        <v>92</v>
      </c>
      <c r="H106" s="544">
        <f t="shared" si="27"/>
        <v>90</v>
      </c>
      <c r="I106" s="544">
        <f t="shared" si="27"/>
        <v>88</v>
      </c>
      <c r="J106" s="544">
        <f t="shared" si="27"/>
        <v>86</v>
      </c>
      <c r="K106" s="544">
        <f t="shared" si="27"/>
        <v>84</v>
      </c>
      <c r="L106" s="544">
        <f t="shared" si="27"/>
        <v>82</v>
      </c>
      <c r="M106" s="545">
        <f t="shared" si="27"/>
        <v>80</v>
      </c>
      <c r="N106" s="1155"/>
      <c r="O106" s="1155"/>
      <c r="P106" s="2632"/>
      <c r="Q106" s="504"/>
    </row>
    <row r="107" spans="1:17" ht="15" thickTop="1">
      <c r="A107" s="599"/>
      <c r="B107" s="538" t="s">
        <v>2610</v>
      </c>
      <c r="C107" s="2964" t="s">
        <v>4004</v>
      </c>
      <c r="D107" s="554"/>
      <c r="E107" s="554"/>
      <c r="F107" s="583"/>
      <c r="G107" s="583"/>
      <c r="H107" s="583"/>
      <c r="I107" s="583"/>
      <c r="J107" s="583"/>
      <c r="K107" s="584"/>
      <c r="L107" s="585"/>
      <c r="M107" s="586"/>
      <c r="N107" s="1154"/>
      <c r="O107" s="1154"/>
      <c r="P107" s="2632"/>
      <c r="Q107" s="504"/>
    </row>
    <row r="108" spans="1:17" ht="15.75" thickBot="1">
      <c r="A108" s="534"/>
      <c r="B108" s="543"/>
      <c r="C108" s="544">
        <v>100</v>
      </c>
      <c r="D108" s="544">
        <f t="shared" ref="D108:M108" si="28">C108-$K35</f>
        <v>98</v>
      </c>
      <c r="E108" s="544">
        <f t="shared" si="28"/>
        <v>96</v>
      </c>
      <c r="F108" s="544">
        <f t="shared" si="28"/>
        <v>94</v>
      </c>
      <c r="G108" s="544">
        <f t="shared" si="28"/>
        <v>92</v>
      </c>
      <c r="H108" s="544">
        <f t="shared" si="28"/>
        <v>90</v>
      </c>
      <c r="I108" s="544">
        <f t="shared" si="28"/>
        <v>88</v>
      </c>
      <c r="J108" s="544">
        <f t="shared" si="28"/>
        <v>86</v>
      </c>
      <c r="K108" s="544">
        <f t="shared" si="28"/>
        <v>84</v>
      </c>
      <c r="L108" s="544">
        <f t="shared" si="28"/>
        <v>82</v>
      </c>
      <c r="M108" s="545">
        <f t="shared" si="28"/>
        <v>80</v>
      </c>
      <c r="N108" s="1155"/>
      <c r="O108" s="1155"/>
      <c r="P108" s="263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4"/>
      <c r="O109" s="1154"/>
      <c r="P109" s="2632"/>
      <c r="Q109" s="504"/>
    </row>
    <row r="110" spans="1:17">
      <c r="A110" s="599"/>
      <c r="B110" s="546"/>
      <c r="C110" s="603">
        <v>0.5</v>
      </c>
      <c r="D110" s="603">
        <v>0.6</v>
      </c>
      <c r="E110" s="603">
        <v>0.7</v>
      </c>
      <c r="F110" s="603">
        <v>0.8</v>
      </c>
      <c r="G110" s="603">
        <v>0.9</v>
      </c>
      <c r="H110" s="603">
        <v>1.0001</v>
      </c>
      <c r="I110" s="622"/>
      <c r="J110" s="622"/>
      <c r="K110" s="623"/>
      <c r="L110" s="624"/>
      <c r="M110" s="625"/>
      <c r="N110" s="1154"/>
      <c r="O110" s="1154"/>
      <c r="P110" s="2632"/>
      <c r="Q110" s="504"/>
    </row>
    <row r="111" spans="1:17" ht="15.75" thickBot="1">
      <c r="A111" s="534"/>
      <c r="B111" s="543"/>
      <c r="C111" s="582">
        <v>100</v>
      </c>
      <c r="D111" s="544">
        <f>C111+$K36</f>
        <v>102</v>
      </c>
      <c r="E111" s="544">
        <f t="shared" ref="E111:M111" si="29">D111+$K36</f>
        <v>104</v>
      </c>
      <c r="F111" s="544">
        <f t="shared" si="29"/>
        <v>106</v>
      </c>
      <c r="G111" s="544">
        <f t="shared" si="29"/>
        <v>108</v>
      </c>
      <c r="H111" s="544">
        <f t="shared" si="29"/>
        <v>110</v>
      </c>
      <c r="I111" s="544">
        <f t="shared" si="29"/>
        <v>112</v>
      </c>
      <c r="J111" s="544">
        <f t="shared" si="29"/>
        <v>114</v>
      </c>
      <c r="K111" s="544">
        <f t="shared" si="29"/>
        <v>116</v>
      </c>
      <c r="L111" s="544">
        <f t="shared" si="29"/>
        <v>118</v>
      </c>
      <c r="M111" s="544">
        <f t="shared" si="29"/>
        <v>120</v>
      </c>
      <c r="N111" s="1155"/>
      <c r="O111" s="1155"/>
      <c r="P111" s="2632"/>
      <c r="Q111" s="504"/>
    </row>
    <row r="112" spans="1:17" s="471" customFormat="1" ht="15" thickTop="1">
      <c r="A112" s="593"/>
      <c r="B112" s="538" t="s">
        <v>2612</v>
      </c>
      <c r="C112" s="554"/>
      <c r="D112" s="554"/>
      <c r="E112" s="554"/>
      <c r="F112" s="554"/>
      <c r="G112" s="554"/>
      <c r="H112" s="583"/>
      <c r="I112" s="583"/>
      <c r="J112" s="583"/>
      <c r="K112" s="584"/>
      <c r="L112" s="585"/>
      <c r="M112" s="586"/>
      <c r="N112" s="1156"/>
      <c r="O112" s="1156"/>
      <c r="P112" s="2633"/>
      <c r="Q112" s="559"/>
    </row>
    <row r="113" spans="1:17" s="471" customFormat="1" ht="15.75" thickBot="1">
      <c r="A113" s="553"/>
      <c r="B113" s="543"/>
      <c r="C113" s="544">
        <v>100</v>
      </c>
      <c r="D113" s="544">
        <f>C113-$K37</f>
        <v>98</v>
      </c>
      <c r="E113" s="544">
        <f t="shared" ref="E113:M113" si="30">D113-$K37</f>
        <v>96</v>
      </c>
      <c r="F113" s="544">
        <f t="shared" si="30"/>
        <v>94</v>
      </c>
      <c r="G113" s="544">
        <f t="shared" si="30"/>
        <v>92</v>
      </c>
      <c r="H113" s="544">
        <f t="shared" si="30"/>
        <v>90</v>
      </c>
      <c r="I113" s="544">
        <f t="shared" si="30"/>
        <v>88</v>
      </c>
      <c r="J113" s="544">
        <f t="shared" si="30"/>
        <v>86</v>
      </c>
      <c r="K113" s="544">
        <f t="shared" si="30"/>
        <v>84</v>
      </c>
      <c r="L113" s="544">
        <f t="shared" si="30"/>
        <v>82</v>
      </c>
      <c r="M113" s="544">
        <f t="shared" si="30"/>
        <v>80</v>
      </c>
      <c r="N113" s="1156"/>
      <c r="O113" s="1156"/>
      <c r="P113" s="2633"/>
      <c r="Q113" s="559"/>
    </row>
    <row r="114" spans="1:17" ht="15" thickTop="1">
      <c r="A114" s="599"/>
      <c r="B114" s="538" t="s">
        <v>2676</v>
      </c>
      <c r="C114" s="2964" t="s">
        <v>4009</v>
      </c>
      <c r="D114" s="2964" t="s">
        <v>4010</v>
      </c>
      <c r="E114" s="583"/>
      <c r="F114" s="583"/>
      <c r="G114" s="583"/>
      <c r="H114" s="583"/>
      <c r="I114" s="583"/>
      <c r="J114" s="583"/>
      <c r="K114" s="584"/>
      <c r="L114" s="585"/>
      <c r="M114" s="586"/>
      <c r="N114" s="1154"/>
      <c r="O114" s="1154"/>
      <c r="P114" s="2632"/>
      <c r="Q114" s="504"/>
    </row>
    <row r="115" spans="1:17" ht="15.75" thickBot="1">
      <c r="A115" s="534"/>
      <c r="B115" s="543"/>
      <c r="C115" s="544">
        <v>100</v>
      </c>
      <c r="D115" s="544">
        <f t="shared" ref="D115:M115" si="31">C115-$K38</f>
        <v>95</v>
      </c>
      <c r="E115" s="544">
        <f t="shared" si="31"/>
        <v>90</v>
      </c>
      <c r="F115" s="544">
        <f t="shared" si="31"/>
        <v>85</v>
      </c>
      <c r="G115" s="544">
        <f t="shared" si="31"/>
        <v>80</v>
      </c>
      <c r="H115" s="544">
        <f t="shared" si="31"/>
        <v>75</v>
      </c>
      <c r="I115" s="544">
        <f t="shared" si="31"/>
        <v>70</v>
      </c>
      <c r="J115" s="544">
        <f t="shared" si="31"/>
        <v>65</v>
      </c>
      <c r="K115" s="544">
        <f t="shared" si="31"/>
        <v>60</v>
      </c>
      <c r="L115" s="544">
        <f t="shared" si="31"/>
        <v>55</v>
      </c>
      <c r="M115" s="545">
        <f t="shared" si="31"/>
        <v>50</v>
      </c>
      <c r="N115" s="1155"/>
      <c r="O115" s="1155"/>
      <c r="P115" s="2632"/>
      <c r="Q115" s="504"/>
    </row>
    <row r="116" spans="1:17" ht="15" thickTop="1">
      <c r="A116" s="599"/>
      <c r="B116" s="538" t="s">
        <v>2677</v>
      </c>
      <c r="C116" s="2964" t="s">
        <v>4001</v>
      </c>
      <c r="D116" s="554"/>
      <c r="E116" s="554"/>
      <c r="F116" s="554"/>
      <c r="G116" s="554"/>
      <c r="H116" s="583"/>
      <c r="I116" s="583"/>
      <c r="J116" s="583"/>
      <c r="K116" s="584"/>
      <c r="L116" s="585"/>
      <c r="M116" s="586"/>
      <c r="N116" s="1154"/>
      <c r="O116" s="1154"/>
      <c r="P116" s="2632"/>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55"/>
      <c r="O117" s="1155"/>
      <c r="P117" s="2632"/>
      <c r="Q117" s="504"/>
    </row>
    <row r="118" spans="1:17" ht="15" thickTop="1">
      <c r="A118" s="599"/>
      <c r="B118" s="538" t="s">
        <v>2678</v>
      </c>
      <c r="C118" s="626"/>
      <c r="D118" s="626"/>
      <c r="E118" s="626"/>
      <c r="F118" s="626"/>
      <c r="G118" s="626"/>
      <c r="H118" s="555"/>
      <c r="I118" s="555"/>
      <c r="J118" s="555"/>
      <c r="K118" s="555"/>
      <c r="L118" s="556"/>
      <c r="M118" s="557"/>
      <c r="N118" s="1154"/>
      <c r="O118" s="1154"/>
      <c r="P118" s="2632"/>
      <c r="Q118" s="504"/>
    </row>
    <row r="119" spans="1:17" ht="15.75" thickBot="1">
      <c r="A119" s="534"/>
      <c r="B119" s="543"/>
      <c r="C119" s="560"/>
      <c r="D119" s="536"/>
      <c r="E119" s="536"/>
      <c r="F119" s="536"/>
      <c r="G119" s="536"/>
      <c r="H119" s="536"/>
      <c r="I119" s="536"/>
      <c r="J119" s="536"/>
      <c r="K119" s="536"/>
      <c r="L119" s="536"/>
      <c r="M119" s="537"/>
      <c r="N119" s="1155"/>
      <c r="O119" s="1155"/>
      <c r="P119" s="2632"/>
      <c r="Q119" s="504"/>
    </row>
    <row r="120" spans="1:17" s="471" customFormat="1" ht="15" thickTop="1">
      <c r="A120" s="593"/>
      <c r="B120" s="538" t="s">
        <v>2679</v>
      </c>
      <c r="C120" s="583"/>
      <c r="D120" s="583"/>
      <c r="E120" s="583"/>
      <c r="F120" s="583"/>
      <c r="G120" s="555"/>
      <c r="H120" s="555"/>
      <c r="I120" s="555"/>
      <c r="J120" s="555"/>
      <c r="K120" s="555"/>
      <c r="L120" s="556"/>
      <c r="M120" s="557"/>
      <c r="N120" s="1156"/>
      <c r="O120" s="1156"/>
      <c r="P120" s="2633"/>
      <c r="Q120" s="559"/>
    </row>
    <row r="121" spans="1:17" s="471" customFormat="1" ht="15.75" thickBot="1">
      <c r="A121" s="553"/>
      <c r="B121" s="535"/>
      <c r="C121" s="582">
        <v>100</v>
      </c>
      <c r="D121" s="544">
        <f>C121-$K41</f>
        <v>100</v>
      </c>
      <c r="E121" s="544">
        <f t="shared" ref="E121:M121" si="32">D121-$K41</f>
        <v>100</v>
      </c>
      <c r="F121" s="544">
        <f t="shared" si="32"/>
        <v>100</v>
      </c>
      <c r="G121" s="544">
        <f t="shared" si="32"/>
        <v>100</v>
      </c>
      <c r="H121" s="544">
        <f t="shared" si="32"/>
        <v>100</v>
      </c>
      <c r="I121" s="544">
        <f t="shared" si="32"/>
        <v>100</v>
      </c>
      <c r="J121" s="544">
        <f t="shared" si="32"/>
        <v>100</v>
      </c>
      <c r="K121" s="544">
        <f t="shared" si="32"/>
        <v>100</v>
      </c>
      <c r="L121" s="544">
        <f t="shared" si="32"/>
        <v>100</v>
      </c>
      <c r="M121" s="545">
        <f t="shared" si="32"/>
        <v>100</v>
      </c>
      <c r="N121" s="1156"/>
      <c r="O121" s="1156"/>
      <c r="P121" s="2633"/>
      <c r="Q121" s="559"/>
    </row>
    <row r="122" spans="1:17" ht="15" thickTop="1">
      <c r="A122" s="599"/>
      <c r="B122" s="538" t="s">
        <v>2614</v>
      </c>
      <c r="C122" s="2964" t="s">
        <v>3999</v>
      </c>
      <c r="D122" s="554"/>
      <c r="E122" s="554"/>
      <c r="F122" s="583"/>
      <c r="G122" s="583"/>
      <c r="H122" s="583"/>
      <c r="I122" s="583"/>
      <c r="J122" s="583"/>
      <c r="K122" s="584"/>
      <c r="L122" s="585"/>
      <c r="M122" s="586"/>
      <c r="N122" s="1154"/>
      <c r="O122" s="1154"/>
      <c r="P122" s="2632"/>
      <c r="Q122" s="504"/>
    </row>
    <row r="123" spans="1:17" ht="15.75" thickBot="1">
      <c r="A123" s="534"/>
      <c r="B123" s="543"/>
      <c r="C123" s="544">
        <v>100</v>
      </c>
      <c r="D123" s="544">
        <f t="shared" ref="D123:M123" si="33">C123-$K42</f>
        <v>97</v>
      </c>
      <c r="E123" s="544">
        <f t="shared" si="33"/>
        <v>94</v>
      </c>
      <c r="F123" s="544">
        <f t="shared" si="33"/>
        <v>91</v>
      </c>
      <c r="G123" s="544">
        <f t="shared" si="33"/>
        <v>88</v>
      </c>
      <c r="H123" s="544">
        <f t="shared" si="33"/>
        <v>85</v>
      </c>
      <c r="I123" s="544">
        <f t="shared" si="33"/>
        <v>82</v>
      </c>
      <c r="J123" s="544">
        <f t="shared" si="33"/>
        <v>79</v>
      </c>
      <c r="K123" s="544">
        <f t="shared" si="33"/>
        <v>76</v>
      </c>
      <c r="L123" s="544">
        <f t="shared" si="33"/>
        <v>73</v>
      </c>
      <c r="M123" s="545">
        <f t="shared" si="33"/>
        <v>70</v>
      </c>
      <c r="N123" s="1155"/>
      <c r="O123" s="1155"/>
      <c r="P123" s="2632"/>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4"/>
      <c r="O124" s="1154"/>
      <c r="P124" s="2633"/>
      <c r="Q124" s="504"/>
    </row>
    <row r="125" spans="1:17" ht="15.75" thickBot="1">
      <c r="A125" s="534"/>
      <c r="B125" s="543"/>
      <c r="C125" s="544">
        <v>100</v>
      </c>
      <c r="D125" s="544">
        <f>C125-$K43</f>
        <v>97</v>
      </c>
      <c r="E125" s="544">
        <f>D125-$K43</f>
        <v>94</v>
      </c>
      <c r="F125" s="544">
        <f>E125-$K43</f>
        <v>91</v>
      </c>
      <c r="G125" s="544">
        <f>F125-$K43</f>
        <v>88</v>
      </c>
      <c r="H125" s="544"/>
      <c r="I125" s="544"/>
      <c r="J125" s="544"/>
      <c r="K125" s="544"/>
      <c r="L125" s="544"/>
      <c r="M125" s="545"/>
      <c r="N125" s="1155"/>
      <c r="O125" s="1155"/>
      <c r="P125" s="2632"/>
      <c r="Q125" s="504"/>
    </row>
    <row r="126" spans="1:17" s="471" customFormat="1" ht="15" hidden="1" thickTop="1">
      <c r="A126" s="593"/>
      <c r="B126" s="538">
        <f>B44</f>
        <v>0</v>
      </c>
      <c r="C126" s="554"/>
      <c r="D126" s="554"/>
      <c r="E126" s="554"/>
      <c r="F126" s="554"/>
      <c r="G126" s="554"/>
      <c r="H126" s="555"/>
      <c r="I126" s="555"/>
      <c r="J126" s="555"/>
      <c r="K126" s="555"/>
      <c r="L126" s="556"/>
      <c r="M126" s="557"/>
      <c r="N126" s="1156"/>
      <c r="O126" s="1156"/>
      <c r="P126" s="2633"/>
      <c r="Q126" s="559"/>
    </row>
    <row r="127" spans="1:17" s="471" customFormat="1" ht="15.75" hidden="1" thickBot="1">
      <c r="A127" s="553"/>
      <c r="B127" s="543"/>
      <c r="C127" s="560"/>
      <c r="D127" s="536"/>
      <c r="E127" s="536"/>
      <c r="F127" s="536"/>
      <c r="G127" s="560"/>
      <c r="H127" s="562"/>
      <c r="I127" s="562"/>
      <c r="J127" s="562"/>
      <c r="K127" s="562"/>
      <c r="L127" s="562"/>
      <c r="M127" s="563"/>
      <c r="N127" s="1156"/>
      <c r="O127" s="1156"/>
      <c r="P127" s="2633"/>
      <c r="Q127" s="559"/>
    </row>
    <row r="128" spans="1:17" ht="15" hidden="1" thickTop="1">
      <c r="A128" s="599"/>
      <c r="B128" s="538">
        <f>B45</f>
        <v>0</v>
      </c>
      <c r="C128" s="554"/>
      <c r="D128" s="554"/>
      <c r="E128" s="554"/>
      <c r="F128" s="554"/>
      <c r="G128" s="583"/>
      <c r="H128" s="583"/>
      <c r="I128" s="583"/>
      <c r="J128" s="583"/>
      <c r="K128" s="584"/>
      <c r="L128" s="585"/>
      <c r="M128" s="586"/>
      <c r="N128" s="1154"/>
      <c r="O128" s="1154"/>
      <c r="P128" s="2632"/>
      <c r="Q128" s="504"/>
    </row>
    <row r="129" spans="1:17" ht="15.75" hidden="1" thickBot="1">
      <c r="A129" s="534"/>
      <c r="B129" s="543"/>
      <c r="C129" s="560"/>
      <c r="D129" s="536"/>
      <c r="E129" s="536"/>
      <c r="F129" s="536"/>
      <c r="G129" s="536"/>
      <c r="H129" s="536"/>
      <c r="I129" s="536"/>
      <c r="J129" s="536"/>
      <c r="K129" s="536"/>
      <c r="L129" s="536"/>
      <c r="M129" s="537"/>
      <c r="N129" s="1155"/>
      <c r="O129" s="1155"/>
      <c r="P129" s="2632"/>
      <c r="Q129" s="504"/>
    </row>
    <row r="130" spans="1:17" ht="15" hidden="1" thickTop="1">
      <c r="A130" s="599"/>
      <c r="B130" s="546">
        <f>B46</f>
        <v>0</v>
      </c>
      <c r="C130" s="554"/>
      <c r="D130" s="554"/>
      <c r="E130" s="554"/>
      <c r="F130" s="554"/>
      <c r="G130" s="587"/>
      <c r="H130" s="587"/>
      <c r="I130" s="587"/>
      <c r="J130" s="587"/>
      <c r="K130" s="523"/>
      <c r="L130" s="524"/>
      <c r="M130" s="590"/>
      <c r="N130" s="1154"/>
      <c r="O130" s="1154"/>
      <c r="P130" s="2632"/>
      <c r="Q130" s="504"/>
    </row>
    <row r="131" spans="1:17" ht="15.75" hidden="1" thickBot="1">
      <c r="A131" s="2638"/>
      <c r="B131" s="569"/>
      <c r="C131" s="570"/>
      <c r="D131" s="570"/>
      <c r="E131" s="570"/>
      <c r="F131" s="570"/>
      <c r="G131" s="591"/>
      <c r="H131" s="591"/>
      <c r="I131" s="591"/>
      <c r="J131" s="591"/>
      <c r="K131" s="591"/>
      <c r="L131" s="591"/>
      <c r="M131" s="592"/>
      <c r="N131" s="1155"/>
      <c r="O131" s="1155"/>
      <c r="P131" s="2632"/>
      <c r="Q131" s="504"/>
    </row>
    <row r="132" spans="1:17" ht="15" thickTop="1"/>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D1" sqref="D1"/>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1"/>
      <c r="C1" s="1839" t="s">
        <v>4021</v>
      </c>
      <c r="D1" s="1822" t="s">
        <v>70</v>
      </c>
      <c r="E1" s="1823" t="s">
        <v>1387</v>
      </c>
      <c r="F1" s="1285">
        <f ca="1">J53</f>
        <v>36.049999999999997</v>
      </c>
      <c r="G1" s="1838">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f ca="1">C40+J29+L46</f>
        <v>3151</v>
      </c>
      <c r="C2" s="1847" t="s">
        <v>1516</v>
      </c>
      <c r="D2" s="1847"/>
      <c r="E2" s="1848"/>
      <c r="F2" s="1849"/>
      <c r="G2" s="1850"/>
      <c r="H2" s="1842"/>
      <c r="I2" s="1842"/>
      <c r="J2" s="1842"/>
      <c r="K2" s="1843"/>
      <c r="L2" s="1842"/>
      <c r="M2" s="1842"/>
    </row>
    <row r="3" spans="1:37" ht="18" customHeight="1" thickBot="1">
      <c r="A3" s="1851" t="s">
        <v>1517</v>
      </c>
      <c r="B3" s="1852">
        <f ca="1">IF(ISERROR(B2*10000/F43),0,ROUND(B2*10000/F43,0))</f>
        <v>22829</v>
      </c>
      <c r="C3" s="1847" t="s">
        <v>1518</v>
      </c>
      <c r="D3" s="1847"/>
      <c r="E3" s="1848"/>
      <c r="F3" s="1849"/>
      <c r="G3" s="1850"/>
      <c r="H3" s="743" t="s">
        <v>1588</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4">
        <f ca="1">C6+C10+C12</f>
        <v>205</v>
      </c>
      <c r="D5" s="1824" t="s">
        <v>1402</v>
      </c>
      <c r="E5" s="1295"/>
      <c r="F5" s="1296"/>
      <c r="G5" s="1853"/>
      <c r="H5" s="344">
        <v>1</v>
      </c>
      <c r="I5" s="345" t="s">
        <v>1401</v>
      </c>
      <c r="J5" s="1294">
        <f ca="1">J6+J10+J12</f>
        <v>0</v>
      </c>
      <c r="K5" s="1824" t="s">
        <v>1402</v>
      </c>
      <c r="L5" s="1295"/>
      <c r="M5" s="1296"/>
    </row>
    <row r="6" spans="1:37" ht="18" customHeight="1">
      <c r="A6" s="1293" t="s">
        <v>1035</v>
      </c>
      <c r="B6" s="3231" t="s">
        <v>1403</v>
      </c>
      <c r="C6" s="1298">
        <f ca="1">ROUND(F6*F8*F7*(1-F9)/10000,0)</f>
        <v>204</v>
      </c>
      <c r="D6" s="164" t="s">
        <v>3025</v>
      </c>
      <c r="E6" s="347" t="s">
        <v>1405</v>
      </c>
      <c r="F6" s="348">
        <f ca="1">INDIRECT("'数据-取费表'!u"&amp;$G$1)</f>
        <v>4.5</v>
      </c>
      <c r="G6" s="1853"/>
      <c r="H6" s="1293" t="s">
        <v>1035</v>
      </c>
      <c r="I6" s="3231" t="s">
        <v>1403</v>
      </c>
      <c r="J6" s="346">
        <f ca="1">ROUND(M6*M8*M7*(1-M9)/10000,0)</f>
        <v>0</v>
      </c>
      <c r="K6" s="164" t="s">
        <v>3024</v>
      </c>
      <c r="L6" s="347" t="s">
        <v>1405</v>
      </c>
      <c r="M6" s="348">
        <f ca="1">INDIRECT("'数据-取费表'!z"&amp;$G$1)</f>
        <v>0</v>
      </c>
    </row>
    <row r="7" spans="1:37" ht="18" customHeight="1">
      <c r="A7" s="1297"/>
      <c r="B7" s="3232"/>
      <c r="C7" s="1299"/>
      <c r="D7" s="352"/>
      <c r="E7" s="1300" t="s">
        <v>1406</v>
      </c>
      <c r="F7" s="348">
        <f ca="1">IF(INDIRECT("'数据-取费表'!ah"&amp;$G$1)="",INDIRECT("'数据-取费表'!k"&amp;$G$1),INDIRECT("'数据-取费表'!ah"&amp;$G$1))</f>
        <v>1380.28</v>
      </c>
      <c r="G7" s="1853"/>
      <c r="H7" s="349"/>
      <c r="I7" s="3232"/>
      <c r="J7" s="351"/>
      <c r="K7" s="352"/>
      <c r="L7" s="347" t="s">
        <v>1406</v>
      </c>
      <c r="M7" s="348">
        <f ca="1">F7</f>
        <v>1380.28</v>
      </c>
    </row>
    <row r="8" spans="1:37" ht="18" customHeight="1">
      <c r="A8" s="349"/>
      <c r="B8" s="3232"/>
      <c r="C8" s="351"/>
      <c r="D8" s="352"/>
      <c r="E8" s="347" t="s">
        <v>1407</v>
      </c>
      <c r="F8" s="348">
        <f ca="1">INDIRECT("'数据-取费表'!ai"&amp;$G$1)</f>
        <v>365</v>
      </c>
      <c r="G8" s="1853"/>
      <c r="H8" s="349"/>
      <c r="I8" s="3232"/>
      <c r="J8" s="351"/>
      <c r="K8" s="352"/>
      <c r="L8" s="347" t="s">
        <v>1407</v>
      </c>
      <c r="M8" s="348">
        <f ca="1">INDIRECT("'数据-取费表'!ai"&amp;$G$1)</f>
        <v>365</v>
      </c>
    </row>
    <row r="9" spans="1:37" ht="18" customHeight="1">
      <c r="A9" s="349"/>
      <c r="B9" s="3233"/>
      <c r="C9" s="351"/>
      <c r="D9" s="352"/>
      <c r="E9" s="347" t="s">
        <v>1408</v>
      </c>
      <c r="F9" s="357">
        <f ca="1">INDIRECT("'数据-取费表'!w"&amp;$G$1)</f>
        <v>0.1</v>
      </c>
      <c r="G9" s="1853"/>
      <c r="H9" s="349"/>
      <c r="I9" s="3233"/>
      <c r="J9" s="351"/>
      <c r="K9" s="352"/>
      <c r="L9" s="358" t="s">
        <v>1408</v>
      </c>
      <c r="M9" s="359">
        <f ca="1">INDIRECT("'数据-取费表'!ab"&amp;$G$1)</f>
        <v>0</v>
      </c>
    </row>
    <row r="10" spans="1:37" ht="18" customHeight="1">
      <c r="A10" s="1293" t="s">
        <v>1039</v>
      </c>
      <c r="B10" s="1825" t="s">
        <v>1409</v>
      </c>
      <c r="C10" s="361">
        <f ca="1">ROUND(IF(F10="押一",C6/12*F11,IF(F10="押二",C6/12*2*F11,IF(F10="押三",C6/12*3*F11,C11*F11))),0)</f>
        <v>1</v>
      </c>
      <c r="D10" s="1826" t="s">
        <v>3034</v>
      </c>
      <c r="E10" s="358" t="s">
        <v>1410</v>
      </c>
      <c r="F10" s="2981" t="s">
        <v>4072</v>
      </c>
      <c r="G10" s="1853"/>
      <c r="H10" s="1293" t="s">
        <v>1039</v>
      </c>
      <c r="I10" s="1825" t="s">
        <v>1409</v>
      </c>
      <c r="J10" s="346">
        <f ca="1">ROUND(IF(M10="押一",J6/12*M11,IF(M10="押二",J6/12*2*M11,IF(M10="押三",J6/12*3*M11,J11*M11))),0)</f>
        <v>0</v>
      </c>
      <c r="K10" s="1826" t="s">
        <v>3033</v>
      </c>
      <c r="L10" s="358" t="s">
        <v>1410</v>
      </c>
      <c r="M10" s="1368" t="s">
        <v>1411</v>
      </c>
    </row>
    <row r="11" spans="1:37" ht="18" customHeight="1">
      <c r="A11" s="353"/>
      <c r="B11" s="1827" t="s">
        <v>1388</v>
      </c>
      <c r="C11" s="1180"/>
      <c r="D11" s="1828"/>
      <c r="E11" s="358" t="s">
        <v>1412</v>
      </c>
      <c r="F11" s="359">
        <f ca="1">'数据-取费表'!B39</f>
        <v>1.4999999999999999E-2</v>
      </c>
      <c r="G11" s="1853"/>
      <c r="H11" s="1301"/>
      <c r="I11" s="1827" t="s">
        <v>1388</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706</v>
      </c>
      <c r="D13" s="1333" t="s">
        <v>1415</v>
      </c>
      <c r="E13" s="1333" t="s">
        <v>1416</v>
      </c>
      <c r="F13" s="1334">
        <f ca="1">INDIRECT("'数据-取费表'!y"&amp;$G$1)</f>
        <v>0.98</v>
      </c>
      <c r="G13" s="1853"/>
      <c r="H13" s="1331">
        <v>2</v>
      </c>
      <c r="I13" s="1332" t="s">
        <v>1414</v>
      </c>
      <c r="J13" s="1292">
        <f ca="1">ROUND(J14*J15,0)</f>
        <v>0</v>
      </c>
      <c r="K13" s="1339" t="s">
        <v>1415</v>
      </c>
      <c r="L13" s="1854"/>
      <c r="M13" s="1855"/>
    </row>
    <row r="14" spans="1:37" ht="18" customHeight="1">
      <c r="A14" s="1203" t="s">
        <v>1034</v>
      </c>
      <c r="B14" s="347" t="s">
        <v>1417</v>
      </c>
      <c r="C14" s="363">
        <f ca="1">INDIRECT("'数据-取费表'!m"&amp;$G$1)+INDIRECT("'数据-取费表'!t"&amp;$G$1)</f>
        <v>483</v>
      </c>
      <c r="D14" s="1802" t="s">
        <v>1418</v>
      </c>
      <c r="E14" s="1796"/>
      <c r="F14" s="364"/>
      <c r="G14" s="1853"/>
      <c r="H14" s="1203" t="s">
        <v>1035</v>
      </c>
      <c r="I14" s="347" t="s">
        <v>1419</v>
      </c>
      <c r="J14" s="24">
        <f ca="1">C29</f>
        <v>720</v>
      </c>
      <c r="K14" s="15"/>
      <c r="L14" s="981"/>
      <c r="M14" s="982"/>
    </row>
    <row r="15" spans="1:37" s="1860" customFormat="1" ht="18" customHeight="1" thickBot="1">
      <c r="A15" s="1203" t="s">
        <v>1036</v>
      </c>
      <c r="B15" s="347" t="s">
        <v>1420</v>
      </c>
      <c r="C15" s="24">
        <f ca="1">ROUND(C14*F15,0)</f>
        <v>14</v>
      </c>
      <c r="D15" s="365" t="s">
        <v>1421</v>
      </c>
      <c r="E15" s="365" t="s">
        <v>1422</v>
      </c>
      <c r="F15" s="366">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ROUND(INDIRECT("'数据-取费表'!m"&amp;$G$1)*F16,0)</f>
        <v>0</v>
      </c>
      <c r="D16" s="347" t="s">
        <v>1421</v>
      </c>
      <c r="E16" s="347" t="s">
        <v>1422</v>
      </c>
      <c r="F16" s="367">
        <f ca="1">IF(INDIRECT("'数据-取费表'!c"&amp;$G$1)="住宅",'数据-取费表'!B34,0)</f>
        <v>0</v>
      </c>
      <c r="G16" s="1853"/>
      <c r="H16" s="1331" t="s">
        <v>1030</v>
      </c>
      <c r="I16" s="1332" t="s">
        <v>1424</v>
      </c>
      <c r="J16" s="355">
        <f ca="1">ROUND(J17+J22+J23+J24,0)</f>
        <v>26</v>
      </c>
      <c r="K16" s="1339" t="s">
        <v>1425</v>
      </c>
      <c r="L16" s="1340"/>
      <c r="M16" s="1296"/>
    </row>
    <row r="17" spans="1:37" s="1860" customFormat="1" ht="18" customHeight="1">
      <c r="A17" s="1203" t="s">
        <v>1390</v>
      </c>
      <c r="B17" s="347" t="s">
        <v>1426</v>
      </c>
      <c r="C17" s="24">
        <f ca="1">ROUND(F17*(F43+INDIRECT("'数据-取费表'!S"&amp;$G$1))/10000,0)</f>
        <v>28</v>
      </c>
      <c r="D17" s="347" t="s">
        <v>1427</v>
      </c>
      <c r="E17" s="347" t="s">
        <v>1428</v>
      </c>
      <c r="F17" s="26">
        <f>'数据-取费表'!B35</f>
        <v>200</v>
      </c>
      <c r="G17" s="1856"/>
      <c r="H17" s="1203" t="s">
        <v>1035</v>
      </c>
      <c r="I17" s="347" t="s">
        <v>1429</v>
      </c>
      <c r="J17" s="24">
        <f ca="1">ROUND(IF(项目基本情况!B11="自然人",J5*M17,J18+J19+J20),1)</f>
        <v>15.6</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7</v>
      </c>
      <c r="D18" s="347" t="s">
        <v>1421</v>
      </c>
      <c r="E18" s="347" t="s">
        <v>1422</v>
      </c>
      <c r="F18" s="367">
        <f>'数据-取费表'!B36</f>
        <v>1.4999999999999999E-2</v>
      </c>
      <c r="G18" s="1856"/>
      <c r="H18" s="1203" t="s">
        <v>1034</v>
      </c>
      <c r="I18" s="347" t="s">
        <v>1433</v>
      </c>
      <c r="J18" s="24">
        <f ca="1">ROUND(J5*M18/(1+'数据-取费表'!C42),2)</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532</v>
      </c>
      <c r="D19" s="140" t="s">
        <v>1436</v>
      </c>
      <c r="E19" s="1820"/>
      <c r="F19" s="26"/>
      <c r="G19" s="1853"/>
      <c r="H19" s="1203" t="s">
        <v>1036</v>
      </c>
      <c r="I19" s="347" t="s">
        <v>1437</v>
      </c>
      <c r="J19" s="24">
        <f ca="1">IF(K19="按租金收入计税",ROUND(J5*M19,2),ROUND(C29*M19*0.7,2))</f>
        <v>6.05</v>
      </c>
      <c r="K19" s="1830" t="s">
        <v>1438</v>
      </c>
      <c r="L19" s="347" t="s">
        <v>1422</v>
      </c>
      <c r="M19" s="367">
        <f>IF(K19="按租金收入计税",'数据-取费表'!B51,'数据-取费表'!B50)</f>
        <v>1.2E-2</v>
      </c>
    </row>
    <row r="20" spans="1:37" s="1860" customFormat="1" ht="18" customHeight="1">
      <c r="A20" s="1203" t="s">
        <v>1039</v>
      </c>
      <c r="B20" s="347" t="s">
        <v>1439</v>
      </c>
      <c r="C20" s="24">
        <f ca="1">ROUND(C19*F20,0)</f>
        <v>11</v>
      </c>
      <c r="D20" s="369" t="s">
        <v>1440</v>
      </c>
      <c r="E20" s="347" t="s">
        <v>1422</v>
      </c>
      <c r="F20" s="367">
        <f>'数据-取费表'!B37</f>
        <v>0.02</v>
      </c>
      <c r="G20" s="1856"/>
      <c r="H20" s="1203" t="s">
        <v>1389</v>
      </c>
      <c r="I20" s="164" t="s">
        <v>1441</v>
      </c>
      <c r="J20" s="25">
        <f ca="1">ROUND(M20*M21/10000,2)</f>
        <v>9.5</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18</v>
      </c>
      <c r="D21" s="369" t="s">
        <v>1445</v>
      </c>
      <c r="E21" s="347" t="s">
        <v>1446</v>
      </c>
      <c r="F21" s="367">
        <f>'数据-取费表'!B38</f>
        <v>0.02</v>
      </c>
      <c r="G21" s="1856"/>
      <c r="H21" s="372"/>
      <c r="I21" s="356"/>
      <c r="J21" s="29"/>
      <c r="K21" s="373"/>
      <c r="L21" s="347" t="s">
        <v>1447</v>
      </c>
      <c r="M21" s="348">
        <f ca="1">INDIRECT("'数据-取费表'!r"&amp;$G$1)</f>
        <v>6332.52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单利计息。建造成本、管理费用、销售费用产生的利息。</v>
      </c>
      <c r="E22" s="1820"/>
      <c r="F22" s="26"/>
      <c r="G22" s="1853"/>
      <c r="H22" s="1203" t="s">
        <v>1039</v>
      </c>
      <c r="I22" s="347" t="s">
        <v>1449</v>
      </c>
      <c r="J22" s="24">
        <f ca="1">ROUND(J14*M22,1)</f>
        <v>10.8</v>
      </c>
      <c r="K22" s="1800" t="s">
        <v>1450</v>
      </c>
      <c r="L22" s="347" t="s">
        <v>1422</v>
      </c>
      <c r="M22" s="374">
        <f ca="1">INDIRECT("'数据-取费表'!Ak"&amp;$G$1)</f>
        <v>1.4999999999999999E-2</v>
      </c>
    </row>
    <row r="23" spans="1:37" s="1860" customFormat="1" ht="18" customHeight="1">
      <c r="A23" s="1203" t="s">
        <v>1034</v>
      </c>
      <c r="B23" s="347" t="s">
        <v>1451</v>
      </c>
      <c r="C23" s="24">
        <f ca="1">IF('数据-取费表'!B22&lt;=1,ROUND(C19*F24*F23/2,0)+ROUND(C20*F24*F23/2,0),ROUND(C19*(POWER((1+F24),F23/2)-1),0)+ROUND(C20*(POWER((1+F24),F23/2)-1),0))</f>
        <v>12</v>
      </c>
      <c r="D23" s="375" t="str">
        <f>IF(F23&lt;=1,"(建造成本+管理费用)×利率×(建设周期÷2)","(建造成本+管理费用)×((1+利率)^(建设周期÷2)-1)")</f>
        <v>(建造成本+管理费用)×利率×(建设周期÷2)</v>
      </c>
      <c r="E23" s="347" t="s">
        <v>1452</v>
      </c>
      <c r="F23" s="371">
        <f>'数据-取费表'!B20</f>
        <v>1</v>
      </c>
      <c r="G23" s="1856"/>
      <c r="H23" s="1203" t="s">
        <v>1075</v>
      </c>
      <c r="I23" s="347" t="s">
        <v>1453</v>
      </c>
      <c r="J23" s="24">
        <f ca="1">ROUND(J13*M23,1)</f>
        <v>0</v>
      </c>
      <c r="K23" s="1800" t="s">
        <v>1454</v>
      </c>
      <c r="L23" s="347" t="s">
        <v>1455</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6"/>
      <c r="H24" s="1341" t="s">
        <v>1393</v>
      </c>
      <c r="I24" s="1342" t="s">
        <v>1439</v>
      </c>
      <c r="J24" s="1343">
        <f ca="1">ROUND(J5*M24,1)</f>
        <v>0</v>
      </c>
      <c r="K24" s="1344" t="s">
        <v>1459</v>
      </c>
      <c r="L24" s="1342" t="s">
        <v>1455</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7" t="s">
        <v>1461</v>
      </c>
      <c r="C25" s="24"/>
      <c r="D25" s="140" t="s">
        <v>1462</v>
      </c>
      <c r="E25" s="1820"/>
      <c r="F25" s="26"/>
      <c r="G25" s="1853"/>
      <c r="H25" s="1331" t="s">
        <v>1031</v>
      </c>
      <c r="I25" s="1346" t="s">
        <v>1463</v>
      </c>
      <c r="J25" s="355">
        <f ca="1">J5-J16</f>
        <v>-26</v>
      </c>
      <c r="K25" s="1347" t="s">
        <v>1464</v>
      </c>
      <c r="L25" s="1348"/>
      <c r="M25" s="1349"/>
    </row>
    <row r="26" spans="1:37">
      <c r="A26" s="1203" t="s">
        <v>1034</v>
      </c>
      <c r="B26" s="347" t="s">
        <v>1465</v>
      </c>
      <c r="C26" s="24">
        <f ca="1">ROUND((C19+C20)*F26,0)</f>
        <v>109</v>
      </c>
      <c r="D26" s="369" t="s">
        <v>1466</v>
      </c>
      <c r="E26" s="358" t="s">
        <v>1467</v>
      </c>
      <c r="F26" s="357">
        <f ca="1">INDIRECT("'数据-取费表'!q"&amp;$G$1)</f>
        <v>0.2</v>
      </c>
      <c r="G26" s="1853"/>
      <c r="H26" s="344" t="s">
        <v>1032</v>
      </c>
      <c r="I26" s="345" t="s">
        <v>1468</v>
      </c>
      <c r="J26" s="346">
        <f ca="1">IF(J5&lt;&gt;0,ROUND(J25*(1-((1+M28)/(1+M26))^M27)/(M26-M28),0),0)</f>
        <v>0</v>
      </c>
      <c r="K26" s="370" t="s">
        <v>1469</v>
      </c>
      <c r="L26" s="347" t="s">
        <v>1470</v>
      </c>
      <c r="M26" s="357">
        <f ca="1">INDIRECT("'数据-取费表'!I"&amp;$G$1)</f>
        <v>0.06</v>
      </c>
    </row>
    <row r="27" spans="1:37" ht="18" customHeight="1">
      <c r="A27" s="1203" t="s">
        <v>1036</v>
      </c>
      <c r="B27" s="347" t="s">
        <v>1471</v>
      </c>
      <c r="C27" s="24">
        <f ca="1">ROUND(F21*F26,4)</f>
        <v>4.0000000000000001E-3</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720</v>
      </c>
      <c r="D29" s="1344"/>
      <c r="E29" s="1342"/>
      <c r="F29" s="1345"/>
      <c r="G29" s="1856"/>
      <c r="H29" s="380" t="s">
        <v>1033</v>
      </c>
      <c r="I29" s="381" t="s">
        <v>1479</v>
      </c>
      <c r="J29" s="382">
        <f ca="1">ROUND(J26/(1+F40)^F41,0)</f>
        <v>0</v>
      </c>
      <c r="K29" s="383" t="s">
        <v>1480</v>
      </c>
      <c r="L29" s="384"/>
      <c r="M29" s="385">
        <f ca="1">INDIRECT("'数据-取费表'!k"&amp;$G$1)</f>
        <v>1380.28</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59</v>
      </c>
      <c r="D30" s="1339" t="s">
        <v>1425</v>
      </c>
      <c r="E30" s="1340"/>
      <c r="F30" s="1296"/>
      <c r="G30" s="1853"/>
      <c r="H30" s="744"/>
      <c r="I30" s="745"/>
      <c r="J30" s="746"/>
      <c r="K30" s="747"/>
      <c r="L30" s="748"/>
      <c r="M30" s="749"/>
    </row>
    <row r="31" spans="1:37" ht="18" customHeight="1">
      <c r="A31" s="1203" t="s">
        <v>1035</v>
      </c>
      <c r="B31" s="347" t="s">
        <v>1429</v>
      </c>
      <c r="C31" s="24">
        <f ca="1">ROUND(IF(项目基本情况!B11="自然人",C5*F31,C32+C33+C34),1)</f>
        <v>45</v>
      </c>
      <c r="D31" s="1802" t="s">
        <v>1430</v>
      </c>
      <c r="E31" s="1800"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f ca="1">IF(项目基本情况!B11="自然人","——",ROUND(C5*F32/(1+'数据-取费表'!C42),2))</f>
        <v>10.93</v>
      </c>
      <c r="D32" s="1800" t="s">
        <v>1434</v>
      </c>
      <c r="E32" s="347" t="s">
        <v>1422</v>
      </c>
      <c r="F32" s="377">
        <f>'数据-取费表'!B41</f>
        <v>5.6000000000000001E-2</v>
      </c>
      <c r="G32" s="1853"/>
      <c r="H32" s="744"/>
      <c r="I32" s="745"/>
      <c r="J32" s="746"/>
      <c r="K32" s="747"/>
      <c r="L32" s="748"/>
      <c r="M32" s="749"/>
    </row>
    <row r="33" spans="1:18" ht="18" customHeight="1">
      <c r="A33" s="1203" t="s">
        <v>1036</v>
      </c>
      <c r="B33" s="347" t="s">
        <v>1437</v>
      </c>
      <c r="C33" s="24">
        <f ca="1">IF(项目基本情况!B11="自然人","——",IF(D33="按租金收入计税",ROUND(C5*F33,2),IF(D33="按房产原值计税",ROUND(C29*F33*0.7,2),INDIRECT("'数据-取费表'!Aj"&amp;$G$1))))</f>
        <v>24.6</v>
      </c>
      <c r="D33" s="1830" t="s">
        <v>3095</v>
      </c>
      <c r="E33" s="347" t="s">
        <v>1422</v>
      </c>
      <c r="F33" s="367">
        <f>IF(D33="按票据","——",IF(D33="按租金收入计税",'数据-取费表'!B51,'数据-取费表'!B50))</f>
        <v>0.12</v>
      </c>
      <c r="G33" s="1853"/>
      <c r="H33" s="1861"/>
      <c r="I33" s="1862"/>
      <c r="J33" s="1863"/>
      <c r="K33" s="1864"/>
      <c r="L33" s="1861"/>
      <c r="M33" s="1861"/>
    </row>
    <row r="34" spans="1:18" ht="18" customHeight="1">
      <c r="A34" s="1293" t="s">
        <v>1389</v>
      </c>
      <c r="B34" s="164" t="s">
        <v>1441</v>
      </c>
      <c r="C34" s="25">
        <f ca="1">IF(项目基本情况!B11="自然人","——",ROUND(F34*F35/10000,2))</f>
        <v>9.5</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f ca="1">INDIRECT("'数据-取费表'!r"&amp;$G$1)</f>
        <v>6332.52</v>
      </c>
      <c r="G35" s="1853"/>
      <c r="H35" s="744"/>
      <c r="I35" s="1862"/>
      <c r="J35" s="1863"/>
      <c r="K35" s="1864"/>
      <c r="L35" s="1861"/>
      <c r="M35" s="1861"/>
    </row>
    <row r="36" spans="1:18" ht="18" customHeight="1">
      <c r="A36" s="1354" t="s">
        <v>1039</v>
      </c>
      <c r="B36" s="347" t="s">
        <v>1449</v>
      </c>
      <c r="C36" s="24">
        <f ca="1">ROUND(C29*F36,1)</f>
        <v>10.8</v>
      </c>
      <c r="D36" s="1800" t="s">
        <v>1482</v>
      </c>
      <c r="E36" s="347" t="s">
        <v>1422</v>
      </c>
      <c r="F36" s="374">
        <f ca="1">INDIRECT("'数据-取费表'!Ak"&amp;$G$1)</f>
        <v>1.4999999999999999E-2</v>
      </c>
      <c r="G36" s="1853"/>
      <c r="H36" s="1861"/>
      <c r="I36" s="1862"/>
      <c r="J36" s="1863"/>
      <c r="K36" s="750"/>
      <c r="L36" s="1861"/>
      <c r="M36" s="1861"/>
    </row>
    <row r="37" spans="1:18" ht="18" customHeight="1">
      <c r="A37" s="1203" t="s">
        <v>1075</v>
      </c>
      <c r="B37" s="347" t="s">
        <v>1453</v>
      </c>
      <c r="C37" s="24">
        <f ca="1">ROUND(C13*F37,1)</f>
        <v>1.1000000000000001</v>
      </c>
      <c r="D37" s="1800" t="s">
        <v>1454</v>
      </c>
      <c r="E37" s="347" t="s">
        <v>1455</v>
      </c>
      <c r="F37" s="376">
        <f ca="1">INDIRECT("'数据-取费表'!Al"&amp;$G$1)</f>
        <v>1.5E-3</v>
      </c>
      <c r="G37" s="1853"/>
      <c r="H37" s="1861"/>
      <c r="I37" s="1862"/>
      <c r="J37" s="1863"/>
      <c r="K37" s="750"/>
      <c r="L37" s="1861"/>
      <c r="M37" s="1861"/>
    </row>
    <row r="38" spans="1:18" ht="18" customHeight="1" thickBot="1">
      <c r="A38" s="1341" t="s">
        <v>1393</v>
      </c>
      <c r="B38" s="1342" t="s">
        <v>1439</v>
      </c>
      <c r="C38" s="1343">
        <f ca="1">ROUND(C5*F38,1)</f>
        <v>2.1</v>
      </c>
      <c r="D38" s="1344" t="s">
        <v>1459</v>
      </c>
      <c r="E38" s="1342" t="s">
        <v>1455</v>
      </c>
      <c r="F38" s="1338">
        <f ca="1">INDIRECT("'数据-取费表'!Am"&amp;$G$1)</f>
        <v>0.01</v>
      </c>
      <c r="G38" s="1853"/>
      <c r="H38" s="1861"/>
      <c r="I38" s="1862"/>
      <c r="J38" s="1863"/>
      <c r="K38" s="1867"/>
      <c r="L38" s="1861"/>
      <c r="M38" s="1861"/>
    </row>
    <row r="39" spans="1:18" ht="24.6" customHeight="1" thickTop="1">
      <c r="A39" s="1331" t="s">
        <v>1031</v>
      </c>
      <c r="B39" s="1346" t="s">
        <v>1483</v>
      </c>
      <c r="C39" s="355">
        <f ca="1">C5-C30</f>
        <v>146</v>
      </c>
      <c r="D39" s="1347" t="s">
        <v>1484</v>
      </c>
      <c r="E39" s="1348"/>
      <c r="F39" s="1349"/>
      <c r="G39" s="1853"/>
      <c r="H39" s="1861"/>
      <c r="I39" s="1862"/>
      <c r="J39" s="1863"/>
      <c r="K39" s="1867"/>
      <c r="L39" s="1861"/>
      <c r="M39" s="1861"/>
    </row>
    <row r="40" spans="1:18" ht="18" customHeight="1">
      <c r="A40" s="344" t="s">
        <v>1032</v>
      </c>
      <c r="B40" s="345" t="s">
        <v>1485</v>
      </c>
      <c r="C40" s="346">
        <f ca="1">ROUND(C39*(1-((1+F42)/(1+F40))^F41)/(F40-F42),0)</f>
        <v>3138</v>
      </c>
      <c r="D40" s="370" t="s">
        <v>1469</v>
      </c>
      <c r="E40" s="347" t="s">
        <v>1470</v>
      </c>
      <c r="F40" s="357">
        <f ca="1">INDIRECT("'数据-取费表'!I"&amp;$G$1)</f>
        <v>0.06</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36.049999999999997</v>
      </c>
      <c r="G41" s="1853"/>
      <c r="H41" s="731"/>
      <c r="I41" s="1862"/>
      <c r="J41" s="1863"/>
      <c r="K41" s="750"/>
      <c r="L41" s="731"/>
      <c r="M41" s="731"/>
    </row>
    <row r="42" spans="1:18" ht="18" customHeight="1">
      <c r="A42" s="353"/>
      <c r="B42" s="354"/>
      <c r="C42" s="355"/>
      <c r="D42" s="373"/>
      <c r="E42" s="347" t="s">
        <v>1477</v>
      </c>
      <c r="F42" s="357">
        <f ca="1">INDIRECT("'数据-取费表'!v"&amp;$G$1)</f>
        <v>0.03</v>
      </c>
      <c r="G42" s="1853"/>
      <c r="H42" s="731"/>
      <c r="I42" s="1862"/>
      <c r="J42" s="1863"/>
      <c r="K42" s="750"/>
      <c r="L42" s="731"/>
      <c r="M42" s="731"/>
    </row>
    <row r="43" spans="1:18" ht="18" customHeight="1" thickBot="1">
      <c r="A43" s="380" t="s">
        <v>1033</v>
      </c>
      <c r="B43" s="381" t="s">
        <v>1487</v>
      </c>
      <c r="C43" s="382">
        <f ca="1">ROUND(C40*10000/F43,0)</f>
        <v>22735</v>
      </c>
      <c r="D43" s="383" t="s">
        <v>1488</v>
      </c>
      <c r="E43" s="384" t="s">
        <v>1489</v>
      </c>
      <c r="F43" s="385">
        <f ca="1">INDIRECT("'数据-取费表'!k"&amp;$G$1)</f>
        <v>1380.28</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f ca="1">C68-C40</f>
        <v>-4337</v>
      </c>
      <c r="D46" s="1874" t="str">
        <f>C2</f>
        <v>万元</v>
      </c>
      <c r="E46" s="1868"/>
      <c r="F46" s="1868"/>
      <c r="I46" s="1875" t="s">
        <v>1521</v>
      </c>
      <c r="J46" s="1876"/>
      <c r="K46" s="1877"/>
      <c r="L46" s="1878">
        <f ca="1">IF(M47="住宅",0,IF(L48&gt;J51,L60,J60))</f>
        <v>13</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3093</v>
      </c>
      <c r="K47" s="1884" t="s">
        <v>1527</v>
      </c>
      <c r="L47" s="1885">
        <f ca="1">INDIRECT("'数据-取费表'!d"&amp;$G$1)</f>
        <v>40</v>
      </c>
      <c r="M47" s="1840" t="str">
        <f>IF(ISNUMBER(FIND("住宅",C1)),"住宅","非住宅")</f>
        <v>非住宅</v>
      </c>
      <c r="O47" s="1886" t="s">
        <v>1040</v>
      </c>
      <c r="P47" s="1887" t="s">
        <v>1528</v>
      </c>
      <c r="Q47" s="1888">
        <f ca="1">C40+J29</f>
        <v>3138</v>
      </c>
      <c r="R47" s="1888" t="s">
        <v>1529</v>
      </c>
    </row>
    <row r="48" spans="1:18" s="1844" customFormat="1" ht="28.5" thickBot="1">
      <c r="A48" s="1362" t="s">
        <v>1135</v>
      </c>
      <c r="B48" s="345" t="s">
        <v>1401</v>
      </c>
      <c r="C48" s="1819">
        <f ca="1">C49+C53+C55</f>
        <v>0</v>
      </c>
      <c r="D48" s="1364"/>
      <c r="E48" s="1365"/>
      <c r="F48" s="1183"/>
      <c r="G48" s="791"/>
      <c r="H48" s="792"/>
      <c r="I48" s="1889" t="s">
        <v>1530</v>
      </c>
      <c r="J48" s="1890" t="s">
        <v>3094</v>
      </c>
      <c r="K48" s="1891" t="s">
        <v>1531</v>
      </c>
      <c r="L48" s="1892">
        <f ca="1">INDIRECT("'数据-取费表'!f"&amp;$G$1)</f>
        <v>36.049999999999997</v>
      </c>
      <c r="O48" s="1886" t="s">
        <v>1041</v>
      </c>
      <c r="P48" s="1887" t="s">
        <v>1532</v>
      </c>
      <c r="Q48" s="1888">
        <f ca="1">J60</f>
        <v>13</v>
      </c>
      <c r="R48" s="1888" t="s">
        <v>1533</v>
      </c>
    </row>
    <row r="49" spans="1:18" s="1844" customFormat="1" ht="13.5" thickBot="1">
      <c r="A49" s="1196" t="s">
        <v>1136</v>
      </c>
      <c r="B49" s="1831" t="s">
        <v>1490</v>
      </c>
      <c r="C49" s="1366">
        <f ca="1">ROUND(F49*F51*F50*(1-F52)/10000,0)</f>
        <v>0</v>
      </c>
      <c r="D49" s="1278" t="s">
        <v>3026</v>
      </c>
      <c r="E49" s="1832" t="s">
        <v>1491</v>
      </c>
      <c r="F49" s="1283"/>
      <c r="G49" s="1893"/>
      <c r="H49" s="792"/>
      <c r="I49" s="1889" t="s">
        <v>1534</v>
      </c>
      <c r="J49" s="1894">
        <v>2017</v>
      </c>
      <c r="K49" s="1891" t="s">
        <v>1535</v>
      </c>
      <c r="L49" s="1895"/>
      <c r="O49" s="1896" t="s">
        <v>1042</v>
      </c>
      <c r="P49" s="1887" t="s">
        <v>1536</v>
      </c>
      <c r="Q49" s="1888">
        <f ca="1">C29</f>
        <v>720</v>
      </c>
      <c r="R49" s="1888" t="s">
        <v>1529</v>
      </c>
    </row>
    <row r="50" spans="1:18" s="1844" customFormat="1" ht="13.5" thickBot="1">
      <c r="A50" s="1197"/>
      <c r="B50" s="1200"/>
      <c r="C50" s="1370"/>
      <c r="D50" s="1174"/>
      <c r="E50" s="1279" t="s">
        <v>1406</v>
      </c>
      <c r="F50" s="1280">
        <f ca="1">F7</f>
        <v>1380.28</v>
      </c>
      <c r="H50" s="792"/>
      <c r="I50" s="1889" t="s">
        <v>1537</v>
      </c>
      <c r="J50" s="1897">
        <f>SUMPRODUCT((I63:I65=J47)*(J62:L62=J48)*(J63:L65))</f>
        <v>60</v>
      </c>
      <c r="K50" s="1891" t="s">
        <v>1538</v>
      </c>
      <c r="L50" s="1895"/>
      <c r="M50" s="1898"/>
      <c r="O50" s="1896" t="s">
        <v>1043</v>
      </c>
      <c r="P50" s="1887" t="s">
        <v>1539</v>
      </c>
      <c r="Q50" s="1899">
        <f ca="1">J58</f>
        <v>0.4</v>
      </c>
      <c r="R50" s="1888"/>
    </row>
    <row r="51" spans="1:18" s="1844" customFormat="1" ht="13.5" thickBot="1">
      <c r="A51" s="1198"/>
      <c r="B51" s="1200"/>
      <c r="C51" s="1201"/>
      <c r="D51" s="1174"/>
      <c r="E51" s="1202" t="s">
        <v>1407</v>
      </c>
      <c r="F51" s="348">
        <f ca="1">F8</f>
        <v>365</v>
      </c>
      <c r="I51" s="1900" t="s">
        <v>1540</v>
      </c>
      <c r="J51" s="1901">
        <f>IF(J49="",J50,J49+J50-YEAR('数据-取费表'!B2))</f>
        <v>59</v>
      </c>
      <c r="K51" s="1902" t="s">
        <v>1541</v>
      </c>
      <c r="L51" s="1903">
        <f ca="1">ROUND(-PV(INDIRECT("'数据-取费表'!h"&amp;$G$1),L48,(C39-C13*C76),0),0)</f>
        <v>1424</v>
      </c>
      <c r="M51" s="1904"/>
      <c r="O51" s="1896" t="s">
        <v>1044</v>
      </c>
      <c r="P51" s="1887" t="s">
        <v>1542</v>
      </c>
      <c r="Q51" s="1899">
        <f>J52</f>
        <v>0.09</v>
      </c>
      <c r="R51" s="1888"/>
    </row>
    <row r="52" spans="1:18" s="1844" customFormat="1" ht="13.5" thickBot="1">
      <c r="A52" s="1198"/>
      <c r="B52" s="1200"/>
      <c r="C52" s="1201"/>
      <c r="D52" s="1174"/>
      <c r="E52" s="1202" t="s">
        <v>1408</v>
      </c>
      <c r="F52" s="1277"/>
      <c r="I52" s="1905" t="s">
        <v>1543</v>
      </c>
      <c r="J52" s="1906">
        <v>0.09</v>
      </c>
      <c r="K52" s="1905" t="s">
        <v>1544</v>
      </c>
      <c r="L52" s="1906"/>
      <c r="O52" s="1896" t="s">
        <v>1045</v>
      </c>
      <c r="P52" s="1887" t="s">
        <v>1545</v>
      </c>
      <c r="Q52" s="1888">
        <f ca="1">J53</f>
        <v>36.049999999999997</v>
      </c>
      <c r="R52" s="1888" t="s">
        <v>1546</v>
      </c>
    </row>
    <row r="53" spans="1:18" s="1844" customFormat="1" ht="24.75" thickBot="1">
      <c r="A53" s="1407" t="s">
        <v>1137</v>
      </c>
      <c r="B53" s="1833" t="s">
        <v>1409</v>
      </c>
      <c r="C53" s="361">
        <f ca="1">ROUND(IF(F53="押一",C49/12*F11,IF(F53="押二",C49/12*2*F11,IF(F53="押三",C49/12*3*F11,C54*F11))),0)</f>
        <v>0</v>
      </c>
      <c r="D53" s="1826" t="s">
        <v>3033</v>
      </c>
      <c r="E53" s="358" t="s">
        <v>1410</v>
      </c>
      <c r="F53" s="1368"/>
      <c r="I53" s="1907" t="s">
        <v>1547</v>
      </c>
      <c r="J53" s="1908">
        <f ca="1">IF(M47="住宅",IF(D1="——",MAX(J51,L48),IF(D1="在建（套用方法）",MAX(J51,L48-'数据-取费表'!B24),MAX(J51,L48-'数据-取费表'!B20))),IF(D1="——",MIN(J51,L48),IF(D1="在建（套用方法）",MIN(J51,L48-'数据-取费表'!B24),IF(D1="土地（套用方法）",MIN(J51,L48-'数据-取费表'!B20)))))</f>
        <v>36.049999999999997</v>
      </c>
      <c r="K53" s="3229" t="s">
        <v>1548</v>
      </c>
      <c r="L53" s="3230"/>
      <c r="O53" s="1886" t="s">
        <v>1046</v>
      </c>
      <c r="P53" s="1887" t="s">
        <v>1549</v>
      </c>
      <c r="Q53" s="1888">
        <f ca="1">Q47+Q48</f>
        <v>3151</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f ca="1">ROUND(IF(J47="钢混",J57/J50,1-(1-2%)*(J50-J57)/J50),3)</f>
        <v>0.38300000000000001</v>
      </c>
      <c r="K55" s="1914" t="s">
        <v>1552</v>
      </c>
      <c r="L55" s="1915" t="s">
        <v>1553</v>
      </c>
      <c r="O55" s="1879" t="s">
        <v>1522</v>
      </c>
      <c r="P55" s="1880" t="s">
        <v>1523</v>
      </c>
      <c r="Q55" s="1881" t="s">
        <v>1524</v>
      </c>
      <c r="R55" s="1881" t="s">
        <v>1525</v>
      </c>
    </row>
    <row r="56" spans="1:18" s="1844" customFormat="1" ht="25.5" thickTop="1" thickBot="1">
      <c r="A56" s="1178">
        <v>2</v>
      </c>
      <c r="B56" s="1179" t="s">
        <v>1414</v>
      </c>
      <c r="C56" s="276">
        <f ca="1">C13</f>
        <v>706</v>
      </c>
      <c r="D56" s="1916"/>
      <c r="E56" s="1917"/>
      <c r="F56" s="1909"/>
      <c r="I56" s="1918" t="s">
        <v>1554</v>
      </c>
      <c r="J56" s="1919" t="s">
        <v>3082</v>
      </c>
      <c r="K56" s="1889" t="s">
        <v>1555</v>
      </c>
      <c r="L56" s="1892" t="str">
        <f ca="1">IF(L48&lt;J51,"——",L48-J53)</f>
        <v>——</v>
      </c>
      <c r="O56" s="1886" t="s">
        <v>1040</v>
      </c>
      <c r="P56" s="1887" t="s">
        <v>1528</v>
      </c>
      <c r="Q56" s="1888">
        <f ca="1">C40+J29</f>
        <v>3138</v>
      </c>
      <c r="R56" s="1888" t="s">
        <v>1529</v>
      </c>
    </row>
    <row r="57" spans="1:18" s="1844" customFormat="1" ht="24.75" thickBot="1">
      <c r="A57" s="1920"/>
      <c r="B57" s="1171" t="s">
        <v>1478</v>
      </c>
      <c r="C57" s="282">
        <f ca="1">C29</f>
        <v>720</v>
      </c>
      <c r="D57" s="1921"/>
      <c r="E57" s="1922"/>
      <c r="F57" s="1923"/>
      <c r="I57" s="1924" t="s">
        <v>1556</v>
      </c>
      <c r="J57" s="1925">
        <f ca="1">IF(OR(M47="住宅",J51&lt;L48,J56="是"),"——",J51-L48)</f>
        <v>22.950000000000003</v>
      </c>
      <c r="K57" s="1889" t="s">
        <v>1557</v>
      </c>
      <c r="L57" s="1892" t="str">
        <f ca="1">IF(L48&lt;J51,"——",IF(L55="比较法",L49,IF(L55="基准地价",L50,L51)))</f>
        <v>——</v>
      </c>
      <c r="O57" s="1886" t="s">
        <v>1041</v>
      </c>
      <c r="P57" s="1887" t="s">
        <v>1558</v>
      </c>
      <c r="Q57" s="1888">
        <f ca="1">L60</f>
        <v>0</v>
      </c>
      <c r="R57" s="1888" t="s">
        <v>1559</v>
      </c>
    </row>
    <row r="58" spans="1:18" s="1844" customFormat="1" ht="24.75" thickBot="1">
      <c r="A58" s="360" t="s">
        <v>1030</v>
      </c>
      <c r="B58" s="1179" t="s">
        <v>1424</v>
      </c>
      <c r="C58" s="361">
        <f ca="1">ROUND(C59+C64+C65+C66,0)</f>
        <v>82</v>
      </c>
      <c r="D58" s="1181" t="s">
        <v>1425</v>
      </c>
      <c r="E58" s="1182"/>
      <c r="F58" s="1183"/>
      <c r="I58" s="1924" t="s">
        <v>1560</v>
      </c>
      <c r="J58" s="1926">
        <f ca="1">IF(J55&lt;0.4,0.4,J55)</f>
        <v>0.4</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ROUND(IF(项目基本情况!B11="自然人",C48*F59,C60+C61+C62),1)</f>
        <v>70</v>
      </c>
      <c r="D59" s="1184" t="s">
        <v>1430</v>
      </c>
      <c r="E59" s="1185" t="s">
        <v>1431</v>
      </c>
      <c r="F59" s="368" t="str">
        <f ca="1">IF(项目基本情况!B11="企业","",IF(INDIRECT("'数据-取费表'!c"&amp;$G$1)="住宅",5%,IF(F49*F50*F51/12/(1+'数据-取费表'!C42)&gt;20000,12%,7%)))</f>
        <v/>
      </c>
      <c r="I59" s="1924" t="s">
        <v>1563</v>
      </c>
      <c r="J59" s="1925">
        <f ca="1">IF(OR(M47="住宅",J51&lt;L48,J56="是"),"——",ROUND(C29*J58,0))</f>
        <v>288</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IF(项目基本情况!B11="自然人","——",ROUND(C48*F60/(1+'数据-取费表'!C42),2))</f>
        <v>0</v>
      </c>
      <c r="D60" s="1185" t="s">
        <v>1434</v>
      </c>
      <c r="E60" s="1171" t="s">
        <v>1422</v>
      </c>
      <c r="F60" s="377">
        <f t="shared" ref="F60:F66" si="0">F32</f>
        <v>5.6000000000000001E-2</v>
      </c>
      <c r="I60" s="1927" t="s">
        <v>1565</v>
      </c>
      <c r="J60" s="1928">
        <f ca="1">IF(OR(M47="住宅",J51&lt;L48,J56="是"),"0",ROUND(J59/(1+J52)^J53,0))</f>
        <v>13</v>
      </c>
      <c r="K60" s="1929" t="s">
        <v>1566</v>
      </c>
      <c r="L60" s="1928">
        <f ca="1">IF(OR(M47="住宅",L48&lt;J51),0,ROUND(L57*(L58/L59-1),0))</f>
        <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IF(项目基本情况!B11="自然人","——",IF(D61="按租金收入计税",ROUND(C48*F61,2),IF(D61="按房产原值计税",ROUND(C57*F61*0.7,2),INDIRECT("'数据-取费表'!Aj"&amp;$G$1))))</f>
        <v>60.48</v>
      </c>
      <c r="D61" s="1830" t="s">
        <v>1438</v>
      </c>
      <c r="E61" s="1171" t="s">
        <v>1494</v>
      </c>
      <c r="F61" s="367">
        <f t="shared" si="0"/>
        <v>0.12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3" t="s">
        <v>1495</v>
      </c>
      <c r="B62" s="1170" t="s">
        <v>1496</v>
      </c>
      <c r="C62" s="25">
        <f ca="1">IF(项目基本情况!B11="自然人","——",ROUND(F62*F63/10000,2))</f>
        <v>9.5</v>
      </c>
      <c r="D62" s="1186" t="s">
        <v>1497</v>
      </c>
      <c r="E62" s="1171" t="s">
        <v>1498</v>
      </c>
      <c r="F62" s="371">
        <f t="shared" si="0"/>
        <v>15</v>
      </c>
      <c r="I62" s="1931" t="s">
        <v>1570</v>
      </c>
      <c r="J62" s="1932" t="s">
        <v>1571</v>
      </c>
      <c r="K62" s="1932" t="s">
        <v>1572</v>
      </c>
      <c r="L62" s="1932" t="s">
        <v>1573</v>
      </c>
      <c r="M62" s="1933" t="s">
        <v>1574</v>
      </c>
      <c r="O62" s="1886" t="s">
        <v>1046</v>
      </c>
      <c r="P62" s="1887" t="s">
        <v>1575</v>
      </c>
      <c r="Q62" s="1888">
        <f ca="1">Q56+Q57</f>
        <v>3138</v>
      </c>
      <c r="R62" s="1888" t="s">
        <v>1047</v>
      </c>
    </row>
    <row r="63" spans="1:18" s="1844" customFormat="1" ht="13.5" thickBot="1">
      <c r="A63" s="372"/>
      <c r="B63" s="1177"/>
      <c r="C63" s="29"/>
      <c r="D63" s="1187"/>
      <c r="E63" s="1171" t="s">
        <v>1499</v>
      </c>
      <c r="F63" s="348">
        <f t="shared" ca="1" si="0"/>
        <v>6332.52</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ROUND(C57*F64,1)</f>
        <v>10.8</v>
      </c>
      <c r="D64" s="1185" t="s">
        <v>1502</v>
      </c>
      <c r="E64" s="1171" t="s">
        <v>1494</v>
      </c>
      <c r="F64" s="374">
        <f t="shared" ca="1" si="0"/>
        <v>1.4999999999999999E-2</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ROUND(C56*F65,1)</f>
        <v>1.1000000000000001</v>
      </c>
      <c r="D65" s="1185" t="s">
        <v>1454</v>
      </c>
      <c r="E65" s="1171" t="s">
        <v>1455</v>
      </c>
      <c r="F65" s="376">
        <f t="shared" ca="1" si="0"/>
        <v>1.5E-3</v>
      </c>
      <c r="I65" s="1931" t="s">
        <v>1579</v>
      </c>
      <c r="J65" s="1932">
        <v>40</v>
      </c>
      <c r="K65" s="1932">
        <v>30</v>
      </c>
      <c r="L65" s="1932">
        <v>50</v>
      </c>
      <c r="M65" s="1934">
        <v>0.02</v>
      </c>
      <c r="O65" s="1886" t="s">
        <v>1040</v>
      </c>
      <c r="P65" s="1887" t="s">
        <v>1580</v>
      </c>
      <c r="Q65" s="1888">
        <f ca="1">C40+J29</f>
        <v>3138</v>
      </c>
      <c r="R65" s="1888" t="s">
        <v>1529</v>
      </c>
    </row>
    <row r="66" spans="1:18" s="1844" customFormat="1" ht="16.5" thickBot="1">
      <c r="A66" s="1203" t="s">
        <v>1504</v>
      </c>
      <c r="B66" s="1171" t="s">
        <v>1439</v>
      </c>
      <c r="C66" s="24">
        <f ca="1">ROUND(C48*F66,1)</f>
        <v>0</v>
      </c>
      <c r="D66" s="1185" t="s">
        <v>1505</v>
      </c>
      <c r="E66" s="1171" t="s">
        <v>1422</v>
      </c>
      <c r="F66" s="357">
        <f t="shared" ca="1" si="0"/>
        <v>0.01</v>
      </c>
      <c r="O66" s="1886" t="s">
        <v>1041</v>
      </c>
      <c r="P66" s="1887" t="s">
        <v>1558</v>
      </c>
      <c r="Q66" s="1888">
        <f ca="1">L60</f>
        <v>0</v>
      </c>
      <c r="R66" s="1888" t="s">
        <v>1581</v>
      </c>
    </row>
    <row r="67" spans="1:18" s="1844" customFormat="1" ht="16.5" thickBot="1">
      <c r="A67" s="1178" t="s">
        <v>1031</v>
      </c>
      <c r="B67" s="1188" t="s">
        <v>1463</v>
      </c>
      <c r="C67" s="361">
        <f ca="1">C48-C58</f>
        <v>-82</v>
      </c>
      <c r="D67" s="1184" t="s">
        <v>1464</v>
      </c>
      <c r="E67" s="1189"/>
      <c r="F67" s="1190"/>
      <c r="O67" s="1896" t="s">
        <v>1042</v>
      </c>
      <c r="P67" s="1887" t="s">
        <v>1562</v>
      </c>
      <c r="Q67" s="1935">
        <f ca="1">L51</f>
        <v>1424</v>
      </c>
      <c r="R67" s="1888" t="s">
        <v>1582</v>
      </c>
    </row>
    <row r="68" spans="1:18" s="1844" customFormat="1" ht="16.5" thickBot="1">
      <c r="A68" s="1168" t="s">
        <v>1032</v>
      </c>
      <c r="B68" s="1169" t="s">
        <v>1485</v>
      </c>
      <c r="C68" s="346">
        <f ca="1">ROUND(C67*(1-((1+F70)/(1+F68))^F69)/(F68-F70),0)</f>
        <v>-1199</v>
      </c>
      <c r="D68" s="1186" t="s">
        <v>1469</v>
      </c>
      <c r="E68" s="1171" t="s">
        <v>1470</v>
      </c>
      <c r="F68" s="357">
        <f ca="1">F40</f>
        <v>0.06</v>
      </c>
      <c r="O68" s="1896" t="s">
        <v>1043</v>
      </c>
      <c r="P68" s="1936" t="s">
        <v>1583</v>
      </c>
      <c r="Q68" s="1888">
        <f ca="1">ROUND(Q69-Q70*Q71,0)</f>
        <v>86</v>
      </c>
      <c r="R68" s="1888" t="s">
        <v>1051</v>
      </c>
    </row>
    <row r="69" spans="1:18" s="1844" customFormat="1" ht="13.5" thickBot="1">
      <c r="A69" s="1172"/>
      <c r="B69" s="1173"/>
      <c r="C69" s="351"/>
      <c r="D69" s="1191" t="s">
        <v>1473</v>
      </c>
      <c r="E69" s="1171" t="s">
        <v>1474</v>
      </c>
      <c r="F69" s="379">
        <f ca="1">F41</f>
        <v>36.049999999999997</v>
      </c>
      <c r="O69" s="1896" t="s">
        <v>1048</v>
      </c>
      <c r="P69" s="1936" t="s">
        <v>1584</v>
      </c>
      <c r="Q69" s="1888">
        <f ca="1">C39</f>
        <v>146</v>
      </c>
      <c r="R69" s="1888" t="s">
        <v>1529</v>
      </c>
    </row>
    <row r="70" spans="1:18" s="1844" customFormat="1" ht="13.5" thickBot="1">
      <c r="A70" s="1175"/>
      <c r="B70" s="1176"/>
      <c r="C70" s="355"/>
      <c r="D70" s="1187"/>
      <c r="E70" s="1171" t="s">
        <v>1477</v>
      </c>
      <c r="F70" s="1277"/>
      <c r="O70" s="1896" t="s">
        <v>1049</v>
      </c>
      <c r="P70" s="1936" t="s">
        <v>1585</v>
      </c>
      <c r="Q70" s="1888">
        <f ca="1">C13</f>
        <v>706</v>
      </c>
      <c r="R70" s="1888" t="s">
        <v>1529</v>
      </c>
    </row>
    <row r="71" spans="1:18" s="1844" customFormat="1" ht="13.5" thickBot="1">
      <c r="A71" s="1192" t="s">
        <v>1033</v>
      </c>
      <c r="B71" s="1193" t="s">
        <v>1487</v>
      </c>
      <c r="C71" s="382">
        <f ca="1">ROUND(C68*10000/F71,0)</f>
        <v>-8687</v>
      </c>
      <c r="D71" s="1194" t="s">
        <v>1488</v>
      </c>
      <c r="E71" s="1195" t="s">
        <v>1489</v>
      </c>
      <c r="F71" s="385">
        <f ca="1">F43</f>
        <v>1380.28</v>
      </c>
      <c r="O71" s="1896" t="s">
        <v>1050</v>
      </c>
      <c r="P71" s="1936" t="s">
        <v>1586</v>
      </c>
      <c r="Q71" s="1899">
        <f ca="1">C76</f>
        <v>8.5000000000000006E-2</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6" t="s">
        <v>1506</v>
      </c>
      <c r="C75" s="387">
        <f ca="1">ROUND(C13*C76,0)</f>
        <v>60</v>
      </c>
      <c r="D75" s="1844"/>
      <c r="E75" s="1844"/>
      <c r="F75" s="1844"/>
      <c r="K75" s="1870"/>
      <c r="L75" s="1844"/>
      <c r="O75" s="1886" t="s">
        <v>1046</v>
      </c>
      <c r="P75" s="1887" t="s">
        <v>1549</v>
      </c>
      <c r="Q75" s="1888">
        <f ca="1">Q65+Q66</f>
        <v>3138</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0.58899999999999997</v>
      </c>
    </row>
    <row r="80" spans="1:18">
      <c r="B80" s="386" t="s">
        <v>1511</v>
      </c>
      <c r="C80" s="318">
        <f ca="1">ROUND(C75/C39,3)</f>
        <v>0.41099999999999998</v>
      </c>
    </row>
    <row r="81" spans="2:3">
      <c r="B81" s="314" t="s">
        <v>1512</v>
      </c>
      <c r="C81" s="282"/>
    </row>
    <row r="82" spans="2:3">
      <c r="B82" s="317" t="s">
        <v>1513</v>
      </c>
      <c r="C82" s="319">
        <f ca="1">1-C83</f>
        <v>0.77500000000000002</v>
      </c>
    </row>
    <row r="83" spans="2:3">
      <c r="B83" s="317" t="s">
        <v>1514</v>
      </c>
      <c r="C83" s="318">
        <f ca="1">ROUND(C13/C40,3)</f>
        <v>0.22500000000000001</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J1" zoomScale="90" zoomScaleNormal="90" workbookViewId="0">
      <pane ySplit="24" topLeftCell="A25" activePane="bottomLeft" state="frozen"/>
      <selection activeCell="G13" sqref="G13"/>
      <selection pane="bottomLeft" activeCell="J20" sqref="J20"/>
    </sheetView>
  </sheetViews>
  <sheetFormatPr defaultRowHeight="12.75"/>
  <cols>
    <col min="1" max="1" width="11.5" style="139" customWidth="1"/>
    <col min="2" max="2" width="9.25" style="27" customWidth="1"/>
    <col min="3" max="3" width="8.25" style="27" customWidth="1"/>
    <col min="4" max="4" width="9" style="27"/>
    <col min="5" max="5" width="7.2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4"/>
    <col min="46" max="16384" width="9" style="139"/>
  </cols>
  <sheetData>
    <row r="1" spans="1:45" ht="14.25" customHeight="1" thickBot="1">
      <c r="A1" s="155"/>
      <c r="B1" s="1206" t="s">
        <v>3001</v>
      </c>
      <c r="C1" s="3235" t="s">
        <v>3002</v>
      </c>
      <c r="D1" s="3236"/>
      <c r="E1" s="3236"/>
      <c r="F1" s="3236"/>
      <c r="G1" s="3236"/>
      <c r="H1" s="3236"/>
      <c r="I1" s="3236"/>
      <c r="J1" s="3236"/>
      <c r="K1" s="3236"/>
      <c r="L1" s="3236"/>
      <c r="M1" s="3236"/>
      <c r="N1" s="3236"/>
      <c r="O1" s="3236"/>
      <c r="P1" s="3236"/>
      <c r="Q1" s="3236"/>
      <c r="R1" s="3236"/>
      <c r="S1" s="3237"/>
      <c r="T1" s="1206" t="s">
        <v>3003</v>
      </c>
    </row>
    <row r="2" spans="1:45" s="706" customFormat="1">
      <c r="A2" s="1207"/>
      <c r="B2" s="702" t="s">
        <v>3004</v>
      </c>
      <c r="C2" s="703" t="str">
        <f t="shared" ref="C2:L2" si="0">C3&amp;"(含)"&amp;"-"&amp;D3</f>
        <v>0(含)-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v>0</v>
      </c>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7"/>
      <c r="B5" s="2987" t="s">
        <v>4077</v>
      </c>
      <c r="C5" s="2989">
        <f>ROUND(不动产权附页!D30,0)</f>
        <v>138</v>
      </c>
      <c r="D5" s="2990">
        <f>ROUND(不动产权附页!D31,0)</f>
        <v>151</v>
      </c>
      <c r="E5" s="2990">
        <f>ROUND(不动产权附页!D32,0)</f>
        <v>244</v>
      </c>
      <c r="F5" s="1713"/>
      <c r="G5" s="1713"/>
      <c r="H5" s="1713"/>
      <c r="I5" s="1713"/>
      <c r="J5" s="1713"/>
      <c r="K5" s="1713"/>
      <c r="L5" s="1714"/>
      <c r="M5" s="1715"/>
      <c r="N5" s="1715"/>
      <c r="O5" s="1713"/>
      <c r="P5" s="1713"/>
      <c r="Q5" s="1713"/>
      <c r="R5" s="1713"/>
      <c r="S5" s="1716"/>
      <c r="T5" s="1221">
        <v>5</v>
      </c>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7"/>
      <c r="B6" s="1118"/>
      <c r="C6" s="1124">
        <v>100</v>
      </c>
      <c r="D6" s="1121">
        <f>C6-$T5</f>
        <v>95</v>
      </c>
      <c r="E6" s="1121">
        <f t="shared" ref="E6:S6" si="7">D6-$T5</f>
        <v>90</v>
      </c>
      <c r="F6" s="1717">
        <f t="shared" si="7"/>
        <v>85</v>
      </c>
      <c r="G6" s="1717">
        <f t="shared" si="7"/>
        <v>80</v>
      </c>
      <c r="H6" s="1717">
        <f t="shared" si="7"/>
        <v>75</v>
      </c>
      <c r="I6" s="1717">
        <f t="shared" si="7"/>
        <v>70</v>
      </c>
      <c r="J6" s="1717">
        <f t="shared" si="7"/>
        <v>65</v>
      </c>
      <c r="K6" s="1717">
        <f t="shared" si="7"/>
        <v>60</v>
      </c>
      <c r="L6" s="1717">
        <f t="shared" si="7"/>
        <v>55</v>
      </c>
      <c r="M6" s="1717">
        <f t="shared" si="7"/>
        <v>50</v>
      </c>
      <c r="N6" s="1717">
        <f t="shared" si="7"/>
        <v>45</v>
      </c>
      <c r="O6" s="1717">
        <f t="shared" si="7"/>
        <v>40</v>
      </c>
      <c r="P6" s="1717">
        <f t="shared" si="7"/>
        <v>35</v>
      </c>
      <c r="Q6" s="1717">
        <f t="shared" si="7"/>
        <v>30</v>
      </c>
      <c r="R6" s="1717">
        <f t="shared" si="7"/>
        <v>25</v>
      </c>
      <c r="S6" s="1717">
        <f t="shared" si="7"/>
        <v>20</v>
      </c>
      <c r="T6" s="2988"/>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hidden="1">
      <c r="A7" s="1217"/>
      <c r="B7" s="1772" t="s">
        <v>3005</v>
      </c>
      <c r="C7" s="1123"/>
      <c r="D7" s="1117"/>
      <c r="E7" s="1117"/>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hidden="1"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hidden="1">
      <c r="A9" s="1217"/>
      <c r="B9" s="1772" t="s">
        <v>3006</v>
      </c>
      <c r="C9" s="1123"/>
      <c r="D9" s="1117"/>
      <c r="E9" s="1117"/>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hidden="1"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hidden="1">
      <c r="A11" s="1217"/>
      <c r="B11" s="1771" t="s">
        <v>3007</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hidden="1"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hidden="1">
      <c r="A13" s="1217"/>
      <c r="B13" s="1771" t="s">
        <v>3008</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hidden="1"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hidden="1">
      <c r="A15" s="1217"/>
      <c r="B15" s="1771" t="s">
        <v>3009</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hidden="1"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8" t="s">
        <v>3010</v>
      </c>
      <c r="B17" s="2919" t="s">
        <v>3011</v>
      </c>
      <c r="C17" s="1233" t="s">
        <v>4023</v>
      </c>
      <c r="D17" s="1234" t="s">
        <v>4019</v>
      </c>
      <c r="E17" s="1234" t="s">
        <v>4020</v>
      </c>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v>100</v>
      </c>
      <c r="D18" s="2980">
        <v>55</v>
      </c>
      <c r="E18" s="2980">
        <v>45</v>
      </c>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8"/>
      <c r="B19" s="168"/>
      <c r="C19" s="168"/>
      <c r="D19" s="2920" t="s">
        <v>3012</v>
      </c>
      <c r="E19" s="1794"/>
      <c r="F19" s="1794"/>
      <c r="G19" s="1794"/>
      <c r="H19" s="1282"/>
      <c r="I19" s="168"/>
      <c r="J19" s="168"/>
      <c r="K19" s="168"/>
      <c r="L19" s="168"/>
      <c r="M19" s="168"/>
      <c r="N19" s="168"/>
      <c r="O19" s="168"/>
      <c r="P19" s="168"/>
      <c r="Q19" s="168"/>
      <c r="R19" s="787"/>
      <c r="S19" s="138"/>
    </row>
    <row r="20" spans="1:45" ht="16.5" thickBot="1">
      <c r="A20" s="714" t="s">
        <v>3013</v>
      </c>
      <c r="B20" s="338">
        <f ca="1">IF(D20="——",S22,S22-F20)</f>
        <v>7217</v>
      </c>
      <c r="C20" s="168"/>
      <c r="D20" s="2921" t="s">
        <v>70</v>
      </c>
      <c r="E20" s="1795"/>
      <c r="F20" s="1206" t="e">
        <f ca="1">SUMIF(INDIRECT("'"&amp;H20&amp;"'"&amp;"!A:A"),"承租人权益价值",INDIRECT("'"&amp;H20&amp;"'"&amp;"!c:c"))</f>
        <v>#REF!</v>
      </c>
      <c r="G20" s="1206" t="s">
        <v>3014</v>
      </c>
      <c r="H20" s="2922"/>
      <c r="I20" s="168"/>
      <c r="J20" s="168"/>
      <c r="K20" s="168"/>
      <c r="L20" s="168"/>
      <c r="M20" s="168"/>
      <c r="N20" s="168"/>
      <c r="O20" s="168"/>
      <c r="P20" s="168"/>
      <c r="Q20" s="168"/>
      <c r="R20" s="787"/>
      <c r="S20" s="138"/>
    </row>
    <row r="21" spans="1:45" ht="15.75">
      <c r="A21" s="714" t="s">
        <v>3015</v>
      </c>
      <c r="B21" s="338">
        <f ca="1">R22</f>
        <v>18411</v>
      </c>
      <c r="C21" s="168"/>
      <c r="D21" s="168"/>
      <c r="E21" s="168"/>
      <c r="F21" s="168"/>
      <c r="G21" s="168"/>
      <c r="H21" s="168"/>
      <c r="I21" s="168"/>
      <c r="J21" s="168"/>
      <c r="K21" s="168"/>
      <c r="L21" s="168"/>
      <c r="M21" s="168"/>
      <c r="N21" s="168"/>
      <c r="O21" s="168"/>
      <c r="P21" s="168"/>
      <c r="Q21" s="168"/>
      <c r="R21" s="787"/>
      <c r="S21" s="138"/>
    </row>
    <row r="22" spans="1:45">
      <c r="A22" s="361" t="s">
        <v>3016</v>
      </c>
      <c r="B22" s="24">
        <f>SUM(B24:B10000)</f>
        <v>3919.92</v>
      </c>
      <c r="C22" s="3092" t="s">
        <v>33</v>
      </c>
      <c r="D22" s="3093"/>
      <c r="E22" s="3093"/>
      <c r="F22" s="3093"/>
      <c r="G22" s="3093"/>
      <c r="H22" s="3093"/>
      <c r="I22" s="3093"/>
      <c r="J22" s="3093"/>
      <c r="K22" s="3093"/>
      <c r="L22" s="3093"/>
      <c r="M22" s="3093"/>
      <c r="N22" s="3093"/>
      <c r="O22" s="3093"/>
      <c r="P22" s="3093"/>
      <c r="Q22" s="3234"/>
      <c r="R22" s="715">
        <f ca="1">ROUND(S22*10000/B22,0)</f>
        <v>18411</v>
      </c>
      <c r="S22" s="24">
        <f ca="1">SUM(S24:S10000)</f>
        <v>7217</v>
      </c>
    </row>
    <row r="23" spans="1:45" s="12" customFormat="1" ht="24">
      <c r="A23" s="11" t="s">
        <v>3017</v>
      </c>
      <c r="B23" s="11" t="s">
        <v>3018</v>
      </c>
      <c r="C23" s="11" t="s">
        <v>3019</v>
      </c>
      <c r="D23" s="11" t="str">
        <f>B5</f>
        <v>户均面积</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6" t="s">
        <v>3020</v>
      </c>
      <c r="S23" s="11" t="s">
        <v>3021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2966" t="s">
        <v>4018</v>
      </c>
      <c r="B24" s="717">
        <f>'数据-基础表'!I13</f>
        <v>1380.28</v>
      </c>
      <c r="C24" s="718">
        <v>1</v>
      </c>
      <c r="D24" s="719">
        <v>138</v>
      </c>
      <c r="E24" s="718">
        <v>1</v>
      </c>
      <c r="F24" s="719"/>
      <c r="G24" s="718">
        <v>1</v>
      </c>
      <c r="H24" s="719"/>
      <c r="I24" s="718">
        <v>1</v>
      </c>
      <c r="J24" s="719"/>
      <c r="K24" s="718">
        <v>1</v>
      </c>
      <c r="L24" s="719"/>
      <c r="M24" s="718">
        <v>1</v>
      </c>
      <c r="N24" s="719"/>
      <c r="O24" s="718">
        <v>1</v>
      </c>
      <c r="P24" s="719" t="s">
        <v>4017</v>
      </c>
      <c r="Q24" s="718">
        <v>1</v>
      </c>
      <c r="R24" s="720">
        <f ca="1">结果表!G20</f>
        <v>27534</v>
      </c>
      <c r="S24" s="718">
        <f t="shared" ref="S24:S54" ca="1" si="11">ROUND(R24*B24/10000,0)</f>
        <v>3800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9" t="s">
        <v>4019</v>
      </c>
      <c r="B25" s="59">
        <f>'数据-基础表'!I14</f>
        <v>1807.05</v>
      </c>
      <c r="C25" s="24">
        <f>IF(B25="",1,(LOOKUP(B25,$3:$3,$4:$4)-LOOKUP($B$24,$3:$3,$4:$4)+100)/100)</f>
        <v>1</v>
      </c>
      <c r="D25" s="719">
        <v>151</v>
      </c>
      <c r="E25" s="24">
        <f>(SUMIF($5:$5,D25,$6:$6)-SUMIF($5:$5,$D$24,$6:$6)+100)/100</f>
        <v>0.95</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t="s">
        <v>4024</v>
      </c>
      <c r="Q25" s="24">
        <f>(SUMIF($17:$17,P25,$18:$18)-SUMIF($17:$17,$P$24,$18:$18)+100)/100</f>
        <v>0.55000000000000004</v>
      </c>
      <c r="R25" s="715">
        <f ca="1">IF(B25="",0,ROUND($R$24*C25*E25*G25*I25*K25*M25*O25*Q25,0))</f>
        <v>14387</v>
      </c>
      <c r="S25" s="361">
        <f t="shared" ca="1" si="11"/>
        <v>2600</v>
      </c>
    </row>
    <row r="26" spans="1:45">
      <c r="A26" s="159" t="s">
        <v>4020</v>
      </c>
      <c r="B26" s="59">
        <f>'数据-基础表'!I15</f>
        <v>732.58999999999992</v>
      </c>
      <c r="C26" s="24">
        <f t="shared" ref="C26:C89" si="12">IF(B26="",1,(LOOKUP(B26,$3:$3,$4:$4)-LOOKUP($B$24,$3:$3,$4:$4)+100)/100)</f>
        <v>1</v>
      </c>
      <c r="D26" s="719">
        <v>244</v>
      </c>
      <c r="E26" s="24">
        <f t="shared" ref="E26:E89" si="13">(SUMIF($5:$5,D26,$6:$6)-SUMIF($5:$5,$D$24,$6:$6)+100)/100</f>
        <v>0.9</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t="s">
        <v>4025</v>
      </c>
      <c r="Q26" s="24">
        <f t="shared" ref="Q26:Q89" si="19">(SUMIF($17:$17,P26,$18:$18)-SUMIF($17:$17,$P$24,$18:$18)+100)/100</f>
        <v>0.45</v>
      </c>
      <c r="R26" s="715">
        <f t="shared" ref="R26:R89" ca="1" si="20">IF(B26="",0,ROUND($R$24*C26*E26*G26*I26*K26*M26*O26*Q26,0))</f>
        <v>11151</v>
      </c>
      <c r="S26" s="361">
        <f t="shared" ca="1" si="11"/>
        <v>817</v>
      </c>
    </row>
    <row r="27" spans="1:45">
      <c r="A27" s="159"/>
      <c r="B27" s="59"/>
      <c r="C27" s="24">
        <f t="shared" si="12"/>
        <v>1</v>
      </c>
      <c r="D27" s="719"/>
      <c r="E27" s="24">
        <f t="shared" si="13"/>
        <v>0</v>
      </c>
      <c r="F27" s="719"/>
      <c r="G27" s="24">
        <f t="shared" si="14"/>
        <v>1</v>
      </c>
      <c r="H27" s="719"/>
      <c r="I27" s="24">
        <f t="shared" si="15"/>
        <v>1</v>
      </c>
      <c r="J27" s="719"/>
      <c r="K27" s="24">
        <f t="shared" si="16"/>
        <v>1</v>
      </c>
      <c r="L27" s="719"/>
      <c r="M27" s="24">
        <f t="shared" si="17"/>
        <v>1</v>
      </c>
      <c r="N27" s="719"/>
      <c r="O27" s="24">
        <f t="shared" si="18"/>
        <v>1</v>
      </c>
      <c r="P27" s="719"/>
      <c r="Q27" s="24">
        <f t="shared" si="19"/>
        <v>0</v>
      </c>
      <c r="R27" s="715">
        <f t="shared" si="20"/>
        <v>0</v>
      </c>
      <c r="S27" s="361">
        <f t="shared" si="11"/>
        <v>0</v>
      </c>
    </row>
    <row r="28" spans="1:45">
      <c r="A28" s="159"/>
      <c r="B28" s="59"/>
      <c r="C28" s="24">
        <f t="shared" si="12"/>
        <v>1</v>
      </c>
      <c r="D28" s="719"/>
      <c r="E28" s="24">
        <f t="shared" si="13"/>
        <v>0</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1">
        <f t="shared" si="11"/>
        <v>0</v>
      </c>
    </row>
    <row r="29" spans="1:45">
      <c r="A29" s="159"/>
      <c r="B29" s="59"/>
      <c r="C29" s="24">
        <f t="shared" si="12"/>
        <v>1</v>
      </c>
      <c r="D29" s="719"/>
      <c r="E29" s="24">
        <f t="shared" si="13"/>
        <v>0</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1">
        <f t="shared" si="11"/>
        <v>0</v>
      </c>
    </row>
    <row r="30" spans="1:45">
      <c r="A30" s="159"/>
      <c r="B30" s="59"/>
      <c r="C30" s="24">
        <f t="shared" si="12"/>
        <v>1</v>
      </c>
      <c r="D30" s="719"/>
      <c r="E30" s="24">
        <f t="shared" si="13"/>
        <v>0</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1">
        <f t="shared" si="11"/>
        <v>0</v>
      </c>
    </row>
    <row r="31" spans="1:45">
      <c r="A31" s="159"/>
      <c r="B31" s="59"/>
      <c r="C31" s="24">
        <f t="shared" si="12"/>
        <v>1</v>
      </c>
      <c r="D31" s="719"/>
      <c r="E31" s="24">
        <f t="shared" si="13"/>
        <v>0</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1">
        <f t="shared" si="11"/>
        <v>0</v>
      </c>
    </row>
    <row r="32" spans="1:45">
      <c r="A32" s="159"/>
      <c r="B32" s="59"/>
      <c r="C32" s="24">
        <f t="shared" si="12"/>
        <v>1</v>
      </c>
      <c r="D32" s="719"/>
      <c r="E32" s="24">
        <f t="shared" si="13"/>
        <v>0</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1">
        <f t="shared" si="11"/>
        <v>0</v>
      </c>
    </row>
    <row r="33" spans="1:19">
      <c r="A33" s="159"/>
      <c r="B33" s="59"/>
      <c r="C33" s="24">
        <f t="shared" si="12"/>
        <v>1</v>
      </c>
      <c r="D33" s="719"/>
      <c r="E33" s="24">
        <f t="shared" si="13"/>
        <v>0</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1">
        <f t="shared" si="11"/>
        <v>0</v>
      </c>
    </row>
    <row r="34" spans="1:19">
      <c r="A34" s="159"/>
      <c r="B34" s="59"/>
      <c r="C34" s="24">
        <f t="shared" si="12"/>
        <v>1</v>
      </c>
      <c r="D34" s="719"/>
      <c r="E34" s="24">
        <f t="shared" si="13"/>
        <v>0</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1">
        <f t="shared" si="11"/>
        <v>0</v>
      </c>
    </row>
    <row r="35" spans="1:19">
      <c r="A35" s="159"/>
      <c r="B35" s="59"/>
      <c r="C35" s="24">
        <f t="shared" si="12"/>
        <v>1</v>
      </c>
      <c r="D35" s="719"/>
      <c r="E35" s="24">
        <f t="shared" si="13"/>
        <v>0</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1">
        <f t="shared" si="11"/>
        <v>0</v>
      </c>
    </row>
    <row r="36" spans="1:19">
      <c r="A36" s="159"/>
      <c r="B36" s="59"/>
      <c r="C36" s="24">
        <f t="shared" si="12"/>
        <v>1</v>
      </c>
      <c r="D36" s="719"/>
      <c r="E36" s="24">
        <f t="shared" si="13"/>
        <v>0</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1">
        <f t="shared" si="11"/>
        <v>0</v>
      </c>
    </row>
    <row r="37" spans="1:19">
      <c r="A37" s="159"/>
      <c r="B37" s="59"/>
      <c r="C37" s="24">
        <f t="shared" si="12"/>
        <v>1</v>
      </c>
      <c r="D37" s="719"/>
      <c r="E37" s="24">
        <f t="shared" si="13"/>
        <v>0</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1">
        <f t="shared" si="11"/>
        <v>0</v>
      </c>
    </row>
    <row r="38" spans="1:19">
      <c r="A38" s="159"/>
      <c r="B38" s="59"/>
      <c r="C38" s="24">
        <f t="shared" si="12"/>
        <v>1</v>
      </c>
      <c r="D38" s="719"/>
      <c r="E38" s="24">
        <f t="shared" si="13"/>
        <v>0</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1">
        <f t="shared" si="11"/>
        <v>0</v>
      </c>
    </row>
    <row r="39" spans="1:19">
      <c r="A39" s="159"/>
      <c r="B39" s="59"/>
      <c r="C39" s="24">
        <f t="shared" si="12"/>
        <v>1</v>
      </c>
      <c r="D39" s="719"/>
      <c r="E39" s="24">
        <f t="shared" si="13"/>
        <v>0</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1">
        <f t="shared" si="11"/>
        <v>0</v>
      </c>
    </row>
    <row r="40" spans="1:19">
      <c r="A40" s="159"/>
      <c r="B40" s="59"/>
      <c r="C40" s="24">
        <f t="shared" si="12"/>
        <v>1</v>
      </c>
      <c r="D40" s="719"/>
      <c r="E40" s="24">
        <f t="shared" si="13"/>
        <v>0</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1">
        <f t="shared" si="11"/>
        <v>0</v>
      </c>
    </row>
    <row r="41" spans="1:19">
      <c r="A41" s="159"/>
      <c r="B41" s="59"/>
      <c r="C41" s="24">
        <f t="shared" si="12"/>
        <v>1</v>
      </c>
      <c r="D41" s="719"/>
      <c r="E41" s="24">
        <f t="shared" si="13"/>
        <v>0</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1">
        <f t="shared" si="11"/>
        <v>0</v>
      </c>
    </row>
    <row r="42" spans="1:19">
      <c r="A42" s="159"/>
      <c r="B42" s="59"/>
      <c r="C42" s="24">
        <f t="shared" si="12"/>
        <v>1</v>
      </c>
      <c r="D42" s="719"/>
      <c r="E42" s="24">
        <f t="shared" si="13"/>
        <v>0</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1">
        <f t="shared" si="11"/>
        <v>0</v>
      </c>
    </row>
    <row r="43" spans="1:19">
      <c r="A43" s="159"/>
      <c r="B43" s="59"/>
      <c r="C43" s="24">
        <f t="shared" si="12"/>
        <v>1</v>
      </c>
      <c r="D43" s="719"/>
      <c r="E43" s="24">
        <f t="shared" si="13"/>
        <v>0</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1">
        <f t="shared" si="11"/>
        <v>0</v>
      </c>
    </row>
    <row r="44" spans="1:19">
      <c r="A44" s="159"/>
      <c r="B44" s="59"/>
      <c r="C44" s="24">
        <f t="shared" si="12"/>
        <v>1</v>
      </c>
      <c r="D44" s="719"/>
      <c r="E44" s="24">
        <f t="shared" si="13"/>
        <v>0</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1">
        <f t="shared" si="11"/>
        <v>0</v>
      </c>
    </row>
    <row r="45" spans="1:19">
      <c r="A45" s="159"/>
      <c r="B45" s="59"/>
      <c r="C45" s="24">
        <f t="shared" si="12"/>
        <v>1</v>
      </c>
      <c r="D45" s="719"/>
      <c r="E45" s="24">
        <f t="shared" si="13"/>
        <v>0</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1">
        <f t="shared" si="11"/>
        <v>0</v>
      </c>
    </row>
    <row r="46" spans="1:19">
      <c r="A46" s="159"/>
      <c r="B46" s="59"/>
      <c r="C46" s="24">
        <f t="shared" si="12"/>
        <v>1</v>
      </c>
      <c r="D46" s="719"/>
      <c r="E46" s="24">
        <f t="shared" si="13"/>
        <v>0</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1">
        <f t="shared" si="11"/>
        <v>0</v>
      </c>
    </row>
    <row r="47" spans="1:19">
      <c r="A47" s="159"/>
      <c r="B47" s="59"/>
      <c r="C47" s="24">
        <f t="shared" si="12"/>
        <v>1</v>
      </c>
      <c r="D47" s="719"/>
      <c r="E47" s="24">
        <f t="shared" si="13"/>
        <v>0</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1">
        <f t="shared" si="11"/>
        <v>0</v>
      </c>
    </row>
    <row r="48" spans="1:19">
      <c r="A48" s="159"/>
      <c r="B48" s="59"/>
      <c r="C48" s="24">
        <f t="shared" si="12"/>
        <v>1</v>
      </c>
      <c r="D48" s="719"/>
      <c r="E48" s="24">
        <f t="shared" si="13"/>
        <v>0</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1">
        <f t="shared" si="11"/>
        <v>0</v>
      </c>
    </row>
    <row r="49" spans="1:19">
      <c r="A49" s="159"/>
      <c r="B49" s="59"/>
      <c r="C49" s="24">
        <f t="shared" si="12"/>
        <v>1</v>
      </c>
      <c r="D49" s="719"/>
      <c r="E49" s="24">
        <f t="shared" si="13"/>
        <v>0</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1">
        <f t="shared" si="11"/>
        <v>0</v>
      </c>
    </row>
    <row r="50" spans="1:19">
      <c r="A50" s="159"/>
      <c r="B50" s="59"/>
      <c r="C50" s="24">
        <f t="shared" si="12"/>
        <v>1</v>
      </c>
      <c r="D50" s="719"/>
      <c r="E50" s="24">
        <f t="shared" si="13"/>
        <v>0</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1">
        <f t="shared" si="11"/>
        <v>0</v>
      </c>
    </row>
    <row r="51" spans="1:19">
      <c r="A51" s="159"/>
      <c r="B51" s="59"/>
      <c r="C51" s="24">
        <f t="shared" si="12"/>
        <v>1</v>
      </c>
      <c r="D51" s="719"/>
      <c r="E51" s="24">
        <f t="shared" si="13"/>
        <v>0</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1">
        <f t="shared" si="11"/>
        <v>0</v>
      </c>
    </row>
    <row r="52" spans="1:19">
      <c r="A52" s="159"/>
      <c r="B52" s="59"/>
      <c r="C52" s="24">
        <f t="shared" si="12"/>
        <v>1</v>
      </c>
      <c r="D52" s="719"/>
      <c r="E52" s="24">
        <f t="shared" si="13"/>
        <v>0</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1">
        <f t="shared" si="11"/>
        <v>0</v>
      </c>
    </row>
    <row r="53" spans="1:19">
      <c r="A53" s="159"/>
      <c r="B53" s="59"/>
      <c r="C53" s="24">
        <f t="shared" si="12"/>
        <v>1</v>
      </c>
      <c r="D53" s="719"/>
      <c r="E53" s="24">
        <f t="shared" si="13"/>
        <v>0</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1">
        <f t="shared" si="11"/>
        <v>0</v>
      </c>
    </row>
    <row r="54" spans="1:19">
      <c r="A54" s="159"/>
      <c r="B54" s="59"/>
      <c r="C54" s="24">
        <f t="shared" si="12"/>
        <v>1</v>
      </c>
      <c r="D54" s="719"/>
      <c r="E54" s="24">
        <f t="shared" si="13"/>
        <v>0</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1">
        <f t="shared" si="11"/>
        <v>0</v>
      </c>
    </row>
    <row r="55" spans="1:19">
      <c r="A55" s="159"/>
      <c r="B55" s="59"/>
      <c r="C55" s="24">
        <f t="shared" si="12"/>
        <v>1</v>
      </c>
      <c r="D55" s="719"/>
      <c r="E55" s="24">
        <f t="shared" si="13"/>
        <v>0</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159"/>
      <c r="B56" s="59"/>
      <c r="C56" s="24">
        <f t="shared" si="12"/>
        <v>1</v>
      </c>
      <c r="D56" s="719"/>
      <c r="E56" s="24">
        <f t="shared" si="13"/>
        <v>0</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1">
        <f t="shared" si="21"/>
        <v>0</v>
      </c>
    </row>
    <row r="57" spans="1:19">
      <c r="A57" s="159"/>
      <c r="B57" s="59"/>
      <c r="C57" s="24">
        <f t="shared" si="12"/>
        <v>1</v>
      </c>
      <c r="D57" s="719"/>
      <c r="E57" s="24">
        <f t="shared" si="13"/>
        <v>0</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1">
        <f t="shared" si="21"/>
        <v>0</v>
      </c>
    </row>
    <row r="58" spans="1:19">
      <c r="A58" s="159"/>
      <c r="B58" s="59"/>
      <c r="C58" s="24">
        <f t="shared" si="12"/>
        <v>1</v>
      </c>
      <c r="D58" s="719"/>
      <c r="E58" s="24">
        <f t="shared" si="13"/>
        <v>0</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1">
        <f t="shared" si="21"/>
        <v>0</v>
      </c>
    </row>
    <row r="59" spans="1:19">
      <c r="A59" s="159"/>
      <c r="B59" s="59"/>
      <c r="C59" s="24">
        <f t="shared" si="12"/>
        <v>1</v>
      </c>
      <c r="D59" s="719"/>
      <c r="E59" s="24">
        <f t="shared" si="13"/>
        <v>0</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1">
        <f t="shared" si="21"/>
        <v>0</v>
      </c>
    </row>
    <row r="60" spans="1:19">
      <c r="A60" s="159"/>
      <c r="B60" s="59"/>
      <c r="C60" s="24">
        <f t="shared" si="12"/>
        <v>1</v>
      </c>
      <c r="D60" s="719"/>
      <c r="E60" s="24">
        <f t="shared" si="13"/>
        <v>0</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1">
        <f t="shared" si="21"/>
        <v>0</v>
      </c>
    </row>
    <row r="61" spans="1:19">
      <c r="A61" s="159"/>
      <c r="B61" s="59"/>
      <c r="C61" s="24">
        <f t="shared" si="12"/>
        <v>1</v>
      </c>
      <c r="D61" s="719"/>
      <c r="E61" s="24">
        <f t="shared" si="13"/>
        <v>0</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1">
        <f t="shared" si="21"/>
        <v>0</v>
      </c>
    </row>
    <row r="62" spans="1:19">
      <c r="A62" s="159"/>
      <c r="B62" s="59"/>
      <c r="C62" s="24">
        <f t="shared" si="12"/>
        <v>1</v>
      </c>
      <c r="D62" s="719"/>
      <c r="E62" s="24">
        <f t="shared" si="13"/>
        <v>0</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1">
        <f t="shared" si="21"/>
        <v>0</v>
      </c>
    </row>
    <row r="63" spans="1:19">
      <c r="A63" s="159"/>
      <c r="B63" s="59"/>
      <c r="C63" s="24">
        <f t="shared" si="12"/>
        <v>1</v>
      </c>
      <c r="D63" s="719"/>
      <c r="E63" s="24">
        <f t="shared" si="13"/>
        <v>0</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1">
        <f t="shared" si="21"/>
        <v>0</v>
      </c>
    </row>
    <row r="64" spans="1:19">
      <c r="A64" s="159"/>
      <c r="B64" s="59"/>
      <c r="C64" s="24">
        <f t="shared" si="12"/>
        <v>1</v>
      </c>
      <c r="D64" s="719"/>
      <c r="E64" s="24">
        <f t="shared" si="13"/>
        <v>0</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1">
        <f t="shared" si="21"/>
        <v>0</v>
      </c>
    </row>
    <row r="65" spans="1:19">
      <c r="A65" s="159"/>
      <c r="B65" s="59"/>
      <c r="C65" s="24">
        <f t="shared" si="12"/>
        <v>1</v>
      </c>
      <c r="D65" s="719"/>
      <c r="E65" s="24">
        <f t="shared" si="13"/>
        <v>0</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1">
        <f t="shared" si="21"/>
        <v>0</v>
      </c>
    </row>
    <row r="66" spans="1:19">
      <c r="A66" s="159"/>
      <c r="B66" s="59"/>
      <c r="C66" s="24">
        <f t="shared" si="12"/>
        <v>1</v>
      </c>
      <c r="D66" s="719"/>
      <c r="E66" s="24">
        <f t="shared" si="13"/>
        <v>0</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0</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0</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0</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0</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0</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0</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0</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0</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0</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0</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0</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0</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0</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0</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0</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0</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0</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0</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0</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0</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0</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0</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0</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0</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0</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0</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0</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0</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0</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0</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0</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0</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0</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0</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0</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0</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0</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0</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0</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0</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0</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0</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0</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0</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0</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0</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0</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0</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0</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0</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0</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0</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0</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0</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0</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0</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0</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0</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0</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0</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0</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0</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0</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0</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0</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0</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0</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0</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0</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0</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0</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0</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0</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0</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0</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0</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0</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0</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0</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0</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0</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0</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0</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0</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0</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0</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0</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0</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0</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0</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0</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0</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0</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0</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0</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0</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0</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0</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0</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0</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0</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0</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0</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0</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0</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0</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0</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0</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0</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0</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0</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0</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0</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0</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0</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0</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0</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0</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0</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0</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0</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0</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0</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0</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0</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0</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0</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0</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0</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0</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0</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0</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0</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0</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0</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0</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0</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0</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0</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0</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0</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0</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0</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0</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0</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0</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0</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0</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0</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0</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0</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0</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0</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0</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0</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0</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0</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0</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0</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0</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0</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0</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0</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0</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0</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0</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0</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0</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0</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0</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0</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0</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0</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0</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0</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0</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0</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0</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0</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0</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0</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0</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0</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0</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0</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0</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0</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0</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0</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0</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0</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0</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0</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0</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0</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0</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0</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0</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0</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0</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0</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0</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0</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0</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0</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0</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0</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0</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0</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0</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0</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0</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0</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0</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0</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0</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0</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0</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0</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0</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0</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0</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0</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0</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0</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0</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0</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0</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0</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0</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0</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0</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0</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0</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0</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0</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0</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0</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0</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0</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0</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0</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0</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0</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0</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0</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0</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0</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0</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0</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0</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0</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0</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0</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0</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0</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0</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0</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0</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0</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0</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0</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0</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0</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0</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0</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0</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0</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0</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0</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0</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0</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0</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0</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0</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0</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0</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0</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0</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0</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0</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0</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0</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0</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0</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0</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0</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0</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0</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0</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0</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0</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0</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0</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0</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0</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0</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0</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0</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0</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0</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0</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0</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0</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0</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0</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0</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0</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0</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0</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0</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0</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0</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0</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0</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0</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0</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0</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0</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0</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0</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0</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0</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0</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0</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0</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0</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0</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0</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0</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0</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0</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0</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0</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0</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0</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0</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0</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0</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0</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0</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0</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0</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0</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0</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0</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0</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0</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0</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0</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0</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0</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0</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0</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0</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0</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0</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0</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0</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0</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0</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0</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0</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0</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0</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0</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0</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0</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0</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0</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0</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0</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0</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0</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0</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0</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0</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0</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0</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0</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0</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0</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0</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0</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0</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0</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0</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0</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0</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0</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0</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0</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0</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0</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0</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0</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0</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0</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0</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0</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0</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0</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0</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0</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0</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0</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0</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0</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0</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0</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0</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0</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0</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0</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0</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0</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0</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0</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0</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0</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0</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0</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0</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0</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0</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0</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0</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0</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0</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0</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0</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0</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0</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0</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0</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0</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0</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0</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0</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0</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0</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0</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0</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0</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0</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0</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0</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0</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0</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0</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0</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0</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0</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0</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0</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0</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0</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0</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L35" sqref="L35"/>
    </sheetView>
  </sheetViews>
  <sheetFormatPr defaultRowHeight="12.75"/>
  <cols>
    <col min="1" max="11" width="9.125" style="2958" customWidth="1"/>
    <col min="12" max="12" width="12.875" style="2958" customWidth="1"/>
    <col min="13" max="15" width="9.125" style="2958" customWidth="1"/>
    <col min="16" max="16384" width="9" style="2958"/>
  </cols>
  <sheetData>
    <row r="1" spans="1:15">
      <c r="A1" s="2957" t="s">
        <v>3112</v>
      </c>
      <c r="B1" s="2957" t="s">
        <v>3113</v>
      </c>
      <c r="C1" s="2957" t="s">
        <v>3114</v>
      </c>
      <c r="D1" s="2957" t="s">
        <v>3115</v>
      </c>
      <c r="E1" s="2957" t="s">
        <v>3116</v>
      </c>
      <c r="F1" s="2957" t="s">
        <v>3117</v>
      </c>
      <c r="G1" s="2957" t="s">
        <v>3118</v>
      </c>
      <c r="H1" s="2957" t="s">
        <v>3119</v>
      </c>
      <c r="I1" s="2957" t="s">
        <v>3120</v>
      </c>
      <c r="J1" s="2957" t="s">
        <v>3121</v>
      </c>
      <c r="K1" s="2957" t="s">
        <v>3122</v>
      </c>
      <c r="L1" s="2957" t="s">
        <v>3123</v>
      </c>
      <c r="M1" s="2957" t="s">
        <v>3124</v>
      </c>
      <c r="N1" s="2957" t="s">
        <v>3125</v>
      </c>
      <c r="O1" s="2957" t="s">
        <v>3126</v>
      </c>
    </row>
    <row r="2" spans="1:15">
      <c r="A2" s="2958" t="s">
        <v>3940</v>
      </c>
      <c r="B2" s="2958" t="s">
        <v>3941</v>
      </c>
      <c r="C2" s="2958" t="s">
        <v>3942</v>
      </c>
      <c r="D2" s="2958" t="s">
        <v>3130</v>
      </c>
      <c r="E2" s="2958" t="s">
        <v>3218</v>
      </c>
      <c r="F2" s="2958" t="s">
        <v>3943</v>
      </c>
      <c r="G2" s="2958" t="s">
        <v>3141</v>
      </c>
      <c r="H2" s="2958" t="s">
        <v>3944</v>
      </c>
      <c r="I2" s="2959">
        <v>37.83</v>
      </c>
      <c r="J2" s="2959">
        <v>34164.019999999997</v>
      </c>
      <c r="K2" s="2959">
        <v>1292425</v>
      </c>
      <c r="L2" s="2960">
        <v>43318</v>
      </c>
      <c r="M2" s="2958" t="s">
        <v>3134</v>
      </c>
      <c r="N2" s="2958" t="s">
        <v>3687</v>
      </c>
      <c r="O2" s="2958" t="s">
        <v>3945</v>
      </c>
    </row>
    <row r="3" spans="1:15">
      <c r="A3" s="2958" t="s">
        <v>3946</v>
      </c>
      <c r="B3" s="2958" t="s">
        <v>3941</v>
      </c>
      <c r="C3" s="2958" t="s">
        <v>3942</v>
      </c>
      <c r="D3" s="2958" t="s">
        <v>3947</v>
      </c>
      <c r="E3" s="2958" t="s">
        <v>3273</v>
      </c>
      <c r="F3" s="2958" t="s">
        <v>3948</v>
      </c>
      <c r="G3" s="2958" t="s">
        <v>3141</v>
      </c>
      <c r="H3" s="2958" t="s">
        <v>3944</v>
      </c>
      <c r="I3" s="2959">
        <v>45.89</v>
      </c>
      <c r="J3" s="2959">
        <v>32249.84</v>
      </c>
      <c r="K3" s="2959">
        <v>1479945</v>
      </c>
      <c r="L3" s="2960">
        <v>43312</v>
      </c>
      <c r="M3" s="2958" t="s">
        <v>3134</v>
      </c>
      <c r="N3" s="2958" t="s">
        <v>3687</v>
      </c>
      <c r="O3" s="2958" t="s">
        <v>3945</v>
      </c>
    </row>
    <row r="4" spans="1:15">
      <c r="A4" s="2958" t="s">
        <v>3949</v>
      </c>
      <c r="B4" s="2958" t="s">
        <v>3941</v>
      </c>
      <c r="C4" s="2958" t="s">
        <v>3942</v>
      </c>
      <c r="D4" s="2958" t="s">
        <v>3947</v>
      </c>
      <c r="E4" s="2958" t="s">
        <v>3656</v>
      </c>
      <c r="F4" s="2958" t="s">
        <v>3948</v>
      </c>
      <c r="G4" s="2958" t="s">
        <v>3141</v>
      </c>
      <c r="H4" s="2958" t="s">
        <v>3944</v>
      </c>
      <c r="I4" s="2959">
        <v>181.67</v>
      </c>
      <c r="J4" s="2959">
        <v>22983.14</v>
      </c>
      <c r="K4" s="2959">
        <v>4175347</v>
      </c>
      <c r="L4" s="2960">
        <v>43311</v>
      </c>
      <c r="M4" s="2958" t="s">
        <v>3134</v>
      </c>
      <c r="N4" s="2958" t="s">
        <v>3687</v>
      </c>
      <c r="O4" s="2958" t="s">
        <v>3945</v>
      </c>
    </row>
    <row r="5" spans="1:15">
      <c r="A5" s="2958" t="s">
        <v>3950</v>
      </c>
      <c r="B5" s="2958" t="s">
        <v>3941</v>
      </c>
      <c r="C5" s="2958" t="s">
        <v>3942</v>
      </c>
      <c r="D5" s="2958" t="s">
        <v>3947</v>
      </c>
      <c r="E5" s="2958" t="s">
        <v>3517</v>
      </c>
      <c r="F5" s="2958" t="s">
        <v>3951</v>
      </c>
      <c r="G5" s="2958" t="s">
        <v>3133</v>
      </c>
      <c r="H5" s="2958" t="s">
        <v>3944</v>
      </c>
      <c r="I5" s="2959">
        <v>178.53</v>
      </c>
      <c r="J5" s="2959">
        <v>23281.55</v>
      </c>
      <c r="K5" s="2959">
        <v>4156455</v>
      </c>
      <c r="L5" s="2960">
        <v>43309</v>
      </c>
      <c r="M5" s="2958" t="s">
        <v>3134</v>
      </c>
      <c r="N5" s="2958" t="s">
        <v>3687</v>
      </c>
      <c r="O5" s="2958" t="s">
        <v>3945</v>
      </c>
    </row>
    <row r="6" spans="1:15">
      <c r="A6" s="2958" t="s">
        <v>3952</v>
      </c>
      <c r="B6" s="2958" t="s">
        <v>3941</v>
      </c>
      <c r="C6" s="2958" t="s">
        <v>3942</v>
      </c>
      <c r="D6" s="2958" t="s">
        <v>3130</v>
      </c>
      <c r="E6" s="2958" t="s">
        <v>3517</v>
      </c>
      <c r="F6" s="2958" t="s">
        <v>3953</v>
      </c>
      <c r="G6" s="2958" t="s">
        <v>3141</v>
      </c>
      <c r="H6" s="2958" t="s">
        <v>3944</v>
      </c>
      <c r="I6" s="2959">
        <v>48.88</v>
      </c>
      <c r="J6" s="2959">
        <v>35215.769999999997</v>
      </c>
      <c r="K6" s="2959">
        <v>1721347</v>
      </c>
      <c r="L6" s="2960">
        <v>43308</v>
      </c>
      <c r="M6" s="2958" t="s">
        <v>3134</v>
      </c>
      <c r="N6" s="2958" t="s">
        <v>3687</v>
      </c>
      <c r="O6" s="2958" t="s">
        <v>3945</v>
      </c>
    </row>
    <row r="7" spans="1:15">
      <c r="A7" s="2958" t="s">
        <v>3954</v>
      </c>
      <c r="B7" s="2958" t="s">
        <v>3941</v>
      </c>
      <c r="C7" s="2958" t="s">
        <v>3942</v>
      </c>
      <c r="D7" s="2958" t="s">
        <v>3130</v>
      </c>
      <c r="E7" s="2958" t="s">
        <v>3198</v>
      </c>
      <c r="F7" s="2958" t="s">
        <v>3955</v>
      </c>
      <c r="G7" s="2958" t="s">
        <v>3141</v>
      </c>
      <c r="H7" s="2958" t="s">
        <v>3944</v>
      </c>
      <c r="I7" s="2959">
        <v>25.98</v>
      </c>
      <c r="J7" s="2959">
        <v>30588.07</v>
      </c>
      <c r="K7" s="2959">
        <v>794678</v>
      </c>
      <c r="L7" s="2960">
        <v>43303</v>
      </c>
      <c r="M7" s="2958" t="s">
        <v>3134</v>
      </c>
      <c r="N7" s="2958" t="s">
        <v>3687</v>
      </c>
      <c r="O7" s="2958" t="s">
        <v>3945</v>
      </c>
    </row>
    <row r="8" spans="1:15">
      <c r="A8" s="2958" t="s">
        <v>3956</v>
      </c>
      <c r="B8" s="2958" t="s">
        <v>3941</v>
      </c>
      <c r="C8" s="2958" t="s">
        <v>3942</v>
      </c>
      <c r="D8" s="2958" t="s">
        <v>3130</v>
      </c>
      <c r="E8" s="2958" t="s">
        <v>3321</v>
      </c>
      <c r="F8" s="2958" t="s">
        <v>3955</v>
      </c>
      <c r="G8" s="2958" t="s">
        <v>3141</v>
      </c>
      <c r="H8" s="2958" t="s">
        <v>3944</v>
      </c>
      <c r="I8" s="2959">
        <v>49.99</v>
      </c>
      <c r="J8" s="2959">
        <v>29988.560000000001</v>
      </c>
      <c r="K8" s="2959">
        <v>1499128</v>
      </c>
      <c r="L8" s="2960">
        <v>43306</v>
      </c>
      <c r="M8" s="2958" t="s">
        <v>3134</v>
      </c>
      <c r="N8" s="2958" t="s">
        <v>3687</v>
      </c>
      <c r="O8" s="2958" t="s">
        <v>3945</v>
      </c>
    </row>
    <row r="9" spans="1:15">
      <c r="A9" s="2958" t="s">
        <v>3957</v>
      </c>
      <c r="B9" s="2958" t="s">
        <v>3941</v>
      </c>
      <c r="C9" s="2958" t="s">
        <v>3942</v>
      </c>
      <c r="D9" s="2958" t="s">
        <v>3130</v>
      </c>
      <c r="E9" s="2958" t="s">
        <v>3656</v>
      </c>
      <c r="F9" s="2958" t="s">
        <v>3955</v>
      </c>
      <c r="G9" s="2958" t="s">
        <v>3141</v>
      </c>
      <c r="H9" s="2958" t="s">
        <v>3944</v>
      </c>
      <c r="I9" s="2959">
        <v>44.59</v>
      </c>
      <c r="J9" s="2959">
        <v>53242.77</v>
      </c>
      <c r="K9" s="2959">
        <v>2374095</v>
      </c>
      <c r="L9" s="2960">
        <v>43303</v>
      </c>
      <c r="M9" s="2958" t="s">
        <v>3134</v>
      </c>
      <c r="N9" s="2958" t="s">
        <v>3687</v>
      </c>
      <c r="O9" s="2958" t="s">
        <v>3945</v>
      </c>
    </row>
    <row r="10" spans="1:15">
      <c r="A10" s="2958" t="s">
        <v>3958</v>
      </c>
      <c r="B10" s="2958" t="s">
        <v>3941</v>
      </c>
      <c r="C10" s="2958" t="s">
        <v>3942</v>
      </c>
      <c r="D10" s="2958" t="s">
        <v>3130</v>
      </c>
      <c r="E10" s="2958" t="s">
        <v>3226</v>
      </c>
      <c r="F10" s="2958" t="s">
        <v>3955</v>
      </c>
      <c r="G10" s="2958" t="s">
        <v>3141</v>
      </c>
      <c r="H10" s="2958" t="s">
        <v>3944</v>
      </c>
      <c r="I10" s="2959">
        <v>24.67</v>
      </c>
      <c r="J10" s="2959">
        <v>54894.04</v>
      </c>
      <c r="K10" s="2959">
        <v>1354236</v>
      </c>
      <c r="L10" s="2960">
        <v>43303</v>
      </c>
      <c r="M10" s="2958" t="s">
        <v>3134</v>
      </c>
      <c r="N10" s="2958" t="s">
        <v>3687</v>
      </c>
      <c r="O10" s="2958" t="s">
        <v>3945</v>
      </c>
    </row>
    <row r="11" spans="1:15">
      <c r="A11" s="2958" t="s">
        <v>3959</v>
      </c>
      <c r="B11" s="2958" t="s">
        <v>3941</v>
      </c>
      <c r="C11" s="2958" t="s">
        <v>3942</v>
      </c>
      <c r="D11" s="2958" t="s">
        <v>3130</v>
      </c>
      <c r="E11" s="2958" t="s">
        <v>3345</v>
      </c>
      <c r="F11" s="2958" t="s">
        <v>3960</v>
      </c>
      <c r="G11" s="2958" t="s">
        <v>3141</v>
      </c>
      <c r="H11" s="2958" t="s">
        <v>3944</v>
      </c>
      <c r="I11" s="2959">
        <v>200.03</v>
      </c>
      <c r="J11" s="2959">
        <v>25785.759999999998</v>
      </c>
      <c r="K11" s="2959">
        <v>5157926</v>
      </c>
      <c r="L11" s="2960">
        <v>43303</v>
      </c>
      <c r="M11" s="2958" t="s">
        <v>3134</v>
      </c>
      <c r="N11" s="2958" t="s">
        <v>3687</v>
      </c>
      <c r="O11" s="2958" t="s">
        <v>3945</v>
      </c>
    </row>
    <row r="12" spans="1:15">
      <c r="A12" s="2958" t="s">
        <v>3961</v>
      </c>
      <c r="B12" s="2958" t="s">
        <v>3941</v>
      </c>
      <c r="C12" s="2958" t="s">
        <v>3942</v>
      </c>
      <c r="D12" s="2958" t="s">
        <v>3130</v>
      </c>
      <c r="E12" s="2958" t="s">
        <v>3465</v>
      </c>
      <c r="F12" s="2958" t="s">
        <v>3960</v>
      </c>
      <c r="G12" s="2958" t="s">
        <v>3141</v>
      </c>
      <c r="H12" s="2958" t="s">
        <v>3944</v>
      </c>
      <c r="I12" s="2959">
        <v>54.31</v>
      </c>
      <c r="J12" s="2959">
        <v>52937.75</v>
      </c>
      <c r="K12" s="2959">
        <v>2875049</v>
      </c>
      <c r="L12" s="2960">
        <v>43303</v>
      </c>
      <c r="M12" s="2958" t="s">
        <v>3134</v>
      </c>
      <c r="N12" s="2958" t="s">
        <v>3687</v>
      </c>
      <c r="O12" s="2958" t="s">
        <v>3945</v>
      </c>
    </row>
    <row r="13" spans="1:15">
      <c r="A13" s="2958" t="s">
        <v>3962</v>
      </c>
      <c r="B13" s="2958" t="s">
        <v>3963</v>
      </c>
      <c r="C13" s="2958" t="s">
        <v>3942</v>
      </c>
      <c r="D13" s="2958" t="s">
        <v>3947</v>
      </c>
      <c r="E13" s="2958" t="s">
        <v>3369</v>
      </c>
      <c r="F13" s="2958" t="s">
        <v>3426</v>
      </c>
      <c r="G13" s="2958" t="s">
        <v>3133</v>
      </c>
      <c r="H13" s="2958" t="s">
        <v>3102</v>
      </c>
      <c r="I13" s="2959">
        <v>24.23</v>
      </c>
      <c r="J13" s="2959">
        <v>30209.45</v>
      </c>
      <c r="K13" s="2959">
        <v>731975</v>
      </c>
      <c r="L13" s="2960">
        <v>43305</v>
      </c>
      <c r="M13" s="2958" t="s">
        <v>3134</v>
      </c>
      <c r="N13" s="2958" t="s">
        <v>3687</v>
      </c>
      <c r="O13" s="2958" t="s">
        <v>3945</v>
      </c>
    </row>
    <row r="14" spans="1:15">
      <c r="A14" s="2958" t="s">
        <v>3964</v>
      </c>
      <c r="B14" s="2958" t="s">
        <v>3941</v>
      </c>
      <c r="C14" s="2958" t="s">
        <v>3942</v>
      </c>
      <c r="D14" s="2958" t="s">
        <v>3947</v>
      </c>
      <c r="E14" s="2958" t="s">
        <v>3257</v>
      </c>
      <c r="F14" s="2958" t="s">
        <v>3965</v>
      </c>
      <c r="G14" s="2958" t="s">
        <v>3141</v>
      </c>
      <c r="H14" s="2958" t="s">
        <v>3944</v>
      </c>
      <c r="I14" s="2959">
        <v>39.19</v>
      </c>
      <c r="J14" s="2959">
        <v>33375.199999999997</v>
      </c>
      <c r="K14" s="2959">
        <v>1307974</v>
      </c>
      <c r="L14" s="2960">
        <v>43303</v>
      </c>
      <c r="M14" s="2958" t="s">
        <v>3134</v>
      </c>
      <c r="N14" s="2958" t="s">
        <v>3687</v>
      </c>
      <c r="O14" s="2958" t="s">
        <v>3945</v>
      </c>
    </row>
    <row r="15" spans="1:15">
      <c r="A15" s="2958" t="s">
        <v>3966</v>
      </c>
      <c r="B15" s="2958" t="s">
        <v>3941</v>
      </c>
      <c r="C15" s="2958" t="s">
        <v>3942</v>
      </c>
      <c r="D15" s="2958" t="s">
        <v>3947</v>
      </c>
      <c r="E15" s="2958" t="s">
        <v>3226</v>
      </c>
      <c r="F15" s="2958" t="s">
        <v>3965</v>
      </c>
      <c r="G15" s="2958" t="s">
        <v>3141</v>
      </c>
      <c r="H15" s="2958" t="s">
        <v>3944</v>
      </c>
      <c r="I15" s="2959">
        <v>53.71</v>
      </c>
      <c r="J15" s="2959">
        <v>54536.42</v>
      </c>
      <c r="K15" s="2959">
        <v>2929151</v>
      </c>
      <c r="L15" s="2960">
        <v>43303</v>
      </c>
      <c r="M15" s="2958" t="s">
        <v>3134</v>
      </c>
      <c r="N15" s="2958" t="s">
        <v>3687</v>
      </c>
      <c r="O15" s="2958" t="s">
        <v>3945</v>
      </c>
    </row>
    <row r="16" spans="1:15">
      <c r="A16" s="2958" t="s">
        <v>3967</v>
      </c>
      <c r="B16" s="2958" t="s">
        <v>3941</v>
      </c>
      <c r="C16" s="2958" t="s">
        <v>3942</v>
      </c>
      <c r="D16" s="2958" t="s">
        <v>3130</v>
      </c>
      <c r="E16" s="2958" t="s">
        <v>3257</v>
      </c>
      <c r="F16" s="2958" t="s">
        <v>3968</v>
      </c>
      <c r="G16" s="2958" t="s">
        <v>3141</v>
      </c>
      <c r="H16" s="2958" t="s">
        <v>3944</v>
      </c>
      <c r="I16" s="2959">
        <v>44.87</v>
      </c>
      <c r="J16" s="2959">
        <v>29988.57</v>
      </c>
      <c r="K16" s="2959">
        <v>1345587</v>
      </c>
      <c r="L16" s="2960">
        <v>43303</v>
      </c>
      <c r="M16" s="2958" t="s">
        <v>3134</v>
      </c>
      <c r="N16" s="2958" t="s">
        <v>3687</v>
      </c>
      <c r="O16" s="2958" t="s">
        <v>3945</v>
      </c>
    </row>
    <row r="17" spans="1:15">
      <c r="A17" s="2958" t="s">
        <v>3969</v>
      </c>
      <c r="B17" s="2958" t="s">
        <v>3941</v>
      </c>
      <c r="C17" s="2958" t="s">
        <v>3942</v>
      </c>
      <c r="D17" s="2958" t="s">
        <v>3947</v>
      </c>
      <c r="E17" s="2958" t="s">
        <v>3353</v>
      </c>
      <c r="F17" s="2958" t="s">
        <v>3970</v>
      </c>
      <c r="G17" s="2958" t="s">
        <v>3141</v>
      </c>
      <c r="H17" s="2958" t="s">
        <v>3944</v>
      </c>
      <c r="I17" s="2959">
        <v>48.22</v>
      </c>
      <c r="J17" s="2959">
        <v>30041.17</v>
      </c>
      <c r="K17" s="2959">
        <v>1448585</v>
      </c>
      <c r="L17" s="2960">
        <v>43303</v>
      </c>
      <c r="M17" s="2958" t="s">
        <v>3134</v>
      </c>
      <c r="N17" s="2958" t="s">
        <v>3687</v>
      </c>
      <c r="O17" s="2958" t="s">
        <v>3945</v>
      </c>
    </row>
    <row r="18" spans="1:15">
      <c r="A18" s="2958" t="s">
        <v>3971</v>
      </c>
      <c r="B18" s="2958" t="s">
        <v>3941</v>
      </c>
      <c r="C18" s="2958" t="s">
        <v>3942</v>
      </c>
      <c r="D18" s="2958" t="s">
        <v>3947</v>
      </c>
      <c r="E18" s="2958" t="s">
        <v>3341</v>
      </c>
      <c r="F18" s="2958" t="s">
        <v>3970</v>
      </c>
      <c r="G18" s="2958" t="s">
        <v>3141</v>
      </c>
      <c r="H18" s="2958" t="s">
        <v>3944</v>
      </c>
      <c r="I18" s="2959">
        <v>25.98</v>
      </c>
      <c r="J18" s="2959">
        <v>31187.57</v>
      </c>
      <c r="K18" s="2959">
        <v>810253</v>
      </c>
      <c r="L18" s="2960">
        <v>43303</v>
      </c>
      <c r="M18" s="2958" t="s">
        <v>3134</v>
      </c>
      <c r="N18" s="2958" t="s">
        <v>3687</v>
      </c>
      <c r="O18" s="2958" t="s">
        <v>3945</v>
      </c>
    </row>
    <row r="19" spans="1:15">
      <c r="A19" s="2958" t="s">
        <v>3972</v>
      </c>
      <c r="B19" s="2958" t="s">
        <v>3941</v>
      </c>
      <c r="C19" s="2958" t="s">
        <v>3942</v>
      </c>
      <c r="D19" s="2958" t="s">
        <v>3947</v>
      </c>
      <c r="E19" s="2958" t="s">
        <v>3345</v>
      </c>
      <c r="F19" s="2958" t="s">
        <v>3970</v>
      </c>
      <c r="G19" s="2958" t="s">
        <v>3141</v>
      </c>
      <c r="H19" s="2958" t="s">
        <v>3944</v>
      </c>
      <c r="I19" s="2959">
        <v>44.59</v>
      </c>
      <c r="J19" s="2959">
        <v>53190.18</v>
      </c>
      <c r="K19" s="2959">
        <v>2371750</v>
      </c>
      <c r="L19" s="2960">
        <v>43303</v>
      </c>
      <c r="M19" s="2958" t="s">
        <v>3134</v>
      </c>
      <c r="N19" s="2958" t="s">
        <v>3687</v>
      </c>
      <c r="O19" s="2958" t="s">
        <v>3945</v>
      </c>
    </row>
    <row r="20" spans="1:15">
      <c r="A20" s="2958" t="s">
        <v>3973</v>
      </c>
      <c r="B20" s="2958" t="s">
        <v>3941</v>
      </c>
      <c r="C20" s="2958" t="s">
        <v>3942</v>
      </c>
      <c r="D20" s="2958" t="s">
        <v>3947</v>
      </c>
      <c r="E20" s="2958" t="s">
        <v>3465</v>
      </c>
      <c r="F20" s="2958" t="s">
        <v>3970</v>
      </c>
      <c r="G20" s="2958" t="s">
        <v>3141</v>
      </c>
      <c r="H20" s="2958" t="s">
        <v>3944</v>
      </c>
      <c r="I20" s="2959">
        <v>24.52</v>
      </c>
      <c r="J20" s="2959">
        <v>54652.12</v>
      </c>
      <c r="K20" s="2959">
        <v>1340070</v>
      </c>
      <c r="L20" s="2960">
        <v>43303</v>
      </c>
      <c r="M20" s="2958" t="s">
        <v>3134</v>
      </c>
      <c r="N20" s="2958" t="s">
        <v>3687</v>
      </c>
      <c r="O20" s="2958" t="s">
        <v>3945</v>
      </c>
    </row>
    <row r="21" spans="1:15">
      <c r="A21" s="2958" t="s">
        <v>3974</v>
      </c>
      <c r="B21" s="2958" t="s">
        <v>3975</v>
      </c>
      <c r="C21" s="2958" t="s">
        <v>3942</v>
      </c>
      <c r="D21" s="2958" t="s">
        <v>3976</v>
      </c>
      <c r="E21" s="2958" t="s">
        <v>3517</v>
      </c>
      <c r="F21" s="2958" t="s">
        <v>3977</v>
      </c>
      <c r="G21" s="2958" t="s">
        <v>3141</v>
      </c>
      <c r="H21" s="2958" t="s">
        <v>3102</v>
      </c>
      <c r="I21" s="2959">
        <v>43.14</v>
      </c>
      <c r="J21" s="2959">
        <v>32466.880000000001</v>
      </c>
      <c r="K21" s="2959">
        <v>1400621</v>
      </c>
      <c r="L21" s="2960">
        <v>43286</v>
      </c>
      <c r="M21" s="2958" t="s">
        <v>3134</v>
      </c>
      <c r="N21" s="2958" t="s">
        <v>3687</v>
      </c>
      <c r="O21" s="2958" t="s">
        <v>3945</v>
      </c>
    </row>
    <row r="22" spans="1:15">
      <c r="A22" s="2958" t="s">
        <v>3978</v>
      </c>
      <c r="B22" s="2958" t="s">
        <v>3941</v>
      </c>
      <c r="C22" s="2958" t="s">
        <v>3942</v>
      </c>
      <c r="D22" s="2958" t="s">
        <v>3976</v>
      </c>
      <c r="E22" s="2958" t="s">
        <v>3353</v>
      </c>
      <c r="F22" s="2958" t="s">
        <v>3979</v>
      </c>
      <c r="G22" s="2958" t="s">
        <v>3141</v>
      </c>
      <c r="H22" s="2958" t="s">
        <v>3944</v>
      </c>
      <c r="I22" s="2959">
        <v>27.78</v>
      </c>
      <c r="J22" s="2959">
        <v>35397.839999999997</v>
      </c>
      <c r="K22" s="2959">
        <v>983352</v>
      </c>
      <c r="L22" s="2960">
        <v>43281</v>
      </c>
      <c r="M22" s="2958" t="s">
        <v>3134</v>
      </c>
      <c r="N22" s="2958" t="s">
        <v>3687</v>
      </c>
      <c r="O22" s="2958" t="s">
        <v>3945</v>
      </c>
    </row>
    <row r="23" spans="1:15">
      <c r="A23" s="2958" t="s">
        <v>3980</v>
      </c>
      <c r="B23" s="2958" t="s">
        <v>3941</v>
      </c>
      <c r="C23" s="2958" t="s">
        <v>3942</v>
      </c>
      <c r="D23" s="2958" t="s">
        <v>3976</v>
      </c>
      <c r="E23" s="2958" t="s">
        <v>3218</v>
      </c>
      <c r="F23" s="2958" t="s">
        <v>3981</v>
      </c>
      <c r="G23" s="2958" t="s">
        <v>3141</v>
      </c>
      <c r="H23" s="2958" t="s">
        <v>3944</v>
      </c>
      <c r="I23" s="2959">
        <v>36.43</v>
      </c>
      <c r="J23" s="2959">
        <v>34458.5</v>
      </c>
      <c r="K23" s="2959">
        <v>1255323</v>
      </c>
      <c r="L23" s="2960">
        <v>43281</v>
      </c>
      <c r="M23" s="2958" t="s">
        <v>3134</v>
      </c>
      <c r="N23" s="2958" t="s">
        <v>3687</v>
      </c>
      <c r="O23" s="2958" t="s">
        <v>3945</v>
      </c>
    </row>
    <row r="24" spans="1:15">
      <c r="A24" s="2958" t="s">
        <v>3982</v>
      </c>
      <c r="B24" s="2958" t="s">
        <v>3941</v>
      </c>
      <c r="C24" s="2958" t="s">
        <v>3942</v>
      </c>
      <c r="D24" s="2958" t="s">
        <v>3976</v>
      </c>
      <c r="E24" s="2958" t="s">
        <v>3257</v>
      </c>
      <c r="F24" s="2958" t="s">
        <v>3983</v>
      </c>
      <c r="G24" s="2958" t="s">
        <v>3141</v>
      </c>
      <c r="H24" s="2958" t="s">
        <v>3944</v>
      </c>
      <c r="I24" s="2959">
        <v>34.78</v>
      </c>
      <c r="J24" s="2959">
        <v>58196.52</v>
      </c>
      <c r="K24" s="2959">
        <v>2024075</v>
      </c>
      <c r="L24" s="2960">
        <v>43281</v>
      </c>
      <c r="M24" s="2958" t="s">
        <v>3134</v>
      </c>
      <c r="N24" s="2958" t="s">
        <v>3687</v>
      </c>
      <c r="O24" s="2958" t="s">
        <v>3945</v>
      </c>
    </row>
    <row r="25" spans="1:15">
      <c r="A25" s="2958" t="s">
        <v>3984</v>
      </c>
      <c r="B25" s="2958" t="s">
        <v>3941</v>
      </c>
      <c r="C25" s="2958" t="s">
        <v>3942</v>
      </c>
      <c r="D25" s="2958" t="s">
        <v>3976</v>
      </c>
      <c r="E25" s="2958" t="s">
        <v>3465</v>
      </c>
      <c r="F25" s="2958" t="s">
        <v>3985</v>
      </c>
      <c r="G25" s="2958" t="s">
        <v>3133</v>
      </c>
      <c r="H25" s="2958" t="s">
        <v>3944</v>
      </c>
      <c r="I25" s="2959">
        <v>54.38</v>
      </c>
      <c r="J25" s="2959">
        <v>54736.26</v>
      </c>
      <c r="K25" s="2959">
        <v>2976558</v>
      </c>
      <c r="L25" s="2960">
        <v>43281</v>
      </c>
      <c r="M25" s="2958" t="s">
        <v>3134</v>
      </c>
      <c r="N25" s="2958" t="s">
        <v>3687</v>
      </c>
      <c r="O25" s="2958" t="s">
        <v>3945</v>
      </c>
    </row>
    <row r="26" spans="1:15">
      <c r="A26" s="2958" t="s">
        <v>3986</v>
      </c>
      <c r="B26" s="2958" t="s">
        <v>3941</v>
      </c>
      <c r="C26" s="2958" t="s">
        <v>3942</v>
      </c>
      <c r="D26" s="2958" t="s">
        <v>3976</v>
      </c>
      <c r="E26" s="2958" t="s">
        <v>3198</v>
      </c>
      <c r="F26" s="2958" t="s">
        <v>3987</v>
      </c>
      <c r="G26" s="2958" t="s">
        <v>3141</v>
      </c>
      <c r="H26" s="2958" t="s">
        <v>3944</v>
      </c>
      <c r="I26" s="2959">
        <v>124.06</v>
      </c>
      <c r="J26" s="2959">
        <v>30012.75</v>
      </c>
      <c r="K26" s="2959">
        <v>3723382</v>
      </c>
      <c r="L26" s="2960">
        <v>43281</v>
      </c>
      <c r="M26" s="2958" t="s">
        <v>3134</v>
      </c>
      <c r="N26" s="2958" t="s">
        <v>3687</v>
      </c>
      <c r="O26" s="2958" t="s">
        <v>3945</v>
      </c>
    </row>
    <row r="27" spans="1:15">
      <c r="A27" s="2958" t="s">
        <v>3988</v>
      </c>
      <c r="B27" s="2958" t="s">
        <v>3941</v>
      </c>
      <c r="C27" s="2958" t="s">
        <v>3942</v>
      </c>
      <c r="D27" s="2958" t="s">
        <v>3976</v>
      </c>
      <c r="E27" s="2958" t="s">
        <v>3321</v>
      </c>
      <c r="F27" s="2958" t="s">
        <v>3987</v>
      </c>
      <c r="G27" s="2958" t="s">
        <v>3141</v>
      </c>
      <c r="H27" s="2958" t="s">
        <v>3944</v>
      </c>
      <c r="I27" s="2959">
        <v>38.880000000000003</v>
      </c>
      <c r="J27" s="2959">
        <v>38697.07</v>
      </c>
      <c r="K27" s="2959">
        <v>1504542</v>
      </c>
      <c r="L27" s="2960">
        <v>43281</v>
      </c>
      <c r="M27" s="2958" t="s">
        <v>3134</v>
      </c>
      <c r="N27" s="2958" t="s">
        <v>3687</v>
      </c>
      <c r="O27" s="2958" t="s">
        <v>3945</v>
      </c>
    </row>
    <row r="28" spans="1:15">
      <c r="A28" s="2958" t="s">
        <v>3989</v>
      </c>
      <c r="B28" s="2958" t="s">
        <v>3941</v>
      </c>
      <c r="C28" s="2958" t="s">
        <v>3942</v>
      </c>
      <c r="D28" s="2958" t="s">
        <v>3976</v>
      </c>
      <c r="E28" s="2958" t="s">
        <v>3155</v>
      </c>
      <c r="F28" s="2958" t="s">
        <v>3990</v>
      </c>
      <c r="G28" s="2958" t="s">
        <v>3141</v>
      </c>
      <c r="H28" s="2958" t="s">
        <v>3944</v>
      </c>
      <c r="I28" s="2959">
        <v>120.81</v>
      </c>
      <c r="J28" s="2959">
        <v>21107.58</v>
      </c>
      <c r="K28" s="2959">
        <v>2550007</v>
      </c>
      <c r="L28" s="2960">
        <v>43281</v>
      </c>
      <c r="M28" s="2958" t="s">
        <v>3134</v>
      </c>
      <c r="N28" s="2958" t="s">
        <v>3687</v>
      </c>
      <c r="O28" s="2958" t="s">
        <v>3945</v>
      </c>
    </row>
    <row r="29" spans="1:15">
      <c r="A29" s="2958" t="s">
        <v>3991</v>
      </c>
      <c r="B29" s="2958" t="s">
        <v>3992</v>
      </c>
      <c r="C29" s="2958" t="s">
        <v>3942</v>
      </c>
      <c r="D29" s="2958" t="s">
        <v>3976</v>
      </c>
      <c r="E29" s="2958" t="s">
        <v>3369</v>
      </c>
      <c r="F29" s="2958" t="s">
        <v>3993</v>
      </c>
      <c r="G29" s="2958" t="s">
        <v>3141</v>
      </c>
      <c r="H29" s="2958" t="s">
        <v>3102</v>
      </c>
      <c r="I29" s="2959">
        <v>40.6</v>
      </c>
      <c r="J29" s="2959">
        <v>34416.43</v>
      </c>
      <c r="K29" s="2959">
        <v>1397307</v>
      </c>
      <c r="L29" s="2960">
        <v>43281</v>
      </c>
      <c r="M29" s="2958" t="s">
        <v>3134</v>
      </c>
      <c r="N29" s="2958" t="s">
        <v>3687</v>
      </c>
      <c r="O29" s="2958" t="s">
        <v>3945</v>
      </c>
    </row>
    <row r="30" spans="1:15">
      <c r="A30" s="2958" t="s">
        <v>3994</v>
      </c>
      <c r="B30" s="2958" t="s">
        <v>3941</v>
      </c>
      <c r="C30" s="2958" t="s">
        <v>3942</v>
      </c>
      <c r="D30" s="2958" t="s">
        <v>3976</v>
      </c>
      <c r="E30" s="2958" t="s">
        <v>3297</v>
      </c>
      <c r="F30" s="2958" t="s">
        <v>3995</v>
      </c>
      <c r="G30" s="2958" t="s">
        <v>3141</v>
      </c>
      <c r="H30" s="2958" t="s">
        <v>3944</v>
      </c>
      <c r="I30" s="2959">
        <v>42.27</v>
      </c>
      <c r="J30" s="2959">
        <v>34216.61</v>
      </c>
      <c r="K30" s="2959">
        <v>1446336</v>
      </c>
      <c r="L30" s="2960">
        <v>43281</v>
      </c>
      <c r="M30" s="2958" t="s">
        <v>3134</v>
      </c>
      <c r="N30" s="2958" t="s">
        <v>3687</v>
      </c>
      <c r="O30" s="2958" t="s">
        <v>3945</v>
      </c>
    </row>
  </sheetData>
  <phoneticPr fontId="144"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9"/>
  <sheetViews>
    <sheetView topLeftCell="A33" workbookViewId="0">
      <selection activeCell="J2" sqref="J2:J229"/>
    </sheetView>
  </sheetViews>
  <sheetFormatPr defaultRowHeight="12.75"/>
  <cols>
    <col min="1" max="1" width="10.5" style="2958" bestFit="1" customWidth="1"/>
    <col min="2" max="2" width="17.375" style="2958" customWidth="1"/>
    <col min="3" max="3" width="7" style="2958" bestFit="1" customWidth="1"/>
    <col min="4" max="5" width="5.25" style="2958" bestFit="1" customWidth="1"/>
    <col min="6" max="6" width="9.5" style="2958" customWidth="1"/>
    <col min="7" max="7" width="7" style="2958" bestFit="1" customWidth="1"/>
    <col min="8" max="8" width="5.25" style="2958" bestFit="1" customWidth="1"/>
    <col min="9" max="9" width="7" style="2958" bestFit="1" customWidth="1"/>
    <col min="10" max="10" width="8.75" style="2958" bestFit="1" customWidth="1"/>
    <col min="11" max="11" width="10.5" style="2958" bestFit="1" customWidth="1"/>
    <col min="12" max="12" width="14.875" style="2958" bestFit="1" customWidth="1"/>
    <col min="13" max="13" width="8.625" style="2958" customWidth="1"/>
    <col min="14" max="14" width="6.5" style="2958" customWidth="1"/>
    <col min="15" max="15" width="8" style="2958" customWidth="1"/>
    <col min="16" max="16384" width="9" style="2958"/>
  </cols>
  <sheetData>
    <row r="1" spans="1:15">
      <c r="A1" s="2957" t="s">
        <v>3112</v>
      </c>
      <c r="B1" s="2957" t="s">
        <v>3113</v>
      </c>
      <c r="C1" s="2957" t="s">
        <v>3114</v>
      </c>
      <c r="D1" s="2957" t="s">
        <v>3115</v>
      </c>
      <c r="E1" s="2957" t="s">
        <v>3116</v>
      </c>
      <c r="F1" s="2957" t="s">
        <v>3117</v>
      </c>
      <c r="G1" s="2957" t="s">
        <v>3118</v>
      </c>
      <c r="H1" s="2957" t="s">
        <v>3119</v>
      </c>
      <c r="I1" s="2957" t="s">
        <v>3120</v>
      </c>
      <c r="J1" s="2957" t="s">
        <v>3121</v>
      </c>
      <c r="K1" s="2957" t="s">
        <v>3122</v>
      </c>
      <c r="L1" s="2957" t="s">
        <v>3123</v>
      </c>
      <c r="M1" s="2957" t="s">
        <v>3124</v>
      </c>
      <c r="N1" s="2957" t="s">
        <v>3125</v>
      </c>
      <c r="O1" s="2957" t="s">
        <v>3126</v>
      </c>
    </row>
    <row r="2" spans="1:15">
      <c r="A2" s="2958" t="s">
        <v>3127</v>
      </c>
      <c r="B2" s="2958" t="s">
        <v>3128</v>
      </c>
      <c r="C2" s="2958" t="s">
        <v>3129</v>
      </c>
      <c r="D2" s="2958" t="s">
        <v>3130</v>
      </c>
      <c r="E2" s="2958" t="s">
        <v>3131</v>
      </c>
      <c r="F2" s="2958" t="s">
        <v>3132</v>
      </c>
      <c r="G2" s="2958" t="s">
        <v>3133</v>
      </c>
      <c r="H2" s="2958" t="s">
        <v>3102</v>
      </c>
      <c r="I2" s="2959">
        <v>25.57</v>
      </c>
      <c r="J2" s="2959">
        <v>21735.94</v>
      </c>
      <c r="K2" s="2959">
        <v>555788</v>
      </c>
      <c r="L2" s="2960">
        <v>43242</v>
      </c>
      <c r="M2" s="2958" t="s">
        <v>3134</v>
      </c>
      <c r="N2" s="2958" t="s">
        <v>3135</v>
      </c>
      <c r="O2" s="2958" t="s">
        <v>3136</v>
      </c>
    </row>
    <row r="3" spans="1:15">
      <c r="A3" s="2958" t="s">
        <v>3137</v>
      </c>
      <c r="B3" s="2958" t="s">
        <v>3138</v>
      </c>
      <c r="C3" s="2958" t="s">
        <v>3129</v>
      </c>
      <c r="D3" s="2958" t="s">
        <v>3130</v>
      </c>
      <c r="E3" s="2958" t="s">
        <v>3139</v>
      </c>
      <c r="F3" s="2958" t="s">
        <v>3140</v>
      </c>
      <c r="G3" s="2958" t="s">
        <v>3141</v>
      </c>
      <c r="H3" s="2958" t="s">
        <v>3102</v>
      </c>
      <c r="I3" s="2959">
        <v>46.38</v>
      </c>
      <c r="J3" s="2959">
        <v>13985.79</v>
      </c>
      <c r="K3" s="2959">
        <v>648661</v>
      </c>
      <c r="L3" s="2960">
        <v>43239</v>
      </c>
      <c r="M3" s="2958" t="s">
        <v>3134</v>
      </c>
      <c r="N3" s="2958" t="s">
        <v>3135</v>
      </c>
      <c r="O3" s="2958" t="s">
        <v>3136</v>
      </c>
    </row>
    <row r="4" spans="1:15">
      <c r="A4" s="2958" t="s">
        <v>3142</v>
      </c>
      <c r="B4" s="2958" t="s">
        <v>3143</v>
      </c>
      <c r="C4" s="2958" t="s">
        <v>3129</v>
      </c>
      <c r="D4" s="2958" t="s">
        <v>3130</v>
      </c>
      <c r="E4" s="2958" t="s">
        <v>3144</v>
      </c>
      <c r="F4" s="2958" t="s">
        <v>3140</v>
      </c>
      <c r="G4" s="2958" t="s">
        <v>3141</v>
      </c>
      <c r="H4" s="2958" t="s">
        <v>3102</v>
      </c>
      <c r="I4" s="2959">
        <v>40.090000000000003</v>
      </c>
      <c r="J4" s="2959">
        <v>14037.32</v>
      </c>
      <c r="K4" s="2959">
        <v>562756</v>
      </c>
      <c r="L4" s="2960">
        <v>43239</v>
      </c>
      <c r="M4" s="2958" t="s">
        <v>3134</v>
      </c>
      <c r="N4" s="2958" t="s">
        <v>3135</v>
      </c>
      <c r="O4" s="2958" t="s">
        <v>3136</v>
      </c>
    </row>
    <row r="5" spans="1:15">
      <c r="A5" s="2958" t="s">
        <v>3145</v>
      </c>
      <c r="B5" s="2958" t="s">
        <v>3146</v>
      </c>
      <c r="C5" s="2958" t="s">
        <v>3129</v>
      </c>
      <c r="D5" s="2958" t="s">
        <v>3130</v>
      </c>
      <c r="E5" s="2958" t="s">
        <v>3147</v>
      </c>
      <c r="F5" s="2958" t="s">
        <v>3148</v>
      </c>
      <c r="G5" s="2958" t="s">
        <v>3141</v>
      </c>
      <c r="H5" s="2958" t="s">
        <v>3102</v>
      </c>
      <c r="I5" s="2959">
        <v>35.4</v>
      </c>
      <c r="J5" s="2959">
        <v>31388.39</v>
      </c>
      <c r="K5" s="2959">
        <v>1111149</v>
      </c>
      <c r="L5" s="2960">
        <v>43239</v>
      </c>
      <c r="M5" s="2958" t="s">
        <v>3134</v>
      </c>
      <c r="N5" s="2958" t="s">
        <v>3135</v>
      </c>
      <c r="O5" s="2958" t="s">
        <v>3136</v>
      </c>
    </row>
    <row r="6" spans="1:15">
      <c r="A6" s="2958" t="s">
        <v>3149</v>
      </c>
      <c r="B6" s="2958" t="s">
        <v>3150</v>
      </c>
      <c r="C6" s="2958" t="s">
        <v>3129</v>
      </c>
      <c r="D6" s="2958" t="s">
        <v>3130</v>
      </c>
      <c r="E6" s="2958" t="s">
        <v>3151</v>
      </c>
      <c r="F6" s="2958" t="s">
        <v>3152</v>
      </c>
      <c r="G6" s="2958" t="s">
        <v>3141</v>
      </c>
      <c r="H6" s="2958" t="s">
        <v>3102</v>
      </c>
      <c r="I6" s="2959">
        <v>77.13</v>
      </c>
      <c r="J6" s="2959">
        <v>12955.06</v>
      </c>
      <c r="K6" s="2959">
        <v>999224</v>
      </c>
      <c r="L6" s="2960">
        <v>43234</v>
      </c>
      <c r="M6" s="2958" t="s">
        <v>3134</v>
      </c>
      <c r="N6" s="2958" t="s">
        <v>3135</v>
      </c>
      <c r="O6" s="2958" t="s">
        <v>3136</v>
      </c>
    </row>
    <row r="7" spans="1:15">
      <c r="A7" s="2958" t="s">
        <v>3153</v>
      </c>
      <c r="B7" s="2958" t="s">
        <v>3154</v>
      </c>
      <c r="C7" s="2958" t="s">
        <v>3129</v>
      </c>
      <c r="D7" s="2958" t="s">
        <v>3130</v>
      </c>
      <c r="E7" s="2958" t="s">
        <v>3155</v>
      </c>
      <c r="F7" s="2958" t="s">
        <v>3152</v>
      </c>
      <c r="G7" s="2958" t="s">
        <v>3141</v>
      </c>
      <c r="H7" s="2958" t="s">
        <v>3102</v>
      </c>
      <c r="I7" s="2959">
        <v>82.91</v>
      </c>
      <c r="J7" s="2959">
        <v>12517.02</v>
      </c>
      <c r="K7" s="2959">
        <v>1037786</v>
      </c>
      <c r="L7" s="2960">
        <v>43234</v>
      </c>
      <c r="M7" s="2958" t="s">
        <v>3134</v>
      </c>
      <c r="N7" s="2958" t="s">
        <v>3135</v>
      </c>
      <c r="O7" s="2958" t="s">
        <v>3136</v>
      </c>
    </row>
    <row r="8" spans="1:15">
      <c r="A8" s="2958" t="s">
        <v>3156</v>
      </c>
      <c r="B8" s="2958" t="s">
        <v>3157</v>
      </c>
      <c r="C8" s="2958" t="s">
        <v>3129</v>
      </c>
      <c r="D8" s="2958" t="s">
        <v>3130</v>
      </c>
      <c r="E8" s="2958" t="s">
        <v>3158</v>
      </c>
      <c r="F8" s="2958" t="s">
        <v>3152</v>
      </c>
      <c r="G8" s="2958" t="s">
        <v>3141</v>
      </c>
      <c r="H8" s="2958" t="s">
        <v>3102</v>
      </c>
      <c r="I8" s="2959">
        <v>84.84</v>
      </c>
      <c r="J8" s="2959">
        <v>14655.75</v>
      </c>
      <c r="K8" s="2959">
        <v>1243394</v>
      </c>
      <c r="L8" s="2960">
        <v>43234</v>
      </c>
      <c r="M8" s="2958" t="s">
        <v>3134</v>
      </c>
      <c r="N8" s="2958" t="s">
        <v>3135</v>
      </c>
      <c r="O8" s="2958" t="s">
        <v>3136</v>
      </c>
    </row>
    <row r="9" spans="1:15">
      <c r="A9" s="2958" t="s">
        <v>3159</v>
      </c>
      <c r="B9" s="2958" t="s">
        <v>3160</v>
      </c>
      <c r="C9" s="2958" t="s">
        <v>3129</v>
      </c>
      <c r="D9" s="2958" t="s">
        <v>3130</v>
      </c>
      <c r="E9" s="2958" t="s">
        <v>3161</v>
      </c>
      <c r="F9" s="2958" t="s">
        <v>3162</v>
      </c>
      <c r="G9" s="2958" t="s">
        <v>3133</v>
      </c>
      <c r="H9" s="2958" t="s">
        <v>3102</v>
      </c>
      <c r="I9" s="2959">
        <v>31.24</v>
      </c>
      <c r="J9" s="2959">
        <v>15576.57</v>
      </c>
      <c r="K9" s="2959">
        <v>486612</v>
      </c>
      <c r="L9" s="2960">
        <v>43226</v>
      </c>
      <c r="M9" s="2958" t="s">
        <v>3134</v>
      </c>
      <c r="N9" s="2958" t="s">
        <v>3135</v>
      </c>
      <c r="O9" s="2958" t="s">
        <v>3136</v>
      </c>
    </row>
    <row r="10" spans="1:15">
      <c r="A10" s="2958" t="s">
        <v>3163</v>
      </c>
      <c r="B10" s="2958" t="s">
        <v>3164</v>
      </c>
      <c r="C10" s="2958" t="s">
        <v>3129</v>
      </c>
      <c r="D10" s="2958" t="s">
        <v>3130</v>
      </c>
      <c r="E10" s="2958" t="s">
        <v>3165</v>
      </c>
      <c r="F10" s="2958" t="s">
        <v>3166</v>
      </c>
      <c r="G10" s="2958" t="s">
        <v>3141</v>
      </c>
      <c r="H10" s="2958" t="s">
        <v>3102</v>
      </c>
      <c r="I10" s="2959">
        <v>35.32</v>
      </c>
      <c r="J10" s="2959">
        <v>30976.1</v>
      </c>
      <c r="K10" s="2959">
        <v>1094076</v>
      </c>
      <c r="L10" s="2960">
        <v>43222</v>
      </c>
      <c r="M10" s="2958" t="s">
        <v>3134</v>
      </c>
      <c r="N10" s="2958" t="s">
        <v>3135</v>
      </c>
      <c r="O10" s="2958" t="s">
        <v>3136</v>
      </c>
    </row>
    <row r="11" spans="1:15">
      <c r="A11" s="2958" t="s">
        <v>3167</v>
      </c>
      <c r="B11" s="2958" t="s">
        <v>3168</v>
      </c>
      <c r="C11" s="2958" t="s">
        <v>3129</v>
      </c>
      <c r="D11" s="2958" t="s">
        <v>3130</v>
      </c>
      <c r="E11" s="2958" t="s">
        <v>3169</v>
      </c>
      <c r="F11" s="2958" t="s">
        <v>3170</v>
      </c>
      <c r="G11" s="2958" t="s">
        <v>3141</v>
      </c>
      <c r="H11" s="2958" t="s">
        <v>3102</v>
      </c>
      <c r="I11" s="2959">
        <v>47.58</v>
      </c>
      <c r="J11" s="2959">
        <v>39324.879999999997</v>
      </c>
      <c r="K11" s="2959">
        <v>1871078</v>
      </c>
      <c r="L11" s="2960">
        <v>43220</v>
      </c>
      <c r="M11" s="2958" t="s">
        <v>3134</v>
      </c>
      <c r="N11" s="2958" t="s">
        <v>3135</v>
      </c>
      <c r="O11" s="2958" t="s">
        <v>3136</v>
      </c>
    </row>
    <row r="12" spans="1:15">
      <c r="A12" s="2958" t="s">
        <v>3171</v>
      </c>
      <c r="B12" s="2958" t="s">
        <v>3172</v>
      </c>
      <c r="C12" s="2958" t="s">
        <v>3129</v>
      </c>
      <c r="D12" s="2958" t="s">
        <v>3130</v>
      </c>
      <c r="E12" s="2958" t="s">
        <v>3173</v>
      </c>
      <c r="F12" s="2958" t="s">
        <v>3170</v>
      </c>
      <c r="G12" s="2958" t="s">
        <v>3141</v>
      </c>
      <c r="H12" s="2958" t="s">
        <v>3102</v>
      </c>
      <c r="I12" s="2959">
        <v>55.05</v>
      </c>
      <c r="J12" s="2959">
        <v>45096.89</v>
      </c>
      <c r="K12" s="2959">
        <v>2482584</v>
      </c>
      <c r="L12" s="2960">
        <v>43220</v>
      </c>
      <c r="M12" s="2958" t="s">
        <v>3134</v>
      </c>
      <c r="N12" s="2958" t="s">
        <v>3135</v>
      </c>
      <c r="O12" s="2958" t="s">
        <v>3136</v>
      </c>
    </row>
    <row r="13" spans="1:15">
      <c r="A13" s="2958" t="s">
        <v>3174</v>
      </c>
      <c r="B13" s="2958" t="s">
        <v>3175</v>
      </c>
      <c r="C13" s="2958" t="s">
        <v>3129</v>
      </c>
      <c r="D13" s="2958" t="s">
        <v>3130</v>
      </c>
      <c r="E13" s="2958" t="s">
        <v>3176</v>
      </c>
      <c r="F13" s="2958" t="s">
        <v>3177</v>
      </c>
      <c r="G13" s="2958" t="s">
        <v>3133</v>
      </c>
      <c r="H13" s="2958" t="s">
        <v>3102</v>
      </c>
      <c r="I13" s="2959">
        <v>25.57</v>
      </c>
      <c r="J13" s="2959">
        <v>30255.57</v>
      </c>
      <c r="K13" s="2959">
        <v>773635</v>
      </c>
      <c r="L13" s="2960">
        <v>43217</v>
      </c>
      <c r="M13" s="2958" t="s">
        <v>3134</v>
      </c>
      <c r="N13" s="2958" t="s">
        <v>3135</v>
      </c>
      <c r="O13" s="2958" t="s">
        <v>3136</v>
      </c>
    </row>
    <row r="14" spans="1:15">
      <c r="A14" s="2958" t="s">
        <v>3178</v>
      </c>
      <c r="B14" s="2958" t="s">
        <v>3179</v>
      </c>
      <c r="C14" s="2958" t="s">
        <v>3129</v>
      </c>
      <c r="D14" s="2958" t="s">
        <v>3130</v>
      </c>
      <c r="E14" s="2958" t="s">
        <v>3180</v>
      </c>
      <c r="F14" s="2958" t="s">
        <v>3177</v>
      </c>
      <c r="G14" s="2958" t="s">
        <v>3133</v>
      </c>
      <c r="H14" s="2958" t="s">
        <v>3102</v>
      </c>
      <c r="I14" s="2959">
        <v>25.57</v>
      </c>
      <c r="J14" s="2959">
        <v>30407.08</v>
      </c>
      <c r="K14" s="2959">
        <v>777509</v>
      </c>
      <c r="L14" s="2960">
        <v>43217</v>
      </c>
      <c r="M14" s="2958" t="s">
        <v>3134</v>
      </c>
      <c r="N14" s="2958" t="s">
        <v>3135</v>
      </c>
      <c r="O14" s="2958" t="s">
        <v>3136</v>
      </c>
    </row>
    <row r="15" spans="1:15">
      <c r="A15" s="2958" t="s">
        <v>3181</v>
      </c>
      <c r="B15" s="2958" t="s">
        <v>3182</v>
      </c>
      <c r="C15" s="2958" t="s">
        <v>3129</v>
      </c>
      <c r="D15" s="2958" t="s">
        <v>3130</v>
      </c>
      <c r="E15" s="2958" t="s">
        <v>3183</v>
      </c>
      <c r="F15" s="2958" t="s">
        <v>3184</v>
      </c>
      <c r="G15" s="2958" t="s">
        <v>3141</v>
      </c>
      <c r="H15" s="2958" t="s">
        <v>3102</v>
      </c>
      <c r="I15" s="2959">
        <v>35.32</v>
      </c>
      <c r="J15" s="2959">
        <v>36253.370000000003</v>
      </c>
      <c r="K15" s="2959">
        <v>1280469</v>
      </c>
      <c r="L15" s="2960">
        <v>43212</v>
      </c>
      <c r="M15" s="2958" t="s">
        <v>3134</v>
      </c>
      <c r="N15" s="2958" t="s">
        <v>3135</v>
      </c>
      <c r="O15" s="2958" t="s">
        <v>3136</v>
      </c>
    </row>
    <row r="16" spans="1:15">
      <c r="A16" s="2958" t="s">
        <v>3185</v>
      </c>
      <c r="B16" s="2958" t="s">
        <v>3186</v>
      </c>
      <c r="C16" s="2958" t="s">
        <v>3129</v>
      </c>
      <c r="D16" s="2958" t="s">
        <v>3130</v>
      </c>
      <c r="E16" s="2958" t="s">
        <v>3187</v>
      </c>
      <c r="F16" s="2958" t="s">
        <v>3184</v>
      </c>
      <c r="G16" s="2958" t="s">
        <v>3141</v>
      </c>
      <c r="H16" s="2958" t="s">
        <v>3102</v>
      </c>
      <c r="I16" s="2959">
        <v>35.32</v>
      </c>
      <c r="J16" s="2959">
        <v>36562.57</v>
      </c>
      <c r="K16" s="2959">
        <v>1291390</v>
      </c>
      <c r="L16" s="2960">
        <v>43212</v>
      </c>
      <c r="M16" s="2958" t="s">
        <v>3134</v>
      </c>
      <c r="N16" s="2958" t="s">
        <v>3135</v>
      </c>
      <c r="O16" s="2958" t="s">
        <v>3136</v>
      </c>
    </row>
    <row r="17" spans="1:15">
      <c r="A17" s="2958" t="s">
        <v>3188</v>
      </c>
      <c r="B17" s="2958" t="s">
        <v>3189</v>
      </c>
      <c r="C17" s="2958" t="s">
        <v>3129</v>
      </c>
      <c r="D17" s="2958" t="s">
        <v>3130</v>
      </c>
      <c r="E17" s="2958" t="s">
        <v>3190</v>
      </c>
      <c r="F17" s="2958" t="s">
        <v>3191</v>
      </c>
      <c r="G17" s="2958" t="s">
        <v>3133</v>
      </c>
      <c r="H17" s="2958" t="s">
        <v>3102</v>
      </c>
      <c r="I17" s="2959">
        <v>35.32</v>
      </c>
      <c r="J17" s="2959">
        <v>26235.360000000001</v>
      </c>
      <c r="K17" s="2959">
        <v>926633</v>
      </c>
      <c r="L17" s="2960">
        <v>43209</v>
      </c>
      <c r="M17" s="2958" t="s">
        <v>3134</v>
      </c>
      <c r="N17" s="2958" t="s">
        <v>3135</v>
      </c>
      <c r="O17" s="2958" t="s">
        <v>3136</v>
      </c>
    </row>
    <row r="18" spans="1:15">
      <c r="A18" s="2958" t="s">
        <v>3192</v>
      </c>
      <c r="B18" s="2958" t="s">
        <v>3193</v>
      </c>
      <c r="C18" s="2958" t="s">
        <v>3129</v>
      </c>
      <c r="D18" s="2958" t="s">
        <v>3130</v>
      </c>
      <c r="E18" s="2958" t="s">
        <v>3194</v>
      </c>
      <c r="F18" s="2958" t="s">
        <v>3195</v>
      </c>
      <c r="G18" s="2958" t="s">
        <v>3141</v>
      </c>
      <c r="H18" s="2958" t="s">
        <v>3102</v>
      </c>
      <c r="I18" s="2959">
        <v>29.46</v>
      </c>
      <c r="J18" s="2959">
        <v>29141.45</v>
      </c>
      <c r="K18" s="2959">
        <v>858507</v>
      </c>
      <c r="L18" s="2960">
        <v>43207</v>
      </c>
      <c r="M18" s="2958" t="s">
        <v>3134</v>
      </c>
      <c r="N18" s="2958" t="s">
        <v>3135</v>
      </c>
      <c r="O18" s="2958" t="s">
        <v>3136</v>
      </c>
    </row>
    <row r="19" spans="1:15">
      <c r="A19" s="2958" t="s">
        <v>3196</v>
      </c>
      <c r="B19" s="2958" t="s">
        <v>3197</v>
      </c>
      <c r="C19" s="2958" t="s">
        <v>3129</v>
      </c>
      <c r="D19" s="2958" t="s">
        <v>3130</v>
      </c>
      <c r="E19" s="2958" t="s">
        <v>3198</v>
      </c>
      <c r="F19" s="2958" t="s">
        <v>3199</v>
      </c>
      <c r="G19" s="2958" t="s">
        <v>3141</v>
      </c>
      <c r="H19" s="2958" t="s">
        <v>3102</v>
      </c>
      <c r="I19" s="2959">
        <v>29.46</v>
      </c>
      <c r="J19" s="2959">
        <v>29326.95</v>
      </c>
      <c r="K19" s="2959">
        <v>863972</v>
      </c>
      <c r="L19" s="2960">
        <v>43203</v>
      </c>
      <c r="M19" s="2958" t="s">
        <v>3134</v>
      </c>
      <c r="N19" s="2958" t="s">
        <v>3135</v>
      </c>
      <c r="O19" s="2958" t="s">
        <v>3136</v>
      </c>
    </row>
    <row r="20" spans="1:15">
      <c r="A20" s="2958" t="s">
        <v>3200</v>
      </c>
      <c r="B20" s="2958" t="s">
        <v>3201</v>
      </c>
      <c r="C20" s="2958" t="s">
        <v>3129</v>
      </c>
      <c r="D20" s="2958" t="s">
        <v>3130</v>
      </c>
      <c r="E20" s="2958" t="s">
        <v>3202</v>
      </c>
      <c r="F20" s="2958" t="s">
        <v>3203</v>
      </c>
      <c r="G20" s="2958" t="s">
        <v>3141</v>
      </c>
      <c r="H20" s="2958" t="s">
        <v>3102</v>
      </c>
      <c r="I20" s="2959">
        <v>35.32</v>
      </c>
      <c r="J20" s="2959">
        <v>28522.99</v>
      </c>
      <c r="K20" s="2959">
        <v>1007432</v>
      </c>
      <c r="L20" s="2960">
        <v>43205</v>
      </c>
      <c r="M20" s="2958" t="s">
        <v>3134</v>
      </c>
      <c r="N20" s="2958" t="s">
        <v>3135</v>
      </c>
      <c r="O20" s="2958" t="s">
        <v>3136</v>
      </c>
    </row>
    <row r="21" spans="1:15">
      <c r="A21" s="2958" t="s">
        <v>3204</v>
      </c>
      <c r="B21" s="2958" t="s">
        <v>3205</v>
      </c>
      <c r="C21" s="2958" t="s">
        <v>3129</v>
      </c>
      <c r="D21" s="2958" t="s">
        <v>3130</v>
      </c>
      <c r="E21" s="2958" t="s">
        <v>3206</v>
      </c>
      <c r="F21" s="2958" t="s">
        <v>3207</v>
      </c>
      <c r="G21" s="2958" t="s">
        <v>3141</v>
      </c>
      <c r="H21" s="2958" t="s">
        <v>3102</v>
      </c>
      <c r="I21" s="2959">
        <v>35.32</v>
      </c>
      <c r="J21" s="2959">
        <v>29759.85</v>
      </c>
      <c r="K21" s="2959">
        <v>1051118</v>
      </c>
      <c r="L21" s="2960">
        <v>43210</v>
      </c>
      <c r="M21" s="2958" t="s">
        <v>3134</v>
      </c>
      <c r="N21" s="2958" t="s">
        <v>3135</v>
      </c>
      <c r="O21" s="2958" t="s">
        <v>3136</v>
      </c>
    </row>
    <row r="22" spans="1:15">
      <c r="A22" s="2958" t="s">
        <v>3208</v>
      </c>
      <c r="B22" s="2958" t="s">
        <v>3209</v>
      </c>
      <c r="C22" s="2958" t="s">
        <v>3129</v>
      </c>
      <c r="D22" s="2958" t="s">
        <v>3130</v>
      </c>
      <c r="E22" s="2958" t="s">
        <v>3210</v>
      </c>
      <c r="F22" s="2958" t="s">
        <v>3211</v>
      </c>
      <c r="G22" s="2958" t="s">
        <v>3141</v>
      </c>
      <c r="H22" s="2958" t="s">
        <v>3102</v>
      </c>
      <c r="I22" s="2959">
        <v>35.32</v>
      </c>
      <c r="J22" s="2959">
        <v>26822.31</v>
      </c>
      <c r="K22" s="2959">
        <v>947364</v>
      </c>
      <c r="L22" s="2960">
        <v>43209</v>
      </c>
      <c r="M22" s="2958" t="s">
        <v>3134</v>
      </c>
      <c r="N22" s="2958" t="s">
        <v>3135</v>
      </c>
      <c r="O22" s="2958" t="s">
        <v>3136</v>
      </c>
    </row>
    <row r="23" spans="1:15">
      <c r="A23" s="2958" t="s">
        <v>3212</v>
      </c>
      <c r="B23" s="2958" t="s">
        <v>3213</v>
      </c>
      <c r="C23" s="2958" t="s">
        <v>3129</v>
      </c>
      <c r="D23" s="2958" t="s">
        <v>3130</v>
      </c>
      <c r="E23" s="2958" t="s">
        <v>3214</v>
      </c>
      <c r="F23" s="2958" t="s">
        <v>3215</v>
      </c>
      <c r="G23" s="2958" t="s">
        <v>3133</v>
      </c>
      <c r="H23" s="2958" t="s">
        <v>3102</v>
      </c>
      <c r="I23" s="2959">
        <v>29.46</v>
      </c>
      <c r="J23" s="2959">
        <v>29164.66</v>
      </c>
      <c r="K23" s="2959">
        <v>859191</v>
      </c>
      <c r="L23" s="2960">
        <v>43209</v>
      </c>
      <c r="M23" s="2958" t="s">
        <v>3134</v>
      </c>
      <c r="N23" s="2958" t="s">
        <v>3135</v>
      </c>
      <c r="O23" s="2958" t="s">
        <v>3136</v>
      </c>
    </row>
    <row r="24" spans="1:15">
      <c r="A24" s="2958" t="s">
        <v>3216</v>
      </c>
      <c r="B24" s="2958" t="s">
        <v>3217</v>
      </c>
      <c r="C24" s="2958" t="s">
        <v>3129</v>
      </c>
      <c r="D24" s="2958" t="s">
        <v>3130</v>
      </c>
      <c r="E24" s="2958" t="s">
        <v>3218</v>
      </c>
      <c r="F24" s="2958" t="s">
        <v>3219</v>
      </c>
      <c r="G24" s="2958" t="s">
        <v>3141</v>
      </c>
      <c r="H24" s="2958" t="s">
        <v>3102</v>
      </c>
      <c r="I24" s="2959">
        <v>34.71</v>
      </c>
      <c r="J24" s="2959">
        <v>30084.7</v>
      </c>
      <c r="K24" s="2959">
        <v>1044240</v>
      </c>
      <c r="L24" s="2960">
        <v>43209</v>
      </c>
      <c r="M24" s="2958" t="s">
        <v>3134</v>
      </c>
      <c r="N24" s="2958" t="s">
        <v>3135</v>
      </c>
      <c r="O24" s="2958" t="s">
        <v>3136</v>
      </c>
    </row>
    <row r="25" spans="1:15">
      <c r="A25" s="2958" t="s">
        <v>3220</v>
      </c>
      <c r="B25" s="2958" t="s">
        <v>3221</v>
      </c>
      <c r="C25" s="2958" t="s">
        <v>3129</v>
      </c>
      <c r="D25" s="2958" t="s">
        <v>3130</v>
      </c>
      <c r="E25" s="2958" t="s">
        <v>3222</v>
      </c>
      <c r="F25" s="2958" t="s">
        <v>3223</v>
      </c>
      <c r="G25" s="2958" t="s">
        <v>3141</v>
      </c>
      <c r="H25" s="2958" t="s">
        <v>3102</v>
      </c>
      <c r="I25" s="2959">
        <v>80.989999999999995</v>
      </c>
      <c r="J25" s="2959">
        <v>15686.47</v>
      </c>
      <c r="K25" s="2959">
        <v>1270447</v>
      </c>
      <c r="L25" s="2960">
        <v>43209</v>
      </c>
      <c r="M25" s="2958" t="s">
        <v>3134</v>
      </c>
      <c r="N25" s="2958" t="s">
        <v>3135</v>
      </c>
      <c r="O25" s="2958" t="s">
        <v>3136</v>
      </c>
    </row>
    <row r="26" spans="1:15">
      <c r="A26" s="2958" t="s">
        <v>3224</v>
      </c>
      <c r="B26" s="2958" t="s">
        <v>3225</v>
      </c>
      <c r="C26" s="2958" t="s">
        <v>3129</v>
      </c>
      <c r="D26" s="2958" t="s">
        <v>3130</v>
      </c>
      <c r="E26" s="2958" t="s">
        <v>3226</v>
      </c>
      <c r="F26" s="2958" t="s">
        <v>3227</v>
      </c>
      <c r="G26" s="2958" t="s">
        <v>3133</v>
      </c>
      <c r="H26" s="2958" t="s">
        <v>3102</v>
      </c>
      <c r="I26" s="2959">
        <v>29.46</v>
      </c>
      <c r="J26" s="2959">
        <v>28105.94</v>
      </c>
      <c r="K26" s="2959">
        <v>828001</v>
      </c>
      <c r="L26" s="2960">
        <v>43208</v>
      </c>
      <c r="M26" s="2958" t="s">
        <v>3134</v>
      </c>
      <c r="N26" s="2958" t="s">
        <v>3135</v>
      </c>
      <c r="O26" s="2958" t="s">
        <v>3136</v>
      </c>
    </row>
    <row r="27" spans="1:15">
      <c r="A27" s="2958" t="s">
        <v>3228</v>
      </c>
      <c r="B27" s="2958" t="s">
        <v>3229</v>
      </c>
      <c r="C27" s="2958" t="s">
        <v>3129</v>
      </c>
      <c r="D27" s="2958" t="s">
        <v>3130</v>
      </c>
      <c r="E27" s="2958" t="s">
        <v>3230</v>
      </c>
      <c r="F27" s="2958" t="s">
        <v>3231</v>
      </c>
      <c r="G27" s="2958" t="s">
        <v>3141</v>
      </c>
      <c r="H27" s="2958" t="s">
        <v>3102</v>
      </c>
      <c r="I27" s="2959">
        <v>35.32</v>
      </c>
      <c r="J27" s="2959">
        <v>30388.59</v>
      </c>
      <c r="K27" s="2959">
        <v>1073325</v>
      </c>
      <c r="L27" s="2960">
        <v>43205</v>
      </c>
      <c r="M27" s="2958" t="s">
        <v>3134</v>
      </c>
      <c r="N27" s="2958" t="s">
        <v>3135</v>
      </c>
      <c r="O27" s="2958" t="s">
        <v>3136</v>
      </c>
    </row>
    <row r="28" spans="1:15">
      <c r="A28" s="2958" t="s">
        <v>3232</v>
      </c>
      <c r="B28" s="2958" t="s">
        <v>3233</v>
      </c>
      <c r="C28" s="2958" t="s">
        <v>3129</v>
      </c>
      <c r="D28" s="2958" t="s">
        <v>3130</v>
      </c>
      <c r="E28" s="2958" t="s">
        <v>3234</v>
      </c>
      <c r="F28" s="2958" t="s">
        <v>3235</v>
      </c>
      <c r="G28" s="2958" t="s">
        <v>3141</v>
      </c>
      <c r="H28" s="2958" t="s">
        <v>3102</v>
      </c>
      <c r="I28" s="2959">
        <v>80.989999999999995</v>
      </c>
      <c r="J28" s="2959">
        <v>14449.6</v>
      </c>
      <c r="K28" s="2959">
        <v>1170273</v>
      </c>
      <c r="L28" s="2960">
        <v>43206</v>
      </c>
      <c r="M28" s="2958" t="s">
        <v>3134</v>
      </c>
      <c r="N28" s="2958" t="s">
        <v>3135</v>
      </c>
      <c r="O28" s="2958" t="s">
        <v>3136</v>
      </c>
    </row>
    <row r="29" spans="1:15">
      <c r="A29" s="2958" t="s">
        <v>3236</v>
      </c>
      <c r="B29" s="2958" t="s">
        <v>3237</v>
      </c>
      <c r="C29" s="2958" t="s">
        <v>3129</v>
      </c>
      <c r="D29" s="2958" t="s">
        <v>3130</v>
      </c>
      <c r="E29" s="2958" t="s">
        <v>3238</v>
      </c>
      <c r="F29" s="2958" t="s">
        <v>3235</v>
      </c>
      <c r="G29" s="2958" t="s">
        <v>3141</v>
      </c>
      <c r="H29" s="2958" t="s">
        <v>3102</v>
      </c>
      <c r="I29" s="2959">
        <v>80.989999999999995</v>
      </c>
      <c r="J29" s="2959">
        <v>14552.67</v>
      </c>
      <c r="K29" s="2959">
        <v>1178621</v>
      </c>
      <c r="L29" s="2960">
        <v>43206</v>
      </c>
      <c r="M29" s="2958" t="s">
        <v>3134</v>
      </c>
      <c r="N29" s="2958" t="s">
        <v>3135</v>
      </c>
      <c r="O29" s="2958" t="s">
        <v>3136</v>
      </c>
    </row>
    <row r="30" spans="1:15">
      <c r="A30" s="2958" t="s">
        <v>3239</v>
      </c>
      <c r="B30" s="2958" t="s">
        <v>3240</v>
      </c>
      <c r="C30" s="2958" t="s">
        <v>3129</v>
      </c>
      <c r="D30" s="2958" t="s">
        <v>3130</v>
      </c>
      <c r="E30" s="2958" t="s">
        <v>3241</v>
      </c>
      <c r="F30" s="2958" t="s">
        <v>3242</v>
      </c>
      <c r="G30" s="2958" t="s">
        <v>3141</v>
      </c>
      <c r="H30" s="2958" t="s">
        <v>3102</v>
      </c>
      <c r="I30" s="2959">
        <v>29.04</v>
      </c>
      <c r="J30" s="2959">
        <v>30481.37</v>
      </c>
      <c r="K30" s="2959">
        <v>885179</v>
      </c>
      <c r="L30" s="2960">
        <v>43207</v>
      </c>
      <c r="M30" s="2958" t="s">
        <v>3134</v>
      </c>
      <c r="N30" s="2958" t="s">
        <v>3135</v>
      </c>
      <c r="O30" s="2958" t="s">
        <v>3136</v>
      </c>
    </row>
    <row r="31" spans="1:15">
      <c r="A31" s="2958" t="s">
        <v>3243</v>
      </c>
      <c r="B31" s="2958" t="s">
        <v>3244</v>
      </c>
      <c r="C31" s="2958" t="s">
        <v>3129</v>
      </c>
      <c r="D31" s="2958" t="s">
        <v>3130</v>
      </c>
      <c r="E31" s="2958" t="s">
        <v>3245</v>
      </c>
      <c r="F31" s="2958" t="s">
        <v>3246</v>
      </c>
      <c r="G31" s="2958" t="s">
        <v>3141</v>
      </c>
      <c r="H31" s="2958" t="s">
        <v>3102</v>
      </c>
      <c r="I31" s="2959">
        <v>37.119999999999997</v>
      </c>
      <c r="J31" s="2959">
        <v>28136.48</v>
      </c>
      <c r="K31" s="2959">
        <v>1044426</v>
      </c>
      <c r="L31" s="2960">
        <v>43207</v>
      </c>
      <c r="M31" s="2958" t="s">
        <v>3134</v>
      </c>
      <c r="N31" s="2958" t="s">
        <v>3135</v>
      </c>
      <c r="O31" s="2958" t="s">
        <v>3136</v>
      </c>
    </row>
    <row r="32" spans="1:15">
      <c r="A32" s="2958" t="s">
        <v>3247</v>
      </c>
      <c r="B32" s="2958" t="s">
        <v>3248</v>
      </c>
      <c r="C32" s="2958" t="s">
        <v>3129</v>
      </c>
      <c r="D32" s="2958" t="s">
        <v>3130</v>
      </c>
      <c r="E32" s="2958" t="s">
        <v>3249</v>
      </c>
      <c r="F32" s="2958" t="s">
        <v>3250</v>
      </c>
      <c r="G32" s="2958" t="s">
        <v>3141</v>
      </c>
      <c r="H32" s="2958" t="s">
        <v>3102</v>
      </c>
      <c r="I32" s="2959">
        <v>35.32</v>
      </c>
      <c r="J32" s="2959">
        <v>28110.7</v>
      </c>
      <c r="K32" s="2959">
        <v>992870</v>
      </c>
      <c r="L32" s="2960">
        <v>43207</v>
      </c>
      <c r="M32" s="2958" t="s">
        <v>3134</v>
      </c>
      <c r="N32" s="2958" t="s">
        <v>3135</v>
      </c>
      <c r="O32" s="2958" t="s">
        <v>3136</v>
      </c>
    </row>
    <row r="33" spans="1:15">
      <c r="A33" s="2958" t="s">
        <v>3251</v>
      </c>
      <c r="B33" s="2958" t="s">
        <v>3252</v>
      </c>
      <c r="C33" s="2958" t="s">
        <v>3129</v>
      </c>
      <c r="D33" s="2958" t="s">
        <v>3130</v>
      </c>
      <c r="E33" s="2958" t="s">
        <v>3253</v>
      </c>
      <c r="F33" s="2958" t="s">
        <v>3254</v>
      </c>
      <c r="G33" s="2958" t="s">
        <v>3133</v>
      </c>
      <c r="H33" s="2958" t="s">
        <v>3102</v>
      </c>
      <c r="I33" s="2959">
        <v>35.32</v>
      </c>
      <c r="J33" s="2959">
        <v>27043.43</v>
      </c>
      <c r="K33" s="2959">
        <v>955174</v>
      </c>
      <c r="L33" s="2960">
        <v>43207</v>
      </c>
      <c r="M33" s="2958" t="s">
        <v>3134</v>
      </c>
      <c r="N33" s="2958" t="s">
        <v>3135</v>
      </c>
      <c r="O33" s="2958" t="s">
        <v>3136</v>
      </c>
    </row>
    <row r="34" spans="1:15">
      <c r="A34" s="2958" t="s">
        <v>3255</v>
      </c>
      <c r="B34" s="2958" t="s">
        <v>3256</v>
      </c>
      <c r="C34" s="2958" t="s">
        <v>3129</v>
      </c>
      <c r="D34" s="2958" t="s">
        <v>3130</v>
      </c>
      <c r="E34" s="2958" t="s">
        <v>3257</v>
      </c>
      <c r="F34" s="2958" t="s">
        <v>3258</v>
      </c>
      <c r="G34" s="2958" t="s">
        <v>3141</v>
      </c>
      <c r="H34" s="2958" t="s">
        <v>3102</v>
      </c>
      <c r="I34" s="2959">
        <v>29.46</v>
      </c>
      <c r="J34" s="2959">
        <v>27595.35</v>
      </c>
      <c r="K34" s="2959">
        <v>812959</v>
      </c>
      <c r="L34" s="2960">
        <v>43207</v>
      </c>
      <c r="M34" s="2958" t="s">
        <v>3134</v>
      </c>
      <c r="N34" s="2958" t="s">
        <v>3135</v>
      </c>
      <c r="O34" s="2958" t="s">
        <v>3136</v>
      </c>
    </row>
    <row r="35" spans="1:15">
      <c r="A35" s="2958" t="s">
        <v>3259</v>
      </c>
      <c r="B35" s="2958" t="s">
        <v>3260</v>
      </c>
      <c r="C35" s="2958" t="s">
        <v>3129</v>
      </c>
      <c r="D35" s="2958" t="s">
        <v>3130</v>
      </c>
      <c r="E35" s="2958" t="s">
        <v>3261</v>
      </c>
      <c r="F35" s="2958" t="s">
        <v>3262</v>
      </c>
      <c r="G35" s="2958" t="s">
        <v>3133</v>
      </c>
      <c r="H35" s="2958" t="s">
        <v>3102</v>
      </c>
      <c r="I35" s="2959">
        <v>35.32</v>
      </c>
      <c r="J35" s="2959">
        <v>31518.2</v>
      </c>
      <c r="K35" s="2959">
        <v>1113223</v>
      </c>
      <c r="L35" s="2960">
        <v>43205</v>
      </c>
      <c r="M35" s="2958" t="s">
        <v>3134</v>
      </c>
      <c r="N35" s="2958" t="s">
        <v>3135</v>
      </c>
      <c r="O35" s="2958" t="s">
        <v>3136</v>
      </c>
    </row>
    <row r="36" spans="1:15">
      <c r="A36" s="2958" t="s">
        <v>3263</v>
      </c>
      <c r="B36" s="2958" t="s">
        <v>3264</v>
      </c>
      <c r="C36" s="2958" t="s">
        <v>3129</v>
      </c>
      <c r="D36" s="2958" t="s">
        <v>3130</v>
      </c>
      <c r="E36" s="2958" t="s">
        <v>3265</v>
      </c>
      <c r="F36" s="2958" t="s">
        <v>3266</v>
      </c>
      <c r="G36" s="2958" t="s">
        <v>3141</v>
      </c>
      <c r="H36" s="2958" t="s">
        <v>3102</v>
      </c>
      <c r="I36" s="2959">
        <v>67.489999999999995</v>
      </c>
      <c r="J36" s="2959">
        <v>14964.96</v>
      </c>
      <c r="K36" s="2959">
        <v>1009985</v>
      </c>
      <c r="L36" s="2960">
        <v>43205</v>
      </c>
      <c r="M36" s="2958" t="s">
        <v>3134</v>
      </c>
      <c r="N36" s="2958" t="s">
        <v>3135</v>
      </c>
      <c r="O36" s="2958" t="s">
        <v>3136</v>
      </c>
    </row>
    <row r="37" spans="1:15">
      <c r="A37" s="2958" t="s">
        <v>3267</v>
      </c>
      <c r="B37" s="2958" t="s">
        <v>3268</v>
      </c>
      <c r="C37" s="2958" t="s">
        <v>3129</v>
      </c>
      <c r="D37" s="2958" t="s">
        <v>3130</v>
      </c>
      <c r="E37" s="2958" t="s">
        <v>3269</v>
      </c>
      <c r="F37" s="2958" t="s">
        <v>3270</v>
      </c>
      <c r="G37" s="2958" t="s">
        <v>3141</v>
      </c>
      <c r="H37" s="2958" t="s">
        <v>3102</v>
      </c>
      <c r="I37" s="2959">
        <v>33.729999999999997</v>
      </c>
      <c r="J37" s="2959">
        <v>35944.17</v>
      </c>
      <c r="K37" s="2959">
        <v>1212397</v>
      </c>
      <c r="L37" s="2960">
        <v>43204</v>
      </c>
      <c r="M37" s="2958" t="s">
        <v>3134</v>
      </c>
      <c r="N37" s="2958" t="s">
        <v>3135</v>
      </c>
      <c r="O37" s="2958" t="s">
        <v>3136</v>
      </c>
    </row>
    <row r="38" spans="1:15">
      <c r="A38" s="2958" t="s">
        <v>3271</v>
      </c>
      <c r="B38" s="2958" t="s">
        <v>3272</v>
      </c>
      <c r="C38" s="2958" t="s">
        <v>3129</v>
      </c>
      <c r="D38" s="2958" t="s">
        <v>3130</v>
      </c>
      <c r="E38" s="2958" t="s">
        <v>3273</v>
      </c>
      <c r="F38" s="2958" t="s">
        <v>3274</v>
      </c>
      <c r="G38" s="2958" t="s">
        <v>3141</v>
      </c>
      <c r="H38" s="2958" t="s">
        <v>3102</v>
      </c>
      <c r="I38" s="2959">
        <v>29.46</v>
      </c>
      <c r="J38" s="2959">
        <v>28265.31</v>
      </c>
      <c r="K38" s="2959">
        <v>832697</v>
      </c>
      <c r="L38" s="2960">
        <v>43204</v>
      </c>
      <c r="M38" s="2958" t="s">
        <v>3134</v>
      </c>
      <c r="N38" s="2958" t="s">
        <v>3135</v>
      </c>
      <c r="O38" s="2958" t="s">
        <v>3136</v>
      </c>
    </row>
    <row r="39" spans="1:15">
      <c r="A39" s="2958" t="s">
        <v>3275</v>
      </c>
      <c r="B39" s="2958" t="s">
        <v>3276</v>
      </c>
      <c r="C39" s="2958" t="s">
        <v>3129</v>
      </c>
      <c r="D39" s="2958" t="s">
        <v>3130</v>
      </c>
      <c r="E39" s="2958" t="s">
        <v>3277</v>
      </c>
      <c r="F39" s="2958" t="s">
        <v>3278</v>
      </c>
      <c r="G39" s="2958" t="s">
        <v>3133</v>
      </c>
      <c r="H39" s="2958" t="s">
        <v>3102</v>
      </c>
      <c r="I39" s="2959">
        <v>35.32</v>
      </c>
      <c r="J39" s="2959">
        <v>26437.4</v>
      </c>
      <c r="K39" s="2959">
        <v>933769</v>
      </c>
      <c r="L39" s="2960">
        <v>43204</v>
      </c>
      <c r="M39" s="2958" t="s">
        <v>3134</v>
      </c>
      <c r="N39" s="2958" t="s">
        <v>3135</v>
      </c>
      <c r="O39" s="2958" t="s">
        <v>3136</v>
      </c>
    </row>
    <row r="40" spans="1:15">
      <c r="A40" s="2958" t="s">
        <v>3279</v>
      </c>
      <c r="B40" s="2958" t="s">
        <v>3280</v>
      </c>
      <c r="C40" s="2958" t="s">
        <v>3129</v>
      </c>
      <c r="D40" s="2958" t="s">
        <v>3130</v>
      </c>
      <c r="E40" s="2958" t="s">
        <v>3281</v>
      </c>
      <c r="F40" s="2958" t="s">
        <v>3282</v>
      </c>
      <c r="G40" s="2958" t="s">
        <v>3141</v>
      </c>
      <c r="H40" s="2958" t="s">
        <v>3102</v>
      </c>
      <c r="I40" s="2959">
        <v>58.74</v>
      </c>
      <c r="J40" s="2959">
        <v>33140.6</v>
      </c>
      <c r="K40" s="2959">
        <v>1946679</v>
      </c>
      <c r="L40" s="2960">
        <v>43203</v>
      </c>
      <c r="M40" s="2958" t="s">
        <v>3134</v>
      </c>
      <c r="N40" s="2958" t="s">
        <v>3135</v>
      </c>
      <c r="O40" s="2958" t="s">
        <v>3136</v>
      </c>
    </row>
    <row r="41" spans="1:15">
      <c r="A41" s="2958" t="s">
        <v>3283</v>
      </c>
      <c r="B41" s="2958" t="s">
        <v>3284</v>
      </c>
      <c r="C41" s="2958" t="s">
        <v>3129</v>
      </c>
      <c r="D41" s="2958" t="s">
        <v>3130</v>
      </c>
      <c r="E41" s="2958" t="s">
        <v>3285</v>
      </c>
      <c r="F41" s="2958" t="s">
        <v>3286</v>
      </c>
      <c r="G41" s="2958" t="s">
        <v>3133</v>
      </c>
      <c r="H41" s="2958" t="s">
        <v>3102</v>
      </c>
      <c r="I41" s="2959">
        <v>42.29</v>
      </c>
      <c r="J41" s="2959">
        <v>31619.200000000001</v>
      </c>
      <c r="K41" s="2959">
        <v>1337176</v>
      </c>
      <c r="L41" s="2960">
        <v>43203</v>
      </c>
      <c r="M41" s="2958" t="s">
        <v>3134</v>
      </c>
      <c r="N41" s="2958" t="s">
        <v>3135</v>
      </c>
      <c r="O41" s="2958" t="s">
        <v>3136</v>
      </c>
    </row>
    <row r="42" spans="1:15">
      <c r="A42" s="2958" t="s">
        <v>3287</v>
      </c>
      <c r="B42" s="2958" t="s">
        <v>3288</v>
      </c>
      <c r="C42" s="2958" t="s">
        <v>3129</v>
      </c>
      <c r="D42" s="2958" t="s">
        <v>3130</v>
      </c>
      <c r="E42" s="2958" t="s">
        <v>3289</v>
      </c>
      <c r="F42" s="2958" t="s">
        <v>3290</v>
      </c>
      <c r="G42" s="2958" t="s">
        <v>3133</v>
      </c>
      <c r="H42" s="2958" t="s">
        <v>3102</v>
      </c>
      <c r="I42" s="2959">
        <v>35.32</v>
      </c>
      <c r="J42" s="2959">
        <v>31013.14</v>
      </c>
      <c r="K42" s="2959">
        <v>1095384</v>
      </c>
      <c r="L42" s="2960">
        <v>43203</v>
      </c>
      <c r="M42" s="2958" t="s">
        <v>3134</v>
      </c>
      <c r="N42" s="2958" t="s">
        <v>3135</v>
      </c>
      <c r="O42" s="2958" t="s">
        <v>3136</v>
      </c>
    </row>
    <row r="43" spans="1:15">
      <c r="A43" s="2958" t="s">
        <v>3291</v>
      </c>
      <c r="B43" s="2958" t="s">
        <v>3292</v>
      </c>
      <c r="C43" s="2958" t="s">
        <v>3129</v>
      </c>
      <c r="D43" s="2958" t="s">
        <v>3130</v>
      </c>
      <c r="E43" s="2958" t="s">
        <v>3293</v>
      </c>
      <c r="F43" s="2958" t="s">
        <v>3294</v>
      </c>
      <c r="G43" s="2958" t="s">
        <v>3133</v>
      </c>
      <c r="H43" s="2958" t="s">
        <v>3102</v>
      </c>
      <c r="I43" s="2959">
        <v>35.32</v>
      </c>
      <c r="J43" s="2959">
        <v>30912.15</v>
      </c>
      <c r="K43" s="2959">
        <v>1091817</v>
      </c>
      <c r="L43" s="2960">
        <v>43203</v>
      </c>
      <c r="M43" s="2958" t="s">
        <v>3134</v>
      </c>
      <c r="N43" s="2958" t="s">
        <v>3135</v>
      </c>
      <c r="O43" s="2958" t="s">
        <v>3136</v>
      </c>
    </row>
    <row r="44" spans="1:15">
      <c r="A44" s="2958" t="s">
        <v>3295</v>
      </c>
      <c r="B44" s="2958" t="s">
        <v>3296</v>
      </c>
      <c r="C44" s="2958" t="s">
        <v>3129</v>
      </c>
      <c r="D44" s="2958" t="s">
        <v>3130</v>
      </c>
      <c r="E44" s="2958" t="s">
        <v>3297</v>
      </c>
      <c r="F44" s="2958" t="s">
        <v>3298</v>
      </c>
      <c r="G44" s="2958" t="s">
        <v>3133</v>
      </c>
      <c r="H44" s="2958" t="s">
        <v>3102</v>
      </c>
      <c r="I44" s="2959">
        <v>29.46</v>
      </c>
      <c r="J44" s="2959">
        <v>29801</v>
      </c>
      <c r="K44" s="2959">
        <v>877937</v>
      </c>
      <c r="L44" s="2960">
        <v>43203</v>
      </c>
      <c r="M44" s="2958" t="s">
        <v>3134</v>
      </c>
      <c r="N44" s="2958" t="s">
        <v>3135</v>
      </c>
      <c r="O44" s="2958" t="s">
        <v>3136</v>
      </c>
    </row>
    <row r="45" spans="1:15">
      <c r="A45" s="2958" t="s">
        <v>3299</v>
      </c>
      <c r="B45" s="2958" t="s">
        <v>3300</v>
      </c>
      <c r="C45" s="2958" t="s">
        <v>3129</v>
      </c>
      <c r="D45" s="2958" t="s">
        <v>3130</v>
      </c>
      <c r="E45" s="2958" t="s">
        <v>3301</v>
      </c>
      <c r="F45" s="2958" t="s">
        <v>3302</v>
      </c>
      <c r="G45" s="2958" t="s">
        <v>3141</v>
      </c>
      <c r="H45" s="2958" t="s">
        <v>3102</v>
      </c>
      <c r="I45" s="2959">
        <v>29.46</v>
      </c>
      <c r="J45" s="2959">
        <v>28523.01</v>
      </c>
      <c r="K45" s="2959">
        <v>840288</v>
      </c>
      <c r="L45" s="2960">
        <v>43203</v>
      </c>
      <c r="M45" s="2958" t="s">
        <v>3134</v>
      </c>
      <c r="N45" s="2958" t="s">
        <v>3135</v>
      </c>
      <c r="O45" s="2958" t="s">
        <v>3136</v>
      </c>
    </row>
    <row r="46" spans="1:15">
      <c r="A46" s="2958" t="s">
        <v>3303</v>
      </c>
      <c r="B46" s="2958" t="s">
        <v>3304</v>
      </c>
      <c r="C46" s="2958" t="s">
        <v>3129</v>
      </c>
      <c r="D46" s="2958" t="s">
        <v>3130</v>
      </c>
      <c r="E46" s="2958" t="s">
        <v>3305</v>
      </c>
      <c r="F46" s="2958" t="s">
        <v>3306</v>
      </c>
      <c r="G46" s="2958" t="s">
        <v>3141</v>
      </c>
      <c r="H46" s="2958" t="s">
        <v>3102</v>
      </c>
      <c r="I46" s="2959">
        <v>48.95</v>
      </c>
      <c r="J46" s="2959">
        <v>32893.24</v>
      </c>
      <c r="K46" s="2959">
        <v>1610124</v>
      </c>
      <c r="L46" s="2960">
        <v>43203</v>
      </c>
      <c r="M46" s="2958" t="s">
        <v>3134</v>
      </c>
      <c r="N46" s="2958" t="s">
        <v>3135</v>
      </c>
      <c r="O46" s="2958" t="s">
        <v>3136</v>
      </c>
    </row>
    <row r="47" spans="1:15">
      <c r="A47" s="2958" t="s">
        <v>3307</v>
      </c>
      <c r="B47" s="2958" t="s">
        <v>3308</v>
      </c>
      <c r="C47" s="2958" t="s">
        <v>3129</v>
      </c>
      <c r="D47" s="2958" t="s">
        <v>3130</v>
      </c>
      <c r="E47" s="2958" t="s">
        <v>3309</v>
      </c>
      <c r="F47" s="2958" t="s">
        <v>3310</v>
      </c>
      <c r="G47" s="2958" t="s">
        <v>3133</v>
      </c>
      <c r="H47" s="2958" t="s">
        <v>3102</v>
      </c>
      <c r="I47" s="2959">
        <v>35.32</v>
      </c>
      <c r="J47" s="2959">
        <v>31316.17</v>
      </c>
      <c r="K47" s="2959">
        <v>1106087</v>
      </c>
      <c r="L47" s="2960">
        <v>43203</v>
      </c>
      <c r="M47" s="2958" t="s">
        <v>3134</v>
      </c>
      <c r="N47" s="2958" t="s">
        <v>3135</v>
      </c>
      <c r="O47" s="2958" t="s">
        <v>3136</v>
      </c>
    </row>
    <row r="48" spans="1:15">
      <c r="A48" s="2958" t="s">
        <v>3311</v>
      </c>
      <c r="B48" s="2958" t="s">
        <v>3312</v>
      </c>
      <c r="C48" s="2958" t="s">
        <v>3129</v>
      </c>
      <c r="D48" s="2958" t="s">
        <v>3130</v>
      </c>
      <c r="E48" s="2958" t="s">
        <v>3313</v>
      </c>
      <c r="F48" s="2958" t="s">
        <v>3314</v>
      </c>
      <c r="G48" s="2958" t="s">
        <v>3141</v>
      </c>
      <c r="H48" s="2958" t="s">
        <v>3102</v>
      </c>
      <c r="I48" s="2959">
        <v>92.55</v>
      </c>
      <c r="J48" s="2959">
        <v>16407.96</v>
      </c>
      <c r="K48" s="2959">
        <v>1518557</v>
      </c>
      <c r="L48" s="2960">
        <v>43201</v>
      </c>
      <c r="M48" s="2958" t="s">
        <v>3134</v>
      </c>
      <c r="N48" s="2958" t="s">
        <v>3135</v>
      </c>
      <c r="O48" s="2958" t="s">
        <v>3136</v>
      </c>
    </row>
    <row r="49" spans="1:15">
      <c r="A49" s="2958" t="s">
        <v>3315</v>
      </c>
      <c r="B49" s="2958" t="s">
        <v>3316</v>
      </c>
      <c r="C49" s="2958" t="s">
        <v>3129</v>
      </c>
      <c r="D49" s="2958" t="s">
        <v>3130</v>
      </c>
      <c r="E49" s="2958" t="s">
        <v>3317</v>
      </c>
      <c r="F49" s="2958" t="s">
        <v>3318</v>
      </c>
      <c r="G49" s="2958" t="s">
        <v>3141</v>
      </c>
      <c r="H49" s="2958" t="s">
        <v>3102</v>
      </c>
      <c r="I49" s="2959">
        <v>29.46</v>
      </c>
      <c r="J49" s="2959">
        <v>27904.58</v>
      </c>
      <c r="K49" s="2959">
        <v>822069</v>
      </c>
      <c r="L49" s="2960">
        <v>43201</v>
      </c>
      <c r="M49" s="2958" t="s">
        <v>3134</v>
      </c>
      <c r="N49" s="2958" t="s">
        <v>3135</v>
      </c>
      <c r="O49" s="2958" t="s">
        <v>3136</v>
      </c>
    </row>
    <row r="50" spans="1:15">
      <c r="A50" s="2958" t="s">
        <v>3319</v>
      </c>
      <c r="B50" s="2958" t="s">
        <v>3320</v>
      </c>
      <c r="C50" s="2958" t="s">
        <v>3129</v>
      </c>
      <c r="D50" s="2958" t="s">
        <v>3130</v>
      </c>
      <c r="E50" s="2958" t="s">
        <v>3321</v>
      </c>
      <c r="F50" s="2958" t="s">
        <v>3322</v>
      </c>
      <c r="G50" s="2958" t="s">
        <v>3141</v>
      </c>
      <c r="H50" s="2958" t="s">
        <v>3102</v>
      </c>
      <c r="I50" s="2959">
        <v>35.28</v>
      </c>
      <c r="J50" s="2959">
        <v>28090.11</v>
      </c>
      <c r="K50" s="2959">
        <v>991019</v>
      </c>
      <c r="L50" s="2960">
        <v>43201</v>
      </c>
      <c r="M50" s="2958" t="s">
        <v>3134</v>
      </c>
      <c r="N50" s="2958" t="s">
        <v>3135</v>
      </c>
      <c r="O50" s="2958" t="s">
        <v>3136</v>
      </c>
    </row>
    <row r="51" spans="1:15">
      <c r="A51" s="2958" t="s">
        <v>3323</v>
      </c>
      <c r="B51" s="2958" t="s">
        <v>3324</v>
      </c>
      <c r="C51" s="2958" t="s">
        <v>3129</v>
      </c>
      <c r="D51" s="2958" t="s">
        <v>3130</v>
      </c>
      <c r="E51" s="2958" t="s">
        <v>3325</v>
      </c>
      <c r="F51" s="2958" t="s">
        <v>3326</v>
      </c>
      <c r="G51" s="2958" t="s">
        <v>3141</v>
      </c>
      <c r="H51" s="2958" t="s">
        <v>3102</v>
      </c>
      <c r="I51" s="2959">
        <v>35.32</v>
      </c>
      <c r="J51" s="2959">
        <v>31749.15</v>
      </c>
      <c r="K51" s="2959">
        <v>1121380</v>
      </c>
      <c r="L51" s="2960">
        <v>43201</v>
      </c>
      <c r="M51" s="2958" t="s">
        <v>3134</v>
      </c>
      <c r="N51" s="2958" t="s">
        <v>3135</v>
      </c>
      <c r="O51" s="2958" t="s">
        <v>3136</v>
      </c>
    </row>
    <row r="52" spans="1:15">
      <c r="A52" s="2958" t="s">
        <v>3327</v>
      </c>
      <c r="B52" s="2958" t="s">
        <v>3328</v>
      </c>
      <c r="C52" s="2958" t="s">
        <v>3129</v>
      </c>
      <c r="D52" s="2958" t="s">
        <v>3130</v>
      </c>
      <c r="E52" s="2958" t="s">
        <v>3329</v>
      </c>
      <c r="F52" s="2958" t="s">
        <v>3330</v>
      </c>
      <c r="G52" s="2958" t="s">
        <v>3141</v>
      </c>
      <c r="H52" s="2958" t="s">
        <v>3102</v>
      </c>
      <c r="I52" s="2959">
        <v>42.29</v>
      </c>
      <c r="J52" s="2959">
        <v>30976.09</v>
      </c>
      <c r="K52" s="2959">
        <v>1309979</v>
      </c>
      <c r="L52" s="2960">
        <v>43201</v>
      </c>
      <c r="M52" s="2958" t="s">
        <v>3134</v>
      </c>
      <c r="N52" s="2958" t="s">
        <v>3135</v>
      </c>
      <c r="O52" s="2958" t="s">
        <v>3136</v>
      </c>
    </row>
    <row r="53" spans="1:15">
      <c r="A53" s="2958" t="s">
        <v>3331</v>
      </c>
      <c r="B53" s="2958" t="s">
        <v>3332</v>
      </c>
      <c r="C53" s="2958" t="s">
        <v>3129</v>
      </c>
      <c r="D53" s="2958" t="s">
        <v>3130</v>
      </c>
      <c r="E53" s="2958" t="s">
        <v>3333</v>
      </c>
      <c r="F53" s="2958" t="s">
        <v>3334</v>
      </c>
      <c r="G53" s="2958" t="s">
        <v>3133</v>
      </c>
      <c r="H53" s="2958" t="s">
        <v>3102</v>
      </c>
      <c r="I53" s="2959">
        <v>35.32</v>
      </c>
      <c r="J53" s="2959">
        <v>28931.63</v>
      </c>
      <c r="K53" s="2959">
        <v>1001428</v>
      </c>
      <c r="L53" s="2960">
        <v>43200</v>
      </c>
      <c r="M53" s="2958" t="s">
        <v>3134</v>
      </c>
      <c r="N53" s="2958" t="s">
        <v>3135</v>
      </c>
      <c r="O53" s="2958" t="s">
        <v>3136</v>
      </c>
    </row>
    <row r="54" spans="1:15">
      <c r="A54" s="2958" t="s">
        <v>3335</v>
      </c>
      <c r="B54" s="2958" t="s">
        <v>3336</v>
      </c>
      <c r="C54" s="2958" t="s">
        <v>3129</v>
      </c>
      <c r="D54" s="2958" t="s">
        <v>3130</v>
      </c>
      <c r="E54" s="2958" t="s">
        <v>3337</v>
      </c>
      <c r="F54" s="2958" t="s">
        <v>3338</v>
      </c>
      <c r="G54" s="2958" t="s">
        <v>3133</v>
      </c>
      <c r="H54" s="2958" t="s">
        <v>3102</v>
      </c>
      <c r="I54" s="2959">
        <v>35.32</v>
      </c>
      <c r="J54" s="2959">
        <v>26538.39</v>
      </c>
      <c r="K54" s="2959">
        <v>937336</v>
      </c>
      <c r="L54" s="2960">
        <v>43200</v>
      </c>
      <c r="M54" s="2958" t="s">
        <v>3134</v>
      </c>
      <c r="N54" s="2958" t="s">
        <v>3135</v>
      </c>
      <c r="O54" s="2958" t="s">
        <v>3136</v>
      </c>
    </row>
    <row r="55" spans="1:15">
      <c r="A55" s="2958" t="s">
        <v>3339</v>
      </c>
      <c r="B55" s="2958" t="s">
        <v>3340</v>
      </c>
      <c r="C55" s="2958" t="s">
        <v>3129</v>
      </c>
      <c r="D55" s="2958" t="s">
        <v>3130</v>
      </c>
      <c r="E55" s="2958" t="s">
        <v>3341</v>
      </c>
      <c r="F55" s="2958" t="s">
        <v>3342</v>
      </c>
      <c r="G55" s="2958" t="s">
        <v>3133</v>
      </c>
      <c r="H55" s="2958" t="s">
        <v>3102</v>
      </c>
      <c r="I55" s="2959">
        <v>29.46</v>
      </c>
      <c r="J55" s="2959">
        <v>30255.57</v>
      </c>
      <c r="K55" s="2959">
        <v>891329</v>
      </c>
      <c r="L55" s="2960">
        <v>43200</v>
      </c>
      <c r="M55" s="2958" t="s">
        <v>3134</v>
      </c>
      <c r="N55" s="2958" t="s">
        <v>3135</v>
      </c>
      <c r="O55" s="2958" t="s">
        <v>3136</v>
      </c>
    </row>
    <row r="56" spans="1:15">
      <c r="A56" s="2958" t="s">
        <v>3343</v>
      </c>
      <c r="B56" s="2958" t="s">
        <v>3344</v>
      </c>
      <c r="C56" s="2958" t="s">
        <v>3129</v>
      </c>
      <c r="D56" s="2958" t="s">
        <v>3130</v>
      </c>
      <c r="E56" s="2958" t="s">
        <v>3345</v>
      </c>
      <c r="F56" s="2958" t="s">
        <v>3346</v>
      </c>
      <c r="G56" s="2958" t="s">
        <v>3133</v>
      </c>
      <c r="H56" s="2958" t="s">
        <v>3102</v>
      </c>
      <c r="I56" s="2959">
        <v>39.29</v>
      </c>
      <c r="J56" s="2959">
        <v>31316.16</v>
      </c>
      <c r="K56" s="2959">
        <v>1230412</v>
      </c>
      <c r="L56" s="2960">
        <v>43199</v>
      </c>
      <c r="M56" s="2958" t="s">
        <v>3134</v>
      </c>
      <c r="N56" s="2958" t="s">
        <v>3135</v>
      </c>
      <c r="O56" s="2958" t="s">
        <v>3136</v>
      </c>
    </row>
    <row r="57" spans="1:15">
      <c r="A57" s="2958" t="s">
        <v>3347</v>
      </c>
      <c r="B57" s="2958" t="s">
        <v>3348</v>
      </c>
      <c r="C57" s="2958" t="s">
        <v>3129</v>
      </c>
      <c r="D57" s="2958" t="s">
        <v>3130</v>
      </c>
      <c r="E57" s="2958" t="s">
        <v>3349</v>
      </c>
      <c r="F57" s="2958" t="s">
        <v>3350</v>
      </c>
      <c r="G57" s="2958" t="s">
        <v>3141</v>
      </c>
      <c r="H57" s="2958" t="s">
        <v>3102</v>
      </c>
      <c r="I57" s="2959">
        <v>42.29</v>
      </c>
      <c r="J57" s="2959">
        <v>30151.53</v>
      </c>
      <c r="K57" s="2959">
        <v>1275108</v>
      </c>
      <c r="L57" s="2960">
        <v>43199</v>
      </c>
      <c r="M57" s="2958" t="s">
        <v>3134</v>
      </c>
      <c r="N57" s="2958" t="s">
        <v>3135</v>
      </c>
      <c r="O57" s="2958" t="s">
        <v>3136</v>
      </c>
    </row>
    <row r="58" spans="1:15">
      <c r="A58" s="2958" t="s">
        <v>3351</v>
      </c>
      <c r="B58" s="2958" t="s">
        <v>3352</v>
      </c>
      <c r="C58" s="2958" t="s">
        <v>3129</v>
      </c>
      <c r="D58" s="2958" t="s">
        <v>3130</v>
      </c>
      <c r="E58" s="2958" t="s">
        <v>3353</v>
      </c>
      <c r="F58" s="2958" t="s">
        <v>3354</v>
      </c>
      <c r="G58" s="2958" t="s">
        <v>3141</v>
      </c>
      <c r="H58" s="2958" t="s">
        <v>3102</v>
      </c>
      <c r="I58" s="2959">
        <v>29.46</v>
      </c>
      <c r="J58" s="2959">
        <v>30512.29</v>
      </c>
      <c r="K58" s="2959">
        <v>898892</v>
      </c>
      <c r="L58" s="2960">
        <v>43199</v>
      </c>
      <c r="M58" s="2958" t="s">
        <v>3134</v>
      </c>
      <c r="N58" s="2958" t="s">
        <v>3135</v>
      </c>
      <c r="O58" s="2958" t="s">
        <v>3136</v>
      </c>
    </row>
    <row r="59" spans="1:15">
      <c r="A59" s="2958" t="s">
        <v>3355</v>
      </c>
      <c r="B59" s="2958" t="s">
        <v>3356</v>
      </c>
      <c r="C59" s="2958" t="s">
        <v>3129</v>
      </c>
      <c r="D59" s="2958" t="s">
        <v>3130</v>
      </c>
      <c r="E59" s="2958" t="s">
        <v>3357</v>
      </c>
      <c r="F59" s="2958" t="s">
        <v>3358</v>
      </c>
      <c r="G59" s="2958" t="s">
        <v>3141</v>
      </c>
      <c r="H59" s="2958" t="s">
        <v>3102</v>
      </c>
      <c r="I59" s="2959">
        <v>42.29</v>
      </c>
      <c r="J59" s="2959">
        <v>30151.53</v>
      </c>
      <c r="K59" s="2959">
        <v>1275108</v>
      </c>
      <c r="L59" s="2960">
        <v>43198</v>
      </c>
      <c r="M59" s="2958" t="s">
        <v>3134</v>
      </c>
      <c r="N59" s="2958" t="s">
        <v>3135</v>
      </c>
      <c r="O59" s="2958" t="s">
        <v>3136</v>
      </c>
    </row>
    <row r="60" spans="1:15">
      <c r="A60" s="2958" t="s">
        <v>3359</v>
      </c>
      <c r="B60" s="2958" t="s">
        <v>3360</v>
      </c>
      <c r="C60" s="2958" t="s">
        <v>3129</v>
      </c>
      <c r="D60" s="2958" t="s">
        <v>3130</v>
      </c>
      <c r="E60" s="2958" t="s">
        <v>3361</v>
      </c>
      <c r="F60" s="2958" t="s">
        <v>3362</v>
      </c>
      <c r="G60" s="2958" t="s">
        <v>3141</v>
      </c>
      <c r="H60" s="2958" t="s">
        <v>3102</v>
      </c>
      <c r="I60" s="2959">
        <v>33.68</v>
      </c>
      <c r="J60" s="2959">
        <v>14684</v>
      </c>
      <c r="K60" s="2959">
        <v>494557</v>
      </c>
      <c r="L60" s="2960">
        <v>43198</v>
      </c>
      <c r="M60" s="2958" t="s">
        <v>3134</v>
      </c>
      <c r="N60" s="2958" t="s">
        <v>3135</v>
      </c>
      <c r="O60" s="2958" t="s">
        <v>3136</v>
      </c>
    </row>
    <row r="61" spans="1:15">
      <c r="A61" s="2958" t="s">
        <v>3363</v>
      </c>
      <c r="B61" s="2958" t="s">
        <v>3364</v>
      </c>
      <c r="C61" s="2958" t="s">
        <v>3129</v>
      </c>
      <c r="D61" s="2958" t="s">
        <v>3130</v>
      </c>
      <c r="E61" s="2958" t="s">
        <v>3365</v>
      </c>
      <c r="F61" s="2958" t="s">
        <v>3366</v>
      </c>
      <c r="G61" s="2958" t="s">
        <v>3141</v>
      </c>
      <c r="H61" s="2958" t="s">
        <v>3102</v>
      </c>
      <c r="I61" s="2959">
        <v>34.04</v>
      </c>
      <c r="J61" s="2959">
        <v>14657.43</v>
      </c>
      <c r="K61" s="2959">
        <v>498939</v>
      </c>
      <c r="L61" s="2960">
        <v>43197</v>
      </c>
      <c r="M61" s="2958" t="s">
        <v>3134</v>
      </c>
      <c r="N61" s="2958" t="s">
        <v>3135</v>
      </c>
      <c r="O61" s="2958" t="s">
        <v>3136</v>
      </c>
    </row>
    <row r="62" spans="1:15">
      <c r="A62" s="2958" t="s">
        <v>3367</v>
      </c>
      <c r="B62" s="2958" t="s">
        <v>3368</v>
      </c>
      <c r="C62" s="2958" t="s">
        <v>3129</v>
      </c>
      <c r="D62" s="2958" t="s">
        <v>3130</v>
      </c>
      <c r="E62" s="2958" t="s">
        <v>3369</v>
      </c>
      <c r="F62" s="2958" t="s">
        <v>3370</v>
      </c>
      <c r="G62" s="2958" t="s">
        <v>3141</v>
      </c>
      <c r="H62" s="2958" t="s">
        <v>3102</v>
      </c>
      <c r="I62" s="2959">
        <v>35.28</v>
      </c>
      <c r="J62" s="2959">
        <v>29275.43</v>
      </c>
      <c r="K62" s="2959">
        <v>1032837</v>
      </c>
      <c r="L62" s="2960">
        <v>43196</v>
      </c>
      <c r="M62" s="2958" t="s">
        <v>3134</v>
      </c>
      <c r="N62" s="2958" t="s">
        <v>3135</v>
      </c>
      <c r="O62" s="2958" t="s">
        <v>3136</v>
      </c>
    </row>
    <row r="63" spans="1:15">
      <c r="A63" s="2958" t="s">
        <v>3371</v>
      </c>
      <c r="B63" s="2958" t="s">
        <v>3372</v>
      </c>
      <c r="C63" s="2958" t="s">
        <v>3129</v>
      </c>
      <c r="D63" s="2958" t="s">
        <v>3130</v>
      </c>
      <c r="E63" s="2958" t="s">
        <v>3373</v>
      </c>
      <c r="F63" s="2958" t="s">
        <v>3374</v>
      </c>
      <c r="G63" s="2958" t="s">
        <v>3141</v>
      </c>
      <c r="H63" s="2958" t="s">
        <v>3102</v>
      </c>
      <c r="I63" s="2959">
        <v>39.380000000000003</v>
      </c>
      <c r="J63" s="2959">
        <v>14166.18</v>
      </c>
      <c r="K63" s="2959">
        <v>557864</v>
      </c>
      <c r="L63" s="2960">
        <v>43196</v>
      </c>
      <c r="M63" s="2958" t="s">
        <v>3134</v>
      </c>
      <c r="N63" s="2958" t="s">
        <v>3135</v>
      </c>
      <c r="O63" s="2958" t="s">
        <v>3136</v>
      </c>
    </row>
    <row r="64" spans="1:15">
      <c r="A64" s="2958" t="s">
        <v>3375</v>
      </c>
      <c r="B64" s="2958" t="s">
        <v>3376</v>
      </c>
      <c r="C64" s="2958" t="s">
        <v>3129</v>
      </c>
      <c r="D64" s="2958" t="s">
        <v>3130</v>
      </c>
      <c r="E64" s="2958" t="s">
        <v>3377</v>
      </c>
      <c r="F64" s="2958" t="s">
        <v>3378</v>
      </c>
      <c r="G64" s="2958" t="s">
        <v>3141</v>
      </c>
      <c r="H64" s="2958" t="s">
        <v>3102</v>
      </c>
      <c r="I64" s="2959">
        <v>22.42</v>
      </c>
      <c r="J64" s="2959">
        <v>37799.46</v>
      </c>
      <c r="K64" s="2959">
        <v>847464</v>
      </c>
      <c r="L64" s="2960">
        <v>43196</v>
      </c>
      <c r="M64" s="2958" t="s">
        <v>3134</v>
      </c>
      <c r="N64" s="2958" t="s">
        <v>3135</v>
      </c>
      <c r="O64" s="2958" t="s">
        <v>3136</v>
      </c>
    </row>
    <row r="65" spans="1:15">
      <c r="A65" s="2958" t="s">
        <v>3379</v>
      </c>
      <c r="B65" s="2958" t="s">
        <v>3380</v>
      </c>
      <c r="C65" s="2958" t="s">
        <v>3129</v>
      </c>
      <c r="D65" s="2958" t="s">
        <v>3130</v>
      </c>
      <c r="E65" s="2958" t="s">
        <v>3381</v>
      </c>
      <c r="F65" s="2958" t="s">
        <v>3382</v>
      </c>
      <c r="G65" s="2958" t="s">
        <v>3141</v>
      </c>
      <c r="H65" s="2958" t="s">
        <v>3102</v>
      </c>
      <c r="I65" s="2959">
        <v>27.34</v>
      </c>
      <c r="J65" s="2959">
        <v>14641.48</v>
      </c>
      <c r="K65" s="2959">
        <v>400298</v>
      </c>
      <c r="L65" s="2960">
        <v>43190</v>
      </c>
      <c r="M65" s="2958" t="s">
        <v>3134</v>
      </c>
      <c r="N65" s="2958" t="s">
        <v>3135</v>
      </c>
      <c r="O65" s="2958" t="s">
        <v>3136</v>
      </c>
    </row>
    <row r="66" spans="1:15">
      <c r="A66" s="2958" t="s">
        <v>3383</v>
      </c>
      <c r="B66" s="2958" t="s">
        <v>3384</v>
      </c>
      <c r="C66" s="2958" t="s">
        <v>3129</v>
      </c>
      <c r="D66" s="2958" t="s">
        <v>3130</v>
      </c>
      <c r="E66" s="2958" t="s">
        <v>3385</v>
      </c>
      <c r="F66" s="2958" t="s">
        <v>3386</v>
      </c>
      <c r="G66" s="2958" t="s">
        <v>3141</v>
      </c>
      <c r="H66" s="2958" t="s">
        <v>3102</v>
      </c>
      <c r="I66" s="2959">
        <v>38.51</v>
      </c>
      <c r="J66" s="2959">
        <v>14758.82</v>
      </c>
      <c r="K66" s="2959">
        <v>568362</v>
      </c>
      <c r="L66" s="2960">
        <v>43190</v>
      </c>
      <c r="M66" s="2958" t="s">
        <v>3134</v>
      </c>
      <c r="N66" s="2958" t="s">
        <v>3135</v>
      </c>
      <c r="O66" s="2958" t="s">
        <v>3136</v>
      </c>
    </row>
    <row r="67" spans="1:15">
      <c r="A67" s="2958" t="s">
        <v>3387</v>
      </c>
      <c r="B67" s="2958" t="s">
        <v>3388</v>
      </c>
      <c r="C67" s="2958" t="s">
        <v>3129</v>
      </c>
      <c r="D67" s="2958" t="s">
        <v>3130</v>
      </c>
      <c r="E67" s="2958" t="s">
        <v>3389</v>
      </c>
      <c r="F67" s="2958" t="s">
        <v>3390</v>
      </c>
      <c r="G67" s="2958" t="s">
        <v>3141</v>
      </c>
      <c r="H67" s="2958" t="s">
        <v>3102</v>
      </c>
      <c r="I67" s="2959">
        <v>35.32</v>
      </c>
      <c r="J67" s="2959">
        <v>26384.26</v>
      </c>
      <c r="K67" s="2959">
        <v>931892</v>
      </c>
      <c r="L67" s="2960">
        <v>43190</v>
      </c>
      <c r="M67" s="2958" t="s">
        <v>3134</v>
      </c>
      <c r="N67" s="2958" t="s">
        <v>3135</v>
      </c>
      <c r="O67" s="2958" t="s">
        <v>3136</v>
      </c>
    </row>
    <row r="68" spans="1:15">
      <c r="A68" s="2958" t="s">
        <v>3391</v>
      </c>
      <c r="B68" s="2958" t="s">
        <v>3392</v>
      </c>
      <c r="C68" s="2958" t="s">
        <v>3129</v>
      </c>
      <c r="D68" s="2958" t="s">
        <v>3130</v>
      </c>
      <c r="E68" s="2958" t="s">
        <v>3393</v>
      </c>
      <c r="F68" s="2958" t="s">
        <v>3394</v>
      </c>
      <c r="G68" s="2958" t="s">
        <v>3141</v>
      </c>
      <c r="H68" s="2958" t="s">
        <v>3102</v>
      </c>
      <c r="I68" s="2959">
        <v>39.380000000000003</v>
      </c>
      <c r="J68" s="2959">
        <v>14398.07</v>
      </c>
      <c r="K68" s="2959">
        <v>566996</v>
      </c>
      <c r="L68" s="2960">
        <v>43190</v>
      </c>
      <c r="M68" s="2958" t="s">
        <v>3134</v>
      </c>
      <c r="N68" s="2958" t="s">
        <v>3135</v>
      </c>
      <c r="O68" s="2958" t="s">
        <v>3136</v>
      </c>
    </row>
    <row r="69" spans="1:15">
      <c r="A69" s="2958" t="s">
        <v>3395</v>
      </c>
      <c r="B69" s="2958" t="s">
        <v>3396</v>
      </c>
      <c r="C69" s="2958" t="s">
        <v>3129</v>
      </c>
      <c r="D69" s="2958" t="s">
        <v>3130</v>
      </c>
      <c r="E69" s="2958" t="s">
        <v>3397</v>
      </c>
      <c r="F69" s="2958" t="s">
        <v>3398</v>
      </c>
      <c r="G69" s="2958" t="s">
        <v>3141</v>
      </c>
      <c r="H69" s="2958" t="s">
        <v>3102</v>
      </c>
      <c r="I69" s="2959">
        <v>27.68</v>
      </c>
      <c r="J69" s="2959">
        <v>14705.24</v>
      </c>
      <c r="K69" s="2959">
        <v>407041</v>
      </c>
      <c r="L69" s="2960">
        <v>43190</v>
      </c>
      <c r="M69" s="2958" t="s">
        <v>3134</v>
      </c>
      <c r="N69" s="2958" t="s">
        <v>3135</v>
      </c>
      <c r="O69" s="2958" t="s">
        <v>3136</v>
      </c>
    </row>
    <row r="70" spans="1:15">
      <c r="A70" s="2958" t="s">
        <v>3399</v>
      </c>
      <c r="B70" s="2958" t="s">
        <v>3400</v>
      </c>
      <c r="C70" s="2958" t="s">
        <v>3129</v>
      </c>
      <c r="D70" s="2958" t="s">
        <v>3130</v>
      </c>
      <c r="E70" s="2958" t="s">
        <v>3401</v>
      </c>
      <c r="F70" s="2958" t="s">
        <v>3402</v>
      </c>
      <c r="G70" s="2958" t="s">
        <v>3141</v>
      </c>
      <c r="H70" s="2958" t="s">
        <v>3102</v>
      </c>
      <c r="I70" s="2959">
        <v>35.32</v>
      </c>
      <c r="J70" s="2959">
        <v>25667.919999999998</v>
      </c>
      <c r="K70" s="2959">
        <v>906591</v>
      </c>
      <c r="L70" s="2960">
        <v>43190</v>
      </c>
      <c r="M70" s="2958" t="s">
        <v>3134</v>
      </c>
      <c r="N70" s="2958" t="s">
        <v>3135</v>
      </c>
      <c r="O70" s="2958" t="s">
        <v>3136</v>
      </c>
    </row>
    <row r="71" spans="1:15">
      <c r="A71" s="2958" t="s">
        <v>3403</v>
      </c>
      <c r="B71" s="2958" t="s">
        <v>3404</v>
      </c>
      <c r="C71" s="2958" t="s">
        <v>3129</v>
      </c>
      <c r="D71" s="2958" t="s">
        <v>3130</v>
      </c>
      <c r="E71" s="2958" t="s">
        <v>3405</v>
      </c>
      <c r="F71" s="2958" t="s">
        <v>3406</v>
      </c>
      <c r="G71" s="2958" t="s">
        <v>3141</v>
      </c>
      <c r="H71" s="2958" t="s">
        <v>3102</v>
      </c>
      <c r="I71" s="2959">
        <v>27.34</v>
      </c>
      <c r="J71" s="2959">
        <v>14832.77</v>
      </c>
      <c r="K71" s="2959">
        <v>405528</v>
      </c>
      <c r="L71" s="2960">
        <v>43190</v>
      </c>
      <c r="M71" s="2958" t="s">
        <v>3134</v>
      </c>
      <c r="N71" s="2958" t="s">
        <v>3135</v>
      </c>
      <c r="O71" s="2958" t="s">
        <v>3136</v>
      </c>
    </row>
    <row r="72" spans="1:15">
      <c r="A72" s="2958" t="s">
        <v>3407</v>
      </c>
      <c r="B72" s="2958" t="s">
        <v>3408</v>
      </c>
      <c r="C72" s="2958" t="s">
        <v>3129</v>
      </c>
      <c r="D72" s="2958" t="s">
        <v>3130</v>
      </c>
      <c r="E72" s="2958" t="s">
        <v>3409</v>
      </c>
      <c r="F72" s="2958" t="s">
        <v>3410</v>
      </c>
      <c r="G72" s="2958" t="s">
        <v>3141</v>
      </c>
      <c r="H72" s="2958" t="s">
        <v>3102</v>
      </c>
      <c r="I72" s="2959">
        <v>27.34</v>
      </c>
      <c r="J72" s="2959">
        <v>14960.28</v>
      </c>
      <c r="K72" s="2959">
        <v>409014</v>
      </c>
      <c r="L72" s="2960">
        <v>43190</v>
      </c>
      <c r="M72" s="2958" t="s">
        <v>3134</v>
      </c>
      <c r="N72" s="2958" t="s">
        <v>3135</v>
      </c>
      <c r="O72" s="2958" t="s">
        <v>3136</v>
      </c>
    </row>
    <row r="73" spans="1:15">
      <c r="A73" s="2958" t="s">
        <v>3411</v>
      </c>
      <c r="B73" s="2958" t="s">
        <v>3412</v>
      </c>
      <c r="C73" s="2958" t="s">
        <v>3129</v>
      </c>
      <c r="D73" s="2958" t="s">
        <v>3130</v>
      </c>
      <c r="E73" s="2958" t="s">
        <v>3413</v>
      </c>
      <c r="F73" s="2958" t="s">
        <v>3414</v>
      </c>
      <c r="G73" s="2958" t="s">
        <v>3133</v>
      </c>
      <c r="H73" s="2958" t="s">
        <v>3102</v>
      </c>
      <c r="I73" s="2959">
        <v>27.34</v>
      </c>
      <c r="J73" s="2959">
        <v>14754.79</v>
      </c>
      <c r="K73" s="2959">
        <v>403396</v>
      </c>
      <c r="L73" s="2960">
        <v>43190</v>
      </c>
      <c r="M73" s="2958" t="s">
        <v>3134</v>
      </c>
      <c r="N73" s="2958" t="s">
        <v>3135</v>
      </c>
      <c r="O73" s="2958" t="s">
        <v>3136</v>
      </c>
    </row>
    <row r="74" spans="1:15">
      <c r="A74" s="2958" t="s">
        <v>3415</v>
      </c>
      <c r="B74" s="2958" t="s">
        <v>3416</v>
      </c>
      <c r="C74" s="2958" t="s">
        <v>3129</v>
      </c>
      <c r="D74" s="2958" t="s">
        <v>3130</v>
      </c>
      <c r="E74" s="2958" t="s">
        <v>3417</v>
      </c>
      <c r="F74" s="2958" t="s">
        <v>3418</v>
      </c>
      <c r="G74" s="2958" t="s">
        <v>3133</v>
      </c>
      <c r="H74" s="2958" t="s">
        <v>3102</v>
      </c>
      <c r="I74" s="2959">
        <v>30.41</v>
      </c>
      <c r="J74" s="2959">
        <v>15223.38</v>
      </c>
      <c r="K74" s="2959">
        <v>462943</v>
      </c>
      <c r="L74" s="2960">
        <v>43190</v>
      </c>
      <c r="M74" s="2958" t="s">
        <v>3134</v>
      </c>
      <c r="N74" s="2958" t="s">
        <v>3135</v>
      </c>
      <c r="O74" s="2958" t="s">
        <v>3136</v>
      </c>
    </row>
    <row r="75" spans="1:15">
      <c r="A75" s="2958" t="s">
        <v>3419</v>
      </c>
      <c r="B75" s="2958" t="s">
        <v>3420</v>
      </c>
      <c r="C75" s="2958" t="s">
        <v>3129</v>
      </c>
      <c r="D75" s="2958" t="s">
        <v>3130</v>
      </c>
      <c r="E75" s="2958" t="s">
        <v>3421</v>
      </c>
      <c r="F75" s="2958" t="s">
        <v>3422</v>
      </c>
      <c r="G75" s="2958" t="s">
        <v>3141</v>
      </c>
      <c r="H75" s="2958" t="s">
        <v>3102</v>
      </c>
      <c r="I75" s="2959">
        <v>45.68</v>
      </c>
      <c r="J75" s="2959">
        <v>33655.949999999997</v>
      </c>
      <c r="K75" s="2959">
        <v>1537404</v>
      </c>
      <c r="L75" s="2960">
        <v>43190</v>
      </c>
      <c r="M75" s="2958" t="s">
        <v>3134</v>
      </c>
      <c r="N75" s="2958" t="s">
        <v>3135</v>
      </c>
      <c r="O75" s="2958" t="s">
        <v>3136</v>
      </c>
    </row>
    <row r="76" spans="1:15">
      <c r="A76" s="2958" t="s">
        <v>3423</v>
      </c>
      <c r="B76" s="2958" t="s">
        <v>3424</v>
      </c>
      <c r="C76" s="2958" t="s">
        <v>3129</v>
      </c>
      <c r="D76" s="2958" t="s">
        <v>3130</v>
      </c>
      <c r="E76" s="2958" t="s">
        <v>3425</v>
      </c>
      <c r="F76" s="2958" t="s">
        <v>3426</v>
      </c>
      <c r="G76" s="2958" t="s">
        <v>3141</v>
      </c>
      <c r="H76" s="2958" t="s">
        <v>3102</v>
      </c>
      <c r="I76" s="2959">
        <v>27.34</v>
      </c>
      <c r="J76" s="2959">
        <v>15151.54</v>
      </c>
      <c r="K76" s="2959">
        <v>414243</v>
      </c>
      <c r="L76" s="2960">
        <v>43190</v>
      </c>
      <c r="M76" s="2958" t="s">
        <v>3134</v>
      </c>
      <c r="N76" s="2958" t="s">
        <v>3135</v>
      </c>
      <c r="O76" s="2958" t="s">
        <v>3136</v>
      </c>
    </row>
    <row r="77" spans="1:15">
      <c r="A77" s="2958" t="s">
        <v>3427</v>
      </c>
      <c r="B77" s="2958" t="s">
        <v>3428</v>
      </c>
      <c r="C77" s="2958" t="s">
        <v>3129</v>
      </c>
      <c r="D77" s="2958" t="s">
        <v>3130</v>
      </c>
      <c r="E77" s="2958" t="s">
        <v>3429</v>
      </c>
      <c r="F77" s="2958" t="s">
        <v>3430</v>
      </c>
      <c r="G77" s="2958" t="s">
        <v>3133</v>
      </c>
      <c r="H77" s="2958" t="s">
        <v>3102</v>
      </c>
      <c r="I77" s="2959">
        <v>27.34</v>
      </c>
      <c r="J77" s="2959">
        <v>14723.56</v>
      </c>
      <c r="K77" s="2959">
        <v>402542</v>
      </c>
      <c r="L77" s="2960">
        <v>43190</v>
      </c>
      <c r="M77" s="2958" t="s">
        <v>3134</v>
      </c>
      <c r="N77" s="2958" t="s">
        <v>3135</v>
      </c>
      <c r="O77" s="2958" t="s">
        <v>3136</v>
      </c>
    </row>
    <row r="78" spans="1:15">
      <c r="A78" s="2958" t="s">
        <v>3431</v>
      </c>
      <c r="B78" s="2958" t="s">
        <v>3432</v>
      </c>
      <c r="C78" s="2958" t="s">
        <v>3129</v>
      </c>
      <c r="D78" s="2958" t="s">
        <v>3130</v>
      </c>
      <c r="E78" s="2958" t="s">
        <v>3433</v>
      </c>
      <c r="F78" s="2958" t="s">
        <v>3434</v>
      </c>
      <c r="G78" s="2958" t="s">
        <v>3133</v>
      </c>
      <c r="H78" s="2958" t="s">
        <v>3102</v>
      </c>
      <c r="I78" s="2959">
        <v>27.68</v>
      </c>
      <c r="J78" s="2959">
        <v>15181.72</v>
      </c>
      <c r="K78" s="2959">
        <v>420230</v>
      </c>
      <c r="L78" s="2960">
        <v>43190</v>
      </c>
      <c r="M78" s="2958" t="s">
        <v>3134</v>
      </c>
      <c r="N78" s="2958" t="s">
        <v>3135</v>
      </c>
      <c r="O78" s="2958" t="s">
        <v>3136</v>
      </c>
    </row>
    <row r="79" spans="1:15">
      <c r="A79" s="2958" t="s">
        <v>3435</v>
      </c>
      <c r="B79" s="2958" t="s">
        <v>3436</v>
      </c>
      <c r="C79" s="2958" t="s">
        <v>3129</v>
      </c>
      <c r="D79" s="2958" t="s">
        <v>3130</v>
      </c>
      <c r="E79" s="2958" t="s">
        <v>3437</v>
      </c>
      <c r="F79" s="2958" t="s">
        <v>3438</v>
      </c>
      <c r="G79" s="2958" t="s">
        <v>3133</v>
      </c>
      <c r="H79" s="2958" t="s">
        <v>3102</v>
      </c>
      <c r="I79" s="2959">
        <v>42.92</v>
      </c>
      <c r="J79" s="2959">
        <v>30154.57</v>
      </c>
      <c r="K79" s="2959">
        <v>1294234</v>
      </c>
      <c r="L79" s="2960">
        <v>43190</v>
      </c>
      <c r="M79" s="2958" t="s">
        <v>3134</v>
      </c>
      <c r="N79" s="2958" t="s">
        <v>3135</v>
      </c>
      <c r="O79" s="2958" t="s">
        <v>3136</v>
      </c>
    </row>
    <row r="80" spans="1:15">
      <c r="A80" s="2958" t="s">
        <v>3439</v>
      </c>
      <c r="B80" s="2958" t="s">
        <v>3440</v>
      </c>
      <c r="C80" s="2958" t="s">
        <v>3129</v>
      </c>
      <c r="D80" s="2958" t="s">
        <v>3130</v>
      </c>
      <c r="E80" s="2958" t="s">
        <v>3441</v>
      </c>
      <c r="F80" s="2958" t="s">
        <v>3442</v>
      </c>
      <c r="G80" s="2958" t="s">
        <v>3141</v>
      </c>
      <c r="H80" s="2958" t="s">
        <v>3102</v>
      </c>
      <c r="I80" s="2959">
        <v>27.34</v>
      </c>
      <c r="J80" s="2959">
        <v>14768.98</v>
      </c>
      <c r="K80" s="2959">
        <v>403784</v>
      </c>
      <c r="L80" s="2960">
        <v>43190</v>
      </c>
      <c r="M80" s="2958" t="s">
        <v>3134</v>
      </c>
      <c r="N80" s="2958" t="s">
        <v>3135</v>
      </c>
      <c r="O80" s="2958" t="s">
        <v>3136</v>
      </c>
    </row>
    <row r="81" spans="1:15">
      <c r="A81" s="2958" t="s">
        <v>3443</v>
      </c>
      <c r="B81" s="2958" t="s">
        <v>3444</v>
      </c>
      <c r="C81" s="2958" t="s">
        <v>3129</v>
      </c>
      <c r="D81" s="2958" t="s">
        <v>3130</v>
      </c>
      <c r="E81" s="2958" t="s">
        <v>3445</v>
      </c>
      <c r="F81" s="2958" t="s">
        <v>3446</v>
      </c>
      <c r="G81" s="2958" t="s">
        <v>3141</v>
      </c>
      <c r="H81" s="2958" t="s">
        <v>3102</v>
      </c>
      <c r="I81" s="2959">
        <v>27.34</v>
      </c>
      <c r="J81" s="2959">
        <v>15151.54</v>
      </c>
      <c r="K81" s="2959">
        <v>414243</v>
      </c>
      <c r="L81" s="2960">
        <v>43190</v>
      </c>
      <c r="M81" s="2958" t="s">
        <v>3134</v>
      </c>
      <c r="N81" s="2958" t="s">
        <v>3135</v>
      </c>
      <c r="O81" s="2958" t="s">
        <v>3136</v>
      </c>
    </row>
    <row r="82" spans="1:15">
      <c r="A82" s="2958" t="s">
        <v>3447</v>
      </c>
      <c r="B82" s="2958" t="s">
        <v>3448</v>
      </c>
      <c r="C82" s="2958" t="s">
        <v>3129</v>
      </c>
      <c r="D82" s="2958" t="s">
        <v>3130</v>
      </c>
      <c r="E82" s="2958" t="s">
        <v>3449</v>
      </c>
      <c r="F82" s="2958" t="s">
        <v>3450</v>
      </c>
      <c r="G82" s="2958" t="s">
        <v>3141</v>
      </c>
      <c r="H82" s="2958" t="s">
        <v>3102</v>
      </c>
      <c r="I82" s="2959">
        <v>27.34</v>
      </c>
      <c r="J82" s="2959">
        <v>14896.53</v>
      </c>
      <c r="K82" s="2959">
        <v>407271</v>
      </c>
      <c r="L82" s="2960">
        <v>43190</v>
      </c>
      <c r="M82" s="2958" t="s">
        <v>3134</v>
      </c>
      <c r="N82" s="2958" t="s">
        <v>3135</v>
      </c>
      <c r="O82" s="2958" t="s">
        <v>3136</v>
      </c>
    </row>
    <row r="83" spans="1:15">
      <c r="A83" s="2958" t="s">
        <v>3451</v>
      </c>
      <c r="B83" s="2958" t="s">
        <v>3452</v>
      </c>
      <c r="C83" s="2958" t="s">
        <v>3129</v>
      </c>
      <c r="D83" s="2958" t="s">
        <v>3130</v>
      </c>
      <c r="E83" s="2958" t="s">
        <v>3453</v>
      </c>
      <c r="F83" s="2958" t="s">
        <v>3454</v>
      </c>
      <c r="G83" s="2958" t="s">
        <v>3141</v>
      </c>
      <c r="H83" s="2958" t="s">
        <v>3102</v>
      </c>
      <c r="I83" s="2959">
        <v>35.32</v>
      </c>
      <c r="J83" s="2959">
        <v>29038.36</v>
      </c>
      <c r="K83" s="2959">
        <v>1025635</v>
      </c>
      <c r="L83" s="2960">
        <v>43190</v>
      </c>
      <c r="M83" s="2958" t="s">
        <v>3134</v>
      </c>
      <c r="N83" s="2958" t="s">
        <v>3135</v>
      </c>
      <c r="O83" s="2958" t="s">
        <v>3136</v>
      </c>
    </row>
    <row r="84" spans="1:15">
      <c r="A84" s="2958" t="s">
        <v>3455</v>
      </c>
      <c r="B84" s="2958" t="s">
        <v>3456</v>
      </c>
      <c r="C84" s="2958" t="s">
        <v>3129</v>
      </c>
      <c r="D84" s="2958" t="s">
        <v>3130</v>
      </c>
      <c r="E84" s="2958" t="s">
        <v>3457</v>
      </c>
      <c r="F84" s="2958" t="s">
        <v>3458</v>
      </c>
      <c r="G84" s="2958" t="s">
        <v>3141</v>
      </c>
      <c r="H84" s="2958" t="s">
        <v>3102</v>
      </c>
      <c r="I84" s="2959">
        <v>35.32</v>
      </c>
      <c r="J84" s="2959">
        <v>27853.03</v>
      </c>
      <c r="K84" s="2959">
        <v>983769</v>
      </c>
      <c r="L84" s="2960">
        <v>43190</v>
      </c>
      <c r="M84" s="2958" t="s">
        <v>3134</v>
      </c>
      <c r="N84" s="2958" t="s">
        <v>3135</v>
      </c>
      <c r="O84" s="2958" t="s">
        <v>3136</v>
      </c>
    </row>
    <row r="85" spans="1:15">
      <c r="A85" s="2958" t="s">
        <v>3459</v>
      </c>
      <c r="B85" s="2958" t="s">
        <v>3460</v>
      </c>
      <c r="C85" s="2958" t="s">
        <v>3129</v>
      </c>
      <c r="D85" s="2958" t="s">
        <v>3130</v>
      </c>
      <c r="E85" s="2958" t="s">
        <v>3461</v>
      </c>
      <c r="F85" s="2958" t="s">
        <v>3462</v>
      </c>
      <c r="G85" s="2958" t="s">
        <v>3141</v>
      </c>
      <c r="H85" s="2958" t="s">
        <v>3102</v>
      </c>
      <c r="I85" s="2959">
        <v>35.32</v>
      </c>
      <c r="J85" s="2959">
        <v>30512.29</v>
      </c>
      <c r="K85" s="2959">
        <v>1077694</v>
      </c>
      <c r="L85" s="2960">
        <v>43190</v>
      </c>
      <c r="M85" s="2958" t="s">
        <v>3134</v>
      </c>
      <c r="N85" s="2958" t="s">
        <v>3135</v>
      </c>
      <c r="O85" s="2958" t="s">
        <v>3136</v>
      </c>
    </row>
    <row r="86" spans="1:15">
      <c r="A86" s="2958" t="s">
        <v>3463</v>
      </c>
      <c r="B86" s="2958" t="s">
        <v>3464</v>
      </c>
      <c r="C86" s="2958" t="s">
        <v>3129</v>
      </c>
      <c r="D86" s="2958" t="s">
        <v>3130</v>
      </c>
      <c r="E86" s="2958" t="s">
        <v>3465</v>
      </c>
      <c r="F86" s="2958" t="s">
        <v>3466</v>
      </c>
      <c r="G86" s="2958" t="s">
        <v>3141</v>
      </c>
      <c r="H86" s="2958" t="s">
        <v>3102</v>
      </c>
      <c r="I86" s="2959">
        <v>49.47</v>
      </c>
      <c r="J86" s="2959">
        <v>30254.6</v>
      </c>
      <c r="K86" s="2959">
        <v>1496695</v>
      </c>
      <c r="L86" s="2960">
        <v>43190</v>
      </c>
      <c r="M86" s="2958" t="s">
        <v>3134</v>
      </c>
      <c r="N86" s="2958" t="s">
        <v>3135</v>
      </c>
      <c r="O86" s="2958" t="s">
        <v>3136</v>
      </c>
    </row>
    <row r="87" spans="1:15">
      <c r="A87" s="2958" t="s">
        <v>3467</v>
      </c>
      <c r="B87" s="2958" t="s">
        <v>3468</v>
      </c>
      <c r="C87" s="2958" t="s">
        <v>3129</v>
      </c>
      <c r="D87" s="2958" t="s">
        <v>3130</v>
      </c>
      <c r="E87" s="2958" t="s">
        <v>3469</v>
      </c>
      <c r="F87" s="2958" t="s">
        <v>3470</v>
      </c>
      <c r="G87" s="2958" t="s">
        <v>3133</v>
      </c>
      <c r="H87" s="2958" t="s">
        <v>3102</v>
      </c>
      <c r="I87" s="2959">
        <v>27</v>
      </c>
      <c r="J87" s="2959">
        <v>14577.74</v>
      </c>
      <c r="K87" s="2959">
        <v>393599</v>
      </c>
      <c r="L87" s="2960">
        <v>43190</v>
      </c>
      <c r="M87" s="2958" t="s">
        <v>3134</v>
      </c>
      <c r="N87" s="2958" t="s">
        <v>3135</v>
      </c>
      <c r="O87" s="2958" t="s">
        <v>3136</v>
      </c>
    </row>
    <row r="88" spans="1:15">
      <c r="A88" s="2958" t="s">
        <v>3471</v>
      </c>
      <c r="B88" s="2958" t="s">
        <v>3472</v>
      </c>
      <c r="C88" s="2958" t="s">
        <v>3129</v>
      </c>
      <c r="D88" s="2958" t="s">
        <v>3130</v>
      </c>
      <c r="E88" s="2958" t="s">
        <v>3473</v>
      </c>
      <c r="F88" s="2958" t="s">
        <v>3474</v>
      </c>
      <c r="G88" s="2958" t="s">
        <v>3133</v>
      </c>
      <c r="H88" s="2958" t="s">
        <v>3102</v>
      </c>
      <c r="I88" s="2959">
        <v>31.24</v>
      </c>
      <c r="J88" s="2959">
        <v>15514.94</v>
      </c>
      <c r="K88" s="2959">
        <v>484687</v>
      </c>
      <c r="L88" s="2960">
        <v>43190</v>
      </c>
      <c r="M88" s="2958" t="s">
        <v>3134</v>
      </c>
      <c r="N88" s="2958" t="s">
        <v>3135</v>
      </c>
      <c r="O88" s="2958" t="s">
        <v>3136</v>
      </c>
    </row>
    <row r="89" spans="1:15">
      <c r="A89" s="2958" t="s">
        <v>3475</v>
      </c>
      <c r="B89" s="2958" t="s">
        <v>3476</v>
      </c>
      <c r="C89" s="2958" t="s">
        <v>3129</v>
      </c>
      <c r="D89" s="2958" t="s">
        <v>3130</v>
      </c>
      <c r="E89" s="2958" t="s">
        <v>3477</v>
      </c>
      <c r="F89" s="2958" t="s">
        <v>3478</v>
      </c>
      <c r="G89" s="2958" t="s">
        <v>3133</v>
      </c>
      <c r="H89" s="2958" t="s">
        <v>3102</v>
      </c>
      <c r="I89" s="2959">
        <v>33.28</v>
      </c>
      <c r="J89" s="2959">
        <v>14810.37</v>
      </c>
      <c r="K89" s="2959">
        <v>492889</v>
      </c>
      <c r="L89" s="2960">
        <v>43190</v>
      </c>
      <c r="M89" s="2958" t="s">
        <v>3134</v>
      </c>
      <c r="N89" s="2958" t="s">
        <v>3135</v>
      </c>
      <c r="O89" s="2958" t="s">
        <v>3136</v>
      </c>
    </row>
    <row r="90" spans="1:15">
      <c r="A90" s="2958" t="s">
        <v>3479</v>
      </c>
      <c r="B90" s="2958" t="s">
        <v>3480</v>
      </c>
      <c r="C90" s="2958" t="s">
        <v>3129</v>
      </c>
      <c r="D90" s="2958" t="s">
        <v>3130</v>
      </c>
      <c r="E90" s="2958" t="s">
        <v>3481</v>
      </c>
      <c r="F90" s="2958" t="s">
        <v>3482</v>
      </c>
      <c r="G90" s="2958" t="s">
        <v>3133</v>
      </c>
      <c r="H90" s="2958" t="s">
        <v>3102</v>
      </c>
      <c r="I90" s="2959">
        <v>27.34</v>
      </c>
      <c r="J90" s="2959">
        <v>14536.14</v>
      </c>
      <c r="K90" s="2959">
        <v>397418</v>
      </c>
      <c r="L90" s="2960">
        <v>43190</v>
      </c>
      <c r="M90" s="2958" t="s">
        <v>3134</v>
      </c>
      <c r="N90" s="2958" t="s">
        <v>3135</v>
      </c>
      <c r="O90" s="2958" t="s">
        <v>3136</v>
      </c>
    </row>
    <row r="91" spans="1:15">
      <c r="A91" s="2958" t="s">
        <v>3483</v>
      </c>
      <c r="B91" s="2958" t="s">
        <v>3484</v>
      </c>
      <c r="C91" s="2958" t="s">
        <v>3129</v>
      </c>
      <c r="D91" s="2958" t="s">
        <v>3130</v>
      </c>
      <c r="E91" s="2958" t="s">
        <v>3485</v>
      </c>
      <c r="F91" s="2958" t="s">
        <v>3486</v>
      </c>
      <c r="G91" s="2958" t="s">
        <v>3141</v>
      </c>
      <c r="H91" s="2958" t="s">
        <v>3102</v>
      </c>
      <c r="I91" s="2959">
        <v>27.34</v>
      </c>
      <c r="J91" s="2959">
        <v>14343.96</v>
      </c>
      <c r="K91" s="2959">
        <v>392164</v>
      </c>
      <c r="L91" s="2960">
        <v>43190</v>
      </c>
      <c r="M91" s="2958" t="s">
        <v>3134</v>
      </c>
      <c r="N91" s="2958" t="s">
        <v>3135</v>
      </c>
      <c r="O91" s="2958" t="s">
        <v>3136</v>
      </c>
    </row>
    <row r="92" spans="1:15">
      <c r="A92" s="2958" t="s">
        <v>3487</v>
      </c>
      <c r="B92" s="2958" t="s">
        <v>3488</v>
      </c>
      <c r="C92" s="2958" t="s">
        <v>3129</v>
      </c>
      <c r="D92" s="2958" t="s">
        <v>3130</v>
      </c>
      <c r="E92" s="2958" t="s">
        <v>3489</v>
      </c>
      <c r="F92" s="2958" t="s">
        <v>3490</v>
      </c>
      <c r="G92" s="2958" t="s">
        <v>3133</v>
      </c>
      <c r="H92" s="2958" t="s">
        <v>3102</v>
      </c>
      <c r="I92" s="2959">
        <v>34.04</v>
      </c>
      <c r="J92" s="2959">
        <v>14598.56</v>
      </c>
      <c r="K92" s="2959">
        <v>496935</v>
      </c>
      <c r="L92" s="2960">
        <v>43190</v>
      </c>
      <c r="M92" s="2958" t="s">
        <v>3134</v>
      </c>
      <c r="N92" s="2958" t="s">
        <v>3135</v>
      </c>
      <c r="O92" s="2958" t="s">
        <v>3136</v>
      </c>
    </row>
    <row r="93" spans="1:15">
      <c r="A93" s="2958" t="s">
        <v>3491</v>
      </c>
      <c r="B93" s="2958" t="s">
        <v>3492</v>
      </c>
      <c r="C93" s="2958" t="s">
        <v>3129</v>
      </c>
      <c r="D93" s="2958" t="s">
        <v>3130</v>
      </c>
      <c r="E93" s="2958" t="s">
        <v>3493</v>
      </c>
      <c r="F93" s="2958" t="s">
        <v>3494</v>
      </c>
      <c r="G93" s="2958" t="s">
        <v>3133</v>
      </c>
      <c r="H93" s="2958" t="s">
        <v>3102</v>
      </c>
      <c r="I93" s="2959">
        <v>31.24</v>
      </c>
      <c r="J93" s="2959">
        <v>15181.72</v>
      </c>
      <c r="K93" s="2959">
        <v>474277</v>
      </c>
      <c r="L93" s="2960">
        <v>43190</v>
      </c>
      <c r="M93" s="2958" t="s">
        <v>3134</v>
      </c>
      <c r="N93" s="2958" t="s">
        <v>3135</v>
      </c>
      <c r="O93" s="2958" t="s">
        <v>3136</v>
      </c>
    </row>
    <row r="94" spans="1:15">
      <c r="A94" s="2958" t="s">
        <v>3495</v>
      </c>
      <c r="B94" s="2958" t="s">
        <v>3496</v>
      </c>
      <c r="C94" s="2958" t="s">
        <v>3129</v>
      </c>
      <c r="D94" s="2958" t="s">
        <v>3130</v>
      </c>
      <c r="E94" s="2958" t="s">
        <v>3497</v>
      </c>
      <c r="F94" s="2958" t="s">
        <v>3498</v>
      </c>
      <c r="G94" s="2958" t="s">
        <v>3133</v>
      </c>
      <c r="H94" s="2958" t="s">
        <v>3102</v>
      </c>
      <c r="I94" s="2959">
        <v>29.69</v>
      </c>
      <c r="J94" s="2959">
        <v>15056.79</v>
      </c>
      <c r="K94" s="2959">
        <v>447036</v>
      </c>
      <c r="L94" s="2960">
        <v>43190</v>
      </c>
      <c r="M94" s="2958" t="s">
        <v>3134</v>
      </c>
      <c r="N94" s="2958" t="s">
        <v>3135</v>
      </c>
      <c r="O94" s="2958" t="s">
        <v>3136</v>
      </c>
    </row>
    <row r="95" spans="1:15">
      <c r="A95" s="2958" t="s">
        <v>3499</v>
      </c>
      <c r="B95" s="2958" t="s">
        <v>3500</v>
      </c>
      <c r="C95" s="2958" t="s">
        <v>3129</v>
      </c>
      <c r="D95" s="2958" t="s">
        <v>3130</v>
      </c>
      <c r="E95" s="2958" t="s">
        <v>3501</v>
      </c>
      <c r="F95" s="2958" t="s">
        <v>3502</v>
      </c>
      <c r="G95" s="2958" t="s">
        <v>3133</v>
      </c>
      <c r="H95" s="2958" t="s">
        <v>3102</v>
      </c>
      <c r="I95" s="2959">
        <v>60.69</v>
      </c>
      <c r="J95" s="2959">
        <v>32477.79</v>
      </c>
      <c r="K95" s="2959">
        <v>1971077</v>
      </c>
      <c r="L95" s="2960">
        <v>43190</v>
      </c>
      <c r="M95" s="2958" t="s">
        <v>3134</v>
      </c>
      <c r="N95" s="2958" t="s">
        <v>3135</v>
      </c>
      <c r="O95" s="2958" t="s">
        <v>3136</v>
      </c>
    </row>
    <row r="96" spans="1:15">
      <c r="A96" s="2958" t="s">
        <v>3503</v>
      </c>
      <c r="B96" s="2958" t="s">
        <v>3504</v>
      </c>
      <c r="C96" s="2958" t="s">
        <v>3129</v>
      </c>
      <c r="D96" s="2958" t="s">
        <v>3130</v>
      </c>
      <c r="E96" s="2958" t="s">
        <v>3505</v>
      </c>
      <c r="F96" s="2958" t="s">
        <v>3506</v>
      </c>
      <c r="G96" s="2958" t="s">
        <v>3141</v>
      </c>
      <c r="H96" s="2958" t="s">
        <v>3102</v>
      </c>
      <c r="I96" s="2959">
        <v>62.59</v>
      </c>
      <c r="J96" s="2959">
        <v>33655.949999999997</v>
      </c>
      <c r="K96" s="2959">
        <v>2106526</v>
      </c>
      <c r="L96" s="2960">
        <v>43190</v>
      </c>
      <c r="M96" s="2958" t="s">
        <v>3134</v>
      </c>
      <c r="N96" s="2958" t="s">
        <v>3135</v>
      </c>
      <c r="O96" s="2958" t="s">
        <v>3136</v>
      </c>
    </row>
    <row r="97" spans="1:15">
      <c r="A97" s="2958" t="s">
        <v>3507</v>
      </c>
      <c r="B97" s="2958" t="s">
        <v>3508</v>
      </c>
      <c r="C97" s="2958" t="s">
        <v>3129</v>
      </c>
      <c r="D97" s="2958" t="s">
        <v>3130</v>
      </c>
      <c r="E97" s="2958" t="s">
        <v>3509</v>
      </c>
      <c r="F97" s="2958" t="s">
        <v>3510</v>
      </c>
      <c r="G97" s="2958" t="s">
        <v>3141</v>
      </c>
      <c r="H97" s="2958" t="s">
        <v>3102</v>
      </c>
      <c r="I97" s="2959">
        <v>31.62</v>
      </c>
      <c r="J97" s="2959">
        <v>15130.27</v>
      </c>
      <c r="K97" s="2959">
        <v>478419</v>
      </c>
      <c r="L97" s="2960">
        <v>43190</v>
      </c>
      <c r="M97" s="2958" t="s">
        <v>3134</v>
      </c>
      <c r="N97" s="2958" t="s">
        <v>3135</v>
      </c>
      <c r="O97" s="2958" t="s">
        <v>3136</v>
      </c>
    </row>
    <row r="98" spans="1:15">
      <c r="A98" s="2958" t="s">
        <v>3511</v>
      </c>
      <c r="B98" s="2958" t="s">
        <v>3512</v>
      </c>
      <c r="C98" s="2958" t="s">
        <v>3129</v>
      </c>
      <c r="D98" s="2958" t="s">
        <v>3130</v>
      </c>
      <c r="E98" s="2958" t="s">
        <v>3513</v>
      </c>
      <c r="F98" s="2958" t="s">
        <v>3514</v>
      </c>
      <c r="G98" s="2958" t="s">
        <v>3141</v>
      </c>
      <c r="H98" s="2958" t="s">
        <v>3102</v>
      </c>
      <c r="I98" s="2959">
        <v>31.24</v>
      </c>
      <c r="J98" s="2959">
        <v>15799.71</v>
      </c>
      <c r="K98" s="2959">
        <v>493583</v>
      </c>
      <c r="L98" s="2960">
        <v>43190</v>
      </c>
      <c r="M98" s="2958" t="s">
        <v>3134</v>
      </c>
      <c r="N98" s="2958" t="s">
        <v>3135</v>
      </c>
      <c r="O98" s="2958" t="s">
        <v>3136</v>
      </c>
    </row>
    <row r="99" spans="1:15">
      <c r="A99" s="2958" t="s">
        <v>3515</v>
      </c>
      <c r="B99" s="2958" t="s">
        <v>3516</v>
      </c>
      <c r="C99" s="2958" t="s">
        <v>3129</v>
      </c>
      <c r="D99" s="2958" t="s">
        <v>3130</v>
      </c>
      <c r="E99" s="2958" t="s">
        <v>3517</v>
      </c>
      <c r="F99" s="2958" t="s">
        <v>3518</v>
      </c>
      <c r="G99" s="2958" t="s">
        <v>3141</v>
      </c>
      <c r="H99" s="2958" t="s">
        <v>3102</v>
      </c>
      <c r="I99" s="2959">
        <v>29.46</v>
      </c>
      <c r="J99" s="2959">
        <v>30563.82</v>
      </c>
      <c r="K99" s="2959">
        <v>900410</v>
      </c>
      <c r="L99" s="2960">
        <v>43189</v>
      </c>
      <c r="M99" s="2958" t="s">
        <v>3134</v>
      </c>
      <c r="N99" s="2958" t="s">
        <v>3135</v>
      </c>
      <c r="O99" s="2958" t="s">
        <v>3136</v>
      </c>
    </row>
    <row r="100" spans="1:15">
      <c r="A100" s="2958" t="s">
        <v>3519</v>
      </c>
      <c r="B100" s="2958" t="s">
        <v>3520</v>
      </c>
      <c r="C100" s="2958" t="s">
        <v>3129</v>
      </c>
      <c r="D100" s="2958" t="s">
        <v>3130</v>
      </c>
      <c r="E100" s="2958" t="s">
        <v>3521</v>
      </c>
      <c r="F100" s="2958" t="s">
        <v>3522</v>
      </c>
      <c r="G100" s="2958" t="s">
        <v>3141</v>
      </c>
      <c r="H100" s="2958" t="s">
        <v>3102</v>
      </c>
      <c r="I100" s="2959">
        <v>24.03</v>
      </c>
      <c r="J100" s="2959">
        <v>15215.31</v>
      </c>
      <c r="K100" s="2959">
        <v>365624</v>
      </c>
      <c r="L100" s="2960">
        <v>43190</v>
      </c>
      <c r="M100" s="2958" t="s">
        <v>3134</v>
      </c>
      <c r="N100" s="2958" t="s">
        <v>3135</v>
      </c>
      <c r="O100" s="2958" t="s">
        <v>3136</v>
      </c>
    </row>
    <row r="101" spans="1:15">
      <c r="A101" s="2958" t="s">
        <v>3523</v>
      </c>
      <c r="B101" s="2958" t="s">
        <v>3524</v>
      </c>
      <c r="C101" s="2958" t="s">
        <v>3129</v>
      </c>
      <c r="D101" s="2958" t="s">
        <v>3130</v>
      </c>
      <c r="E101" s="2958" t="s">
        <v>3525</v>
      </c>
      <c r="F101" s="2958" t="s">
        <v>3526</v>
      </c>
      <c r="G101" s="2958" t="s">
        <v>3141</v>
      </c>
      <c r="H101" s="2958" t="s">
        <v>3102</v>
      </c>
      <c r="I101" s="2959">
        <v>25.57</v>
      </c>
      <c r="J101" s="2959">
        <v>30615.33</v>
      </c>
      <c r="K101" s="2959">
        <v>782834</v>
      </c>
      <c r="L101" s="2960">
        <v>43190</v>
      </c>
      <c r="M101" s="2958" t="s">
        <v>3134</v>
      </c>
      <c r="N101" s="2958" t="s">
        <v>3135</v>
      </c>
      <c r="O101" s="2958" t="s">
        <v>3136</v>
      </c>
    </row>
    <row r="102" spans="1:15">
      <c r="A102" s="2958" t="s">
        <v>3527</v>
      </c>
      <c r="B102" s="2958" t="s">
        <v>3528</v>
      </c>
      <c r="C102" s="2958" t="s">
        <v>3129</v>
      </c>
      <c r="D102" s="2958" t="s">
        <v>3130</v>
      </c>
      <c r="E102" s="2958" t="s">
        <v>3529</v>
      </c>
      <c r="F102" s="2958" t="s">
        <v>3530</v>
      </c>
      <c r="G102" s="2958" t="s">
        <v>3141</v>
      </c>
      <c r="H102" s="2958" t="s">
        <v>3102</v>
      </c>
      <c r="I102" s="2959">
        <v>35.32</v>
      </c>
      <c r="J102" s="2959">
        <v>25843.15</v>
      </c>
      <c r="K102" s="2959">
        <v>912780</v>
      </c>
      <c r="L102" s="2960">
        <v>43190</v>
      </c>
      <c r="M102" s="2958" t="s">
        <v>3134</v>
      </c>
      <c r="N102" s="2958" t="s">
        <v>3135</v>
      </c>
      <c r="O102" s="2958" t="s">
        <v>3136</v>
      </c>
    </row>
    <row r="103" spans="1:15">
      <c r="A103" s="2958" t="s">
        <v>3531</v>
      </c>
      <c r="B103" s="2958" t="s">
        <v>3532</v>
      </c>
      <c r="C103" s="2958" t="s">
        <v>3129</v>
      </c>
      <c r="D103" s="2958" t="s">
        <v>3130</v>
      </c>
      <c r="E103" s="2958" t="s">
        <v>3533</v>
      </c>
      <c r="F103" s="2958" t="s">
        <v>3534</v>
      </c>
      <c r="G103" s="2958" t="s">
        <v>3133</v>
      </c>
      <c r="H103" s="2958" t="s">
        <v>3102</v>
      </c>
      <c r="I103" s="2959">
        <v>30.85</v>
      </c>
      <c r="J103" s="2959">
        <v>14702.72</v>
      </c>
      <c r="K103" s="2959">
        <v>453579</v>
      </c>
      <c r="L103" s="2960">
        <v>43190</v>
      </c>
      <c r="M103" s="2958" t="s">
        <v>3134</v>
      </c>
      <c r="N103" s="2958" t="s">
        <v>3135</v>
      </c>
      <c r="O103" s="2958" t="s">
        <v>3136</v>
      </c>
    </row>
    <row r="104" spans="1:15">
      <c r="A104" s="2958" t="s">
        <v>3535</v>
      </c>
      <c r="B104" s="2958" t="s">
        <v>3536</v>
      </c>
      <c r="C104" s="2958" t="s">
        <v>3129</v>
      </c>
      <c r="D104" s="2958" t="s">
        <v>3130</v>
      </c>
      <c r="E104" s="2958" t="s">
        <v>3537</v>
      </c>
      <c r="F104" s="2958" t="s">
        <v>3538</v>
      </c>
      <c r="G104" s="2958" t="s">
        <v>3141</v>
      </c>
      <c r="H104" s="2958" t="s">
        <v>3102</v>
      </c>
      <c r="I104" s="2959">
        <v>25.57</v>
      </c>
      <c r="J104" s="2959">
        <v>26461.599999999999</v>
      </c>
      <c r="K104" s="2959">
        <v>676623</v>
      </c>
      <c r="L104" s="2960">
        <v>43190</v>
      </c>
      <c r="M104" s="2958" t="s">
        <v>3134</v>
      </c>
      <c r="N104" s="2958" t="s">
        <v>3135</v>
      </c>
      <c r="O104" s="2958" t="s">
        <v>3136</v>
      </c>
    </row>
    <row r="105" spans="1:15">
      <c r="A105" s="2958" t="s">
        <v>3539</v>
      </c>
      <c r="B105" s="2958" t="s">
        <v>3540</v>
      </c>
      <c r="C105" s="2958" t="s">
        <v>3129</v>
      </c>
      <c r="D105" s="2958" t="s">
        <v>3130</v>
      </c>
      <c r="E105" s="2958" t="s">
        <v>3541</v>
      </c>
      <c r="F105" s="2958" t="s">
        <v>3542</v>
      </c>
      <c r="G105" s="2958" t="s">
        <v>3141</v>
      </c>
      <c r="H105" s="2958" t="s">
        <v>3102</v>
      </c>
      <c r="I105" s="2959">
        <v>31.24</v>
      </c>
      <c r="J105" s="2959">
        <v>15236.52</v>
      </c>
      <c r="K105" s="2959">
        <v>475989</v>
      </c>
      <c r="L105" s="2960">
        <v>43190</v>
      </c>
      <c r="M105" s="2958" t="s">
        <v>3134</v>
      </c>
      <c r="N105" s="2958" t="s">
        <v>3135</v>
      </c>
      <c r="O105" s="2958" t="s">
        <v>3136</v>
      </c>
    </row>
    <row r="106" spans="1:15">
      <c r="A106" s="2958" t="s">
        <v>3543</v>
      </c>
      <c r="B106" s="2958" t="s">
        <v>3544</v>
      </c>
      <c r="C106" s="2958" t="s">
        <v>3129</v>
      </c>
      <c r="D106" s="2958" t="s">
        <v>3130</v>
      </c>
      <c r="E106" s="2958" t="s">
        <v>3545</v>
      </c>
      <c r="F106" s="2958" t="s">
        <v>3546</v>
      </c>
      <c r="G106" s="2958" t="s">
        <v>3141</v>
      </c>
      <c r="H106" s="2958" t="s">
        <v>3102</v>
      </c>
      <c r="I106" s="2959">
        <v>31.24</v>
      </c>
      <c r="J106" s="2959">
        <v>15364.05</v>
      </c>
      <c r="K106" s="2959">
        <v>479973</v>
      </c>
      <c r="L106" s="2960">
        <v>43190</v>
      </c>
      <c r="M106" s="2958" t="s">
        <v>3134</v>
      </c>
      <c r="N106" s="2958" t="s">
        <v>3135</v>
      </c>
      <c r="O106" s="2958" t="s">
        <v>3136</v>
      </c>
    </row>
    <row r="107" spans="1:15">
      <c r="A107" s="2958" t="s">
        <v>3547</v>
      </c>
      <c r="B107" s="2958" t="s">
        <v>3548</v>
      </c>
      <c r="C107" s="2958" t="s">
        <v>3129</v>
      </c>
      <c r="D107" s="2958" t="s">
        <v>3130</v>
      </c>
      <c r="E107" s="2958" t="s">
        <v>3549</v>
      </c>
      <c r="F107" s="2958" t="s">
        <v>3550</v>
      </c>
      <c r="G107" s="2958" t="s">
        <v>3141</v>
      </c>
      <c r="H107" s="2958" t="s">
        <v>3102</v>
      </c>
      <c r="I107" s="2959">
        <v>25.57</v>
      </c>
      <c r="J107" s="2959">
        <v>26286.35</v>
      </c>
      <c r="K107" s="2959">
        <v>672142</v>
      </c>
      <c r="L107" s="2960">
        <v>43189</v>
      </c>
      <c r="M107" s="2958" t="s">
        <v>3134</v>
      </c>
      <c r="N107" s="2958" t="s">
        <v>3135</v>
      </c>
      <c r="O107" s="2958" t="s">
        <v>3136</v>
      </c>
    </row>
    <row r="108" spans="1:15">
      <c r="A108" s="2958" t="s">
        <v>3551</v>
      </c>
      <c r="B108" s="2958" t="s">
        <v>3552</v>
      </c>
      <c r="C108" s="2958" t="s">
        <v>3129</v>
      </c>
      <c r="D108" s="2958" t="s">
        <v>3130</v>
      </c>
      <c r="E108" s="2958" t="s">
        <v>3553</v>
      </c>
      <c r="F108" s="2958" t="s">
        <v>3554</v>
      </c>
      <c r="G108" s="2958" t="s">
        <v>3141</v>
      </c>
      <c r="H108" s="2958" t="s">
        <v>3102</v>
      </c>
      <c r="I108" s="2959">
        <v>25.57</v>
      </c>
      <c r="J108" s="2959">
        <v>30563.82</v>
      </c>
      <c r="K108" s="2959">
        <v>781517</v>
      </c>
      <c r="L108" s="2960">
        <v>43189</v>
      </c>
      <c r="M108" s="2958" t="s">
        <v>3134</v>
      </c>
      <c r="N108" s="2958" t="s">
        <v>3135</v>
      </c>
      <c r="O108" s="2958" t="s">
        <v>3136</v>
      </c>
    </row>
    <row r="109" spans="1:15">
      <c r="A109" s="2958" t="s">
        <v>3555</v>
      </c>
      <c r="B109" s="2958" t="s">
        <v>3556</v>
      </c>
      <c r="C109" s="2958" t="s">
        <v>3129</v>
      </c>
      <c r="D109" s="2958" t="s">
        <v>3130</v>
      </c>
      <c r="E109" s="2958" t="s">
        <v>3557</v>
      </c>
      <c r="F109" s="2958" t="s">
        <v>3558</v>
      </c>
      <c r="G109" s="2958" t="s">
        <v>3141</v>
      </c>
      <c r="H109" s="2958" t="s">
        <v>3102</v>
      </c>
      <c r="I109" s="2959">
        <v>31.24</v>
      </c>
      <c r="J109" s="2959">
        <v>15257.78</v>
      </c>
      <c r="K109" s="2959">
        <v>476653</v>
      </c>
      <c r="L109" s="2960">
        <v>43188</v>
      </c>
      <c r="M109" s="2958" t="s">
        <v>3134</v>
      </c>
      <c r="N109" s="2958" t="s">
        <v>3135</v>
      </c>
      <c r="O109" s="2958" t="s">
        <v>3136</v>
      </c>
    </row>
    <row r="110" spans="1:15">
      <c r="A110" s="2958" t="s">
        <v>3559</v>
      </c>
      <c r="B110" s="2958" t="s">
        <v>3560</v>
      </c>
      <c r="C110" s="2958" t="s">
        <v>3129</v>
      </c>
      <c r="D110" s="2958" t="s">
        <v>3130</v>
      </c>
      <c r="E110" s="2958" t="s">
        <v>3561</v>
      </c>
      <c r="F110" s="2958" t="s">
        <v>3562</v>
      </c>
      <c r="G110" s="2958" t="s">
        <v>3133</v>
      </c>
      <c r="H110" s="2958" t="s">
        <v>3102</v>
      </c>
      <c r="I110" s="2959">
        <v>31.24</v>
      </c>
      <c r="J110" s="2959">
        <v>15389.98</v>
      </c>
      <c r="K110" s="2959">
        <v>480783</v>
      </c>
      <c r="L110" s="2960">
        <v>43189</v>
      </c>
      <c r="M110" s="2958" t="s">
        <v>3134</v>
      </c>
      <c r="N110" s="2958" t="s">
        <v>3135</v>
      </c>
      <c r="O110" s="2958" t="s">
        <v>3136</v>
      </c>
    </row>
    <row r="111" spans="1:15">
      <c r="A111" s="2958" t="s">
        <v>3563</v>
      </c>
      <c r="B111" s="2958" t="s">
        <v>3564</v>
      </c>
      <c r="C111" s="2958" t="s">
        <v>3129</v>
      </c>
      <c r="D111" s="2958" t="s">
        <v>3130</v>
      </c>
      <c r="E111" s="2958" t="s">
        <v>3565</v>
      </c>
      <c r="F111" s="2958" t="s">
        <v>3566</v>
      </c>
      <c r="G111" s="2958" t="s">
        <v>3141</v>
      </c>
      <c r="H111" s="2958" t="s">
        <v>3102</v>
      </c>
      <c r="I111" s="2959">
        <v>30.62</v>
      </c>
      <c r="J111" s="2959">
        <v>31233.77</v>
      </c>
      <c r="K111" s="2959">
        <v>956378</v>
      </c>
      <c r="L111" s="2960">
        <v>43188</v>
      </c>
      <c r="M111" s="2958" t="s">
        <v>3134</v>
      </c>
      <c r="N111" s="2958" t="s">
        <v>3135</v>
      </c>
      <c r="O111" s="2958" t="s">
        <v>3136</v>
      </c>
    </row>
    <row r="112" spans="1:15">
      <c r="A112" s="2958" t="s">
        <v>3567</v>
      </c>
      <c r="B112" s="2958" t="s">
        <v>3568</v>
      </c>
      <c r="C112" s="2958" t="s">
        <v>3129</v>
      </c>
      <c r="D112" s="2958" t="s">
        <v>3130</v>
      </c>
      <c r="E112" s="2958" t="s">
        <v>3569</v>
      </c>
      <c r="F112" s="2958" t="s">
        <v>3570</v>
      </c>
      <c r="G112" s="2958" t="s">
        <v>3141</v>
      </c>
      <c r="H112" s="2958" t="s">
        <v>3102</v>
      </c>
      <c r="I112" s="2959">
        <v>35.090000000000003</v>
      </c>
      <c r="J112" s="2959">
        <v>15336.02</v>
      </c>
      <c r="K112" s="2959">
        <v>538141</v>
      </c>
      <c r="L112" s="2960">
        <v>43188</v>
      </c>
      <c r="M112" s="2958" t="s">
        <v>3134</v>
      </c>
      <c r="N112" s="2958" t="s">
        <v>3135</v>
      </c>
      <c r="O112" s="2958" t="s">
        <v>3136</v>
      </c>
    </row>
    <row r="113" spans="1:15">
      <c r="A113" s="2958" t="s">
        <v>3571</v>
      </c>
      <c r="B113" s="2958" t="s">
        <v>3572</v>
      </c>
      <c r="C113" s="2958" t="s">
        <v>3129</v>
      </c>
      <c r="D113" s="2958" t="s">
        <v>3130</v>
      </c>
      <c r="E113" s="2958" t="s">
        <v>3573</v>
      </c>
      <c r="F113" s="2958" t="s">
        <v>3574</v>
      </c>
      <c r="G113" s="2958" t="s">
        <v>3133</v>
      </c>
      <c r="H113" s="2958" t="s">
        <v>3102</v>
      </c>
      <c r="I113" s="2959">
        <v>25.57</v>
      </c>
      <c r="J113" s="2959">
        <v>28457.61</v>
      </c>
      <c r="K113" s="2959">
        <v>727661</v>
      </c>
      <c r="L113" s="2960">
        <v>43188</v>
      </c>
      <c r="M113" s="2958" t="s">
        <v>3134</v>
      </c>
      <c r="N113" s="2958" t="s">
        <v>3135</v>
      </c>
      <c r="O113" s="2958" t="s">
        <v>3136</v>
      </c>
    </row>
    <row r="114" spans="1:15">
      <c r="A114" s="2958" t="s">
        <v>3575</v>
      </c>
      <c r="B114" s="2958" t="s">
        <v>3576</v>
      </c>
      <c r="C114" s="2958" t="s">
        <v>3129</v>
      </c>
      <c r="D114" s="2958" t="s">
        <v>3130</v>
      </c>
      <c r="E114" s="2958" t="s">
        <v>3577</v>
      </c>
      <c r="F114" s="2958" t="s">
        <v>3578</v>
      </c>
      <c r="G114" s="2958" t="s">
        <v>3141</v>
      </c>
      <c r="H114" s="2958" t="s">
        <v>3102</v>
      </c>
      <c r="I114" s="2959">
        <v>35.32</v>
      </c>
      <c r="J114" s="2959">
        <v>26028.68</v>
      </c>
      <c r="K114" s="2959">
        <v>919333</v>
      </c>
      <c r="L114" s="2960">
        <v>43188</v>
      </c>
      <c r="M114" s="2958" t="s">
        <v>3134</v>
      </c>
      <c r="N114" s="2958" t="s">
        <v>3135</v>
      </c>
      <c r="O114" s="2958" t="s">
        <v>3136</v>
      </c>
    </row>
    <row r="115" spans="1:15">
      <c r="A115" s="2958" t="s">
        <v>3579</v>
      </c>
      <c r="B115" s="2958" t="s">
        <v>3580</v>
      </c>
      <c r="C115" s="2958" t="s">
        <v>3129</v>
      </c>
      <c r="D115" s="2958" t="s">
        <v>3130</v>
      </c>
      <c r="E115" s="2958" t="s">
        <v>3581</v>
      </c>
      <c r="F115" s="2958" t="s">
        <v>3582</v>
      </c>
      <c r="G115" s="2958" t="s">
        <v>3133</v>
      </c>
      <c r="H115" s="2958" t="s">
        <v>3102</v>
      </c>
      <c r="I115" s="2959">
        <v>30.7</v>
      </c>
      <c r="J115" s="2959">
        <v>15364.04</v>
      </c>
      <c r="K115" s="2959">
        <v>471676</v>
      </c>
      <c r="L115" s="2960">
        <v>43188</v>
      </c>
      <c r="M115" s="2958" t="s">
        <v>3134</v>
      </c>
      <c r="N115" s="2958" t="s">
        <v>3135</v>
      </c>
      <c r="O115" s="2958" t="s">
        <v>3136</v>
      </c>
    </row>
    <row r="116" spans="1:15">
      <c r="A116" s="2958" t="s">
        <v>3583</v>
      </c>
      <c r="B116" s="2958" t="s">
        <v>3584</v>
      </c>
      <c r="C116" s="2958" t="s">
        <v>3129</v>
      </c>
      <c r="D116" s="2958" t="s">
        <v>3130</v>
      </c>
      <c r="E116" s="2958" t="s">
        <v>3585</v>
      </c>
      <c r="F116" s="2958" t="s">
        <v>3422</v>
      </c>
      <c r="G116" s="2958" t="s">
        <v>3141</v>
      </c>
      <c r="H116" s="2958" t="s">
        <v>3102</v>
      </c>
      <c r="I116" s="2959">
        <v>35.32</v>
      </c>
      <c r="J116" s="2959">
        <v>26461.58</v>
      </c>
      <c r="K116" s="2959">
        <v>934623</v>
      </c>
      <c r="L116" s="2960">
        <v>43188</v>
      </c>
      <c r="M116" s="2958" t="s">
        <v>3134</v>
      </c>
      <c r="N116" s="2958" t="s">
        <v>3135</v>
      </c>
      <c r="O116" s="2958" t="s">
        <v>3136</v>
      </c>
    </row>
    <row r="117" spans="1:15">
      <c r="A117" s="2958" t="s">
        <v>3586</v>
      </c>
      <c r="B117" s="2958" t="s">
        <v>3587</v>
      </c>
      <c r="C117" s="2958" t="s">
        <v>3129</v>
      </c>
      <c r="D117" s="2958" t="s">
        <v>3130</v>
      </c>
      <c r="E117" s="2958" t="s">
        <v>3588</v>
      </c>
      <c r="F117" s="2958" t="s">
        <v>3589</v>
      </c>
      <c r="G117" s="2958" t="s">
        <v>3141</v>
      </c>
      <c r="H117" s="2958" t="s">
        <v>3102</v>
      </c>
      <c r="I117" s="2959">
        <v>25.57</v>
      </c>
      <c r="J117" s="2959">
        <v>28110.720000000001</v>
      </c>
      <c r="K117" s="2959">
        <v>718791</v>
      </c>
      <c r="L117" s="2960">
        <v>43188</v>
      </c>
      <c r="M117" s="2958" t="s">
        <v>3134</v>
      </c>
      <c r="N117" s="2958" t="s">
        <v>3135</v>
      </c>
      <c r="O117" s="2958" t="s">
        <v>3136</v>
      </c>
    </row>
    <row r="118" spans="1:15">
      <c r="A118" s="2958" t="s">
        <v>3590</v>
      </c>
      <c r="B118" s="2958" t="s">
        <v>3591</v>
      </c>
      <c r="C118" s="2958" t="s">
        <v>3129</v>
      </c>
      <c r="D118" s="2958" t="s">
        <v>3130</v>
      </c>
      <c r="E118" s="2958" t="s">
        <v>3592</v>
      </c>
      <c r="F118" s="2958" t="s">
        <v>3593</v>
      </c>
      <c r="G118" s="2958" t="s">
        <v>3133</v>
      </c>
      <c r="H118" s="2958" t="s">
        <v>3102</v>
      </c>
      <c r="I118" s="2959">
        <v>25.57</v>
      </c>
      <c r="J118" s="2959">
        <v>22629.33</v>
      </c>
      <c r="K118" s="2959">
        <v>578632</v>
      </c>
      <c r="L118" s="2960">
        <v>43188</v>
      </c>
      <c r="M118" s="2958" t="s">
        <v>3134</v>
      </c>
      <c r="N118" s="2958" t="s">
        <v>3135</v>
      </c>
      <c r="O118" s="2958" t="s">
        <v>3136</v>
      </c>
    </row>
    <row r="119" spans="1:15">
      <c r="A119" s="2958" t="s">
        <v>3594</v>
      </c>
      <c r="B119" s="2958" t="s">
        <v>3595</v>
      </c>
      <c r="C119" s="2958" t="s">
        <v>3129</v>
      </c>
      <c r="D119" s="2958" t="s">
        <v>3130</v>
      </c>
      <c r="E119" s="2958" t="s">
        <v>3596</v>
      </c>
      <c r="F119" s="2958" t="s">
        <v>3597</v>
      </c>
      <c r="G119" s="2958" t="s">
        <v>3141</v>
      </c>
      <c r="H119" s="2958" t="s">
        <v>3102</v>
      </c>
      <c r="I119" s="2959">
        <v>25.57</v>
      </c>
      <c r="J119" s="2959">
        <v>27368.6</v>
      </c>
      <c r="K119" s="2959">
        <v>699815</v>
      </c>
      <c r="L119" s="2960">
        <v>43188</v>
      </c>
      <c r="M119" s="2958" t="s">
        <v>3134</v>
      </c>
      <c r="N119" s="2958" t="s">
        <v>3135</v>
      </c>
      <c r="O119" s="2958" t="s">
        <v>3136</v>
      </c>
    </row>
    <row r="120" spans="1:15">
      <c r="A120" s="2958" t="s">
        <v>3598</v>
      </c>
      <c r="B120" s="2958" t="s">
        <v>3599</v>
      </c>
      <c r="C120" s="2958" t="s">
        <v>3129</v>
      </c>
      <c r="D120" s="2958" t="s">
        <v>3130</v>
      </c>
      <c r="E120" s="2958" t="s">
        <v>3600</v>
      </c>
      <c r="F120" s="2958" t="s">
        <v>3601</v>
      </c>
      <c r="G120" s="2958" t="s">
        <v>3133</v>
      </c>
      <c r="H120" s="2958" t="s">
        <v>3102</v>
      </c>
      <c r="I120" s="2959">
        <v>23.6</v>
      </c>
      <c r="J120" s="2959">
        <v>15129.66</v>
      </c>
      <c r="K120" s="2959">
        <v>357060</v>
      </c>
      <c r="L120" s="2960">
        <v>43188</v>
      </c>
      <c r="M120" s="2958" t="s">
        <v>3134</v>
      </c>
      <c r="N120" s="2958" t="s">
        <v>3135</v>
      </c>
      <c r="O120" s="2958" t="s">
        <v>3136</v>
      </c>
    </row>
    <row r="121" spans="1:15">
      <c r="A121" s="2958" t="s">
        <v>3602</v>
      </c>
      <c r="B121" s="2958" t="s">
        <v>3603</v>
      </c>
      <c r="C121" s="2958" t="s">
        <v>3129</v>
      </c>
      <c r="D121" s="2958" t="s">
        <v>3130</v>
      </c>
      <c r="E121" s="2958" t="s">
        <v>3604</v>
      </c>
      <c r="F121" s="2958" t="s">
        <v>3605</v>
      </c>
      <c r="G121" s="2958" t="s">
        <v>3141</v>
      </c>
      <c r="H121" s="2958" t="s">
        <v>3102</v>
      </c>
      <c r="I121" s="2959">
        <v>35.32</v>
      </c>
      <c r="J121" s="2959">
        <v>29326.95</v>
      </c>
      <c r="K121" s="2959">
        <v>1035828</v>
      </c>
      <c r="L121" s="2960">
        <v>43189</v>
      </c>
      <c r="M121" s="2958" t="s">
        <v>3134</v>
      </c>
      <c r="N121" s="2958" t="s">
        <v>3135</v>
      </c>
      <c r="O121" s="2958" t="s">
        <v>3136</v>
      </c>
    </row>
    <row r="122" spans="1:15">
      <c r="A122" s="2958" t="s">
        <v>3606</v>
      </c>
      <c r="B122" s="2958" t="s">
        <v>3607</v>
      </c>
      <c r="C122" s="2958" t="s">
        <v>3129</v>
      </c>
      <c r="D122" s="2958" t="s">
        <v>3130</v>
      </c>
      <c r="E122" s="2958" t="s">
        <v>3608</v>
      </c>
      <c r="F122" s="2958" t="s">
        <v>3609</v>
      </c>
      <c r="G122" s="2958" t="s">
        <v>3133</v>
      </c>
      <c r="H122" s="2958" t="s">
        <v>3102</v>
      </c>
      <c r="I122" s="2959">
        <v>30.62</v>
      </c>
      <c r="J122" s="2959">
        <v>30356.6</v>
      </c>
      <c r="K122" s="2959">
        <v>929519</v>
      </c>
      <c r="L122" s="2960">
        <v>43188</v>
      </c>
      <c r="M122" s="2958" t="s">
        <v>3134</v>
      </c>
      <c r="N122" s="2958" t="s">
        <v>3135</v>
      </c>
      <c r="O122" s="2958" t="s">
        <v>3136</v>
      </c>
    </row>
    <row r="123" spans="1:15">
      <c r="A123" s="2958" t="s">
        <v>3610</v>
      </c>
      <c r="B123" s="2958" t="s">
        <v>3611</v>
      </c>
      <c r="C123" s="2958" t="s">
        <v>3129</v>
      </c>
      <c r="D123" s="2958" t="s">
        <v>3130</v>
      </c>
      <c r="E123" s="2958" t="s">
        <v>3612</v>
      </c>
      <c r="F123" s="2958" t="s">
        <v>3613</v>
      </c>
      <c r="G123" s="2958" t="s">
        <v>3133</v>
      </c>
      <c r="H123" s="2958" t="s">
        <v>3102</v>
      </c>
      <c r="I123" s="2959">
        <v>30.66</v>
      </c>
      <c r="J123" s="2959">
        <v>32295.99</v>
      </c>
      <c r="K123" s="2959">
        <v>990195</v>
      </c>
      <c r="L123" s="2960">
        <v>43188</v>
      </c>
      <c r="M123" s="2958" t="s">
        <v>3134</v>
      </c>
      <c r="N123" s="2958" t="s">
        <v>3135</v>
      </c>
      <c r="O123" s="2958" t="s">
        <v>3136</v>
      </c>
    </row>
    <row r="124" spans="1:15">
      <c r="A124" s="2958" t="s">
        <v>3614</v>
      </c>
      <c r="B124" s="2958" t="s">
        <v>3615</v>
      </c>
      <c r="C124" s="2958" t="s">
        <v>3129</v>
      </c>
      <c r="D124" s="2958" t="s">
        <v>3130</v>
      </c>
      <c r="E124" s="2958" t="s">
        <v>3616</v>
      </c>
      <c r="F124" s="2958" t="s">
        <v>3617</v>
      </c>
      <c r="G124" s="2958" t="s">
        <v>3141</v>
      </c>
      <c r="H124" s="2958" t="s">
        <v>3102</v>
      </c>
      <c r="I124" s="2959">
        <v>25.57</v>
      </c>
      <c r="J124" s="2959">
        <v>23503.4</v>
      </c>
      <c r="K124" s="2959">
        <v>600982</v>
      </c>
      <c r="L124" s="2960">
        <v>43188</v>
      </c>
      <c r="M124" s="2958" t="s">
        <v>3134</v>
      </c>
      <c r="N124" s="2958" t="s">
        <v>3135</v>
      </c>
      <c r="O124" s="2958" t="s">
        <v>3136</v>
      </c>
    </row>
    <row r="125" spans="1:15">
      <c r="A125" s="2958" t="s">
        <v>3618</v>
      </c>
      <c r="B125" s="2958" t="s">
        <v>3619</v>
      </c>
      <c r="C125" s="2958" t="s">
        <v>3129</v>
      </c>
      <c r="D125" s="2958" t="s">
        <v>3130</v>
      </c>
      <c r="E125" s="2958" t="s">
        <v>3620</v>
      </c>
      <c r="F125" s="2958" t="s">
        <v>3621</v>
      </c>
      <c r="G125" s="2958" t="s">
        <v>3133</v>
      </c>
      <c r="H125" s="2958" t="s">
        <v>3102</v>
      </c>
      <c r="I125" s="2959">
        <v>34.090000000000003</v>
      </c>
      <c r="J125" s="2959">
        <v>30811.119999999999</v>
      </c>
      <c r="K125" s="2959">
        <v>1050351</v>
      </c>
      <c r="L125" s="2960">
        <v>43189</v>
      </c>
      <c r="M125" s="2958" t="s">
        <v>3134</v>
      </c>
      <c r="N125" s="2958" t="s">
        <v>3135</v>
      </c>
      <c r="O125" s="2958" t="s">
        <v>3136</v>
      </c>
    </row>
    <row r="126" spans="1:15">
      <c r="A126" s="2958" t="s">
        <v>3622</v>
      </c>
      <c r="B126" s="2958" t="s">
        <v>3623</v>
      </c>
      <c r="C126" s="2958" t="s">
        <v>3129</v>
      </c>
      <c r="D126" s="2958" t="s">
        <v>3130</v>
      </c>
      <c r="E126" s="2958" t="s">
        <v>3624</v>
      </c>
      <c r="F126" s="2958" t="s">
        <v>3625</v>
      </c>
      <c r="G126" s="2958" t="s">
        <v>3141</v>
      </c>
      <c r="H126" s="2958" t="s">
        <v>3102</v>
      </c>
      <c r="I126" s="2959">
        <v>33.94</v>
      </c>
      <c r="J126" s="2959">
        <v>15583.41</v>
      </c>
      <c r="K126" s="2959">
        <v>528901</v>
      </c>
      <c r="L126" s="2960">
        <v>43188</v>
      </c>
      <c r="M126" s="2958" t="s">
        <v>3134</v>
      </c>
      <c r="N126" s="2958" t="s">
        <v>3135</v>
      </c>
      <c r="O126" s="2958" t="s">
        <v>3136</v>
      </c>
    </row>
    <row r="127" spans="1:15">
      <c r="A127" s="2958" t="s">
        <v>3626</v>
      </c>
      <c r="B127" s="2958" t="s">
        <v>3627</v>
      </c>
      <c r="C127" s="2958" t="s">
        <v>3129</v>
      </c>
      <c r="D127" s="2958" t="s">
        <v>3130</v>
      </c>
      <c r="E127" s="2958" t="s">
        <v>3628</v>
      </c>
      <c r="F127" s="2958" t="s">
        <v>3629</v>
      </c>
      <c r="G127" s="2958" t="s">
        <v>3133</v>
      </c>
      <c r="H127" s="2958" t="s">
        <v>3102</v>
      </c>
      <c r="I127" s="2959">
        <v>35.32</v>
      </c>
      <c r="J127" s="2959">
        <v>34795.980000000003</v>
      </c>
      <c r="K127" s="2959">
        <v>1228994</v>
      </c>
      <c r="L127" s="2960">
        <v>43188</v>
      </c>
      <c r="M127" s="2958" t="s">
        <v>3134</v>
      </c>
      <c r="N127" s="2958" t="s">
        <v>3135</v>
      </c>
      <c r="O127" s="2958" t="s">
        <v>3136</v>
      </c>
    </row>
    <row r="128" spans="1:15">
      <c r="A128" s="2958" t="s">
        <v>3630</v>
      </c>
      <c r="B128" s="2958" t="s">
        <v>3631</v>
      </c>
      <c r="C128" s="2958" t="s">
        <v>3129</v>
      </c>
      <c r="D128" s="2958" t="s">
        <v>3130</v>
      </c>
      <c r="E128" s="2958" t="s">
        <v>3632</v>
      </c>
      <c r="F128" s="2958" t="s">
        <v>3633</v>
      </c>
      <c r="G128" s="2958" t="s">
        <v>3133</v>
      </c>
      <c r="H128" s="2958" t="s">
        <v>3102</v>
      </c>
      <c r="I128" s="2959">
        <v>31.62</v>
      </c>
      <c r="J128" s="2959">
        <v>15271.73</v>
      </c>
      <c r="K128" s="2959">
        <v>482892</v>
      </c>
      <c r="L128" s="2960">
        <v>43188</v>
      </c>
      <c r="M128" s="2958" t="s">
        <v>3134</v>
      </c>
      <c r="N128" s="2958" t="s">
        <v>3135</v>
      </c>
      <c r="O128" s="2958" t="s">
        <v>3136</v>
      </c>
    </row>
    <row r="129" spans="1:15">
      <c r="A129" s="2958" t="s">
        <v>3634</v>
      </c>
      <c r="B129" s="2958" t="s">
        <v>3635</v>
      </c>
      <c r="C129" s="2958" t="s">
        <v>3129</v>
      </c>
      <c r="D129" s="2958" t="s">
        <v>3130</v>
      </c>
      <c r="E129" s="2958" t="s">
        <v>3636</v>
      </c>
      <c r="F129" s="2958" t="s">
        <v>3637</v>
      </c>
      <c r="G129" s="2958" t="s">
        <v>3133</v>
      </c>
      <c r="H129" s="2958" t="s">
        <v>3102</v>
      </c>
      <c r="I129" s="2959">
        <v>31.24</v>
      </c>
      <c r="J129" s="2959">
        <v>14681.88</v>
      </c>
      <c r="K129" s="2959">
        <v>458662</v>
      </c>
      <c r="L129" s="2960">
        <v>43188</v>
      </c>
      <c r="M129" s="2958" t="s">
        <v>3134</v>
      </c>
      <c r="N129" s="2958" t="s">
        <v>3135</v>
      </c>
      <c r="O129" s="2958" t="s">
        <v>3136</v>
      </c>
    </row>
    <row r="130" spans="1:15">
      <c r="A130" s="2958" t="s">
        <v>3638</v>
      </c>
      <c r="B130" s="2958" t="s">
        <v>3639</v>
      </c>
      <c r="C130" s="2958" t="s">
        <v>3129</v>
      </c>
      <c r="D130" s="2958" t="s">
        <v>3130</v>
      </c>
      <c r="E130" s="2958" t="s">
        <v>3640</v>
      </c>
      <c r="F130" s="2958" t="s">
        <v>3641</v>
      </c>
      <c r="G130" s="2958" t="s">
        <v>3133</v>
      </c>
      <c r="H130" s="2958" t="s">
        <v>3102</v>
      </c>
      <c r="I130" s="2959">
        <v>25.57</v>
      </c>
      <c r="J130" s="2959">
        <v>31518.19</v>
      </c>
      <c r="K130" s="2959">
        <v>805920</v>
      </c>
      <c r="L130" s="2960">
        <v>43188</v>
      </c>
      <c r="M130" s="2958" t="s">
        <v>3134</v>
      </c>
      <c r="N130" s="2958" t="s">
        <v>3135</v>
      </c>
      <c r="O130" s="2958" t="s">
        <v>3136</v>
      </c>
    </row>
    <row r="131" spans="1:15">
      <c r="A131" s="2958" t="s">
        <v>3642</v>
      </c>
      <c r="B131" s="2958" t="s">
        <v>3643</v>
      </c>
      <c r="C131" s="2958" t="s">
        <v>3129</v>
      </c>
      <c r="D131" s="2958" t="s">
        <v>3130</v>
      </c>
      <c r="E131" s="2958" t="s">
        <v>3644</v>
      </c>
      <c r="F131" s="2958" t="s">
        <v>3645</v>
      </c>
      <c r="G131" s="2958" t="s">
        <v>3141</v>
      </c>
      <c r="H131" s="2958" t="s">
        <v>3102</v>
      </c>
      <c r="I131" s="2959">
        <v>38.51</v>
      </c>
      <c r="J131" s="2959">
        <v>15325.71</v>
      </c>
      <c r="K131" s="2959">
        <v>590193</v>
      </c>
      <c r="L131" s="2960">
        <v>43188</v>
      </c>
      <c r="M131" s="2958" t="s">
        <v>3134</v>
      </c>
      <c r="N131" s="2958" t="s">
        <v>3135</v>
      </c>
      <c r="O131" s="2958" t="s">
        <v>3136</v>
      </c>
    </row>
    <row r="132" spans="1:15">
      <c r="A132" s="2958" t="s">
        <v>3646</v>
      </c>
      <c r="B132" s="2958" t="s">
        <v>3647</v>
      </c>
      <c r="C132" s="2958" t="s">
        <v>3129</v>
      </c>
      <c r="D132" s="2958" t="s">
        <v>3130</v>
      </c>
      <c r="E132" s="2958" t="s">
        <v>3648</v>
      </c>
      <c r="F132" s="2958" t="s">
        <v>3649</v>
      </c>
      <c r="G132" s="2958" t="s">
        <v>3141</v>
      </c>
      <c r="H132" s="2958" t="s">
        <v>3102</v>
      </c>
      <c r="I132" s="2959">
        <v>31.24</v>
      </c>
      <c r="J132" s="2959">
        <v>15257.78</v>
      </c>
      <c r="K132" s="2959">
        <v>476653</v>
      </c>
      <c r="L132" s="2960">
        <v>43188</v>
      </c>
      <c r="M132" s="2958" t="s">
        <v>3134</v>
      </c>
      <c r="N132" s="2958" t="s">
        <v>3135</v>
      </c>
      <c r="O132" s="2958" t="s">
        <v>3136</v>
      </c>
    </row>
    <row r="133" spans="1:15">
      <c r="A133" s="2958" t="s">
        <v>3650</v>
      </c>
      <c r="B133" s="2958" t="s">
        <v>3651</v>
      </c>
      <c r="C133" s="2958" t="s">
        <v>3129</v>
      </c>
      <c r="D133" s="2958" t="s">
        <v>3130</v>
      </c>
      <c r="E133" s="2958" t="s">
        <v>3652</v>
      </c>
      <c r="F133" s="2958" t="s">
        <v>3653</v>
      </c>
      <c r="G133" s="2958" t="s">
        <v>3141</v>
      </c>
      <c r="H133" s="2958" t="s">
        <v>3102</v>
      </c>
      <c r="I133" s="2959">
        <v>31.24</v>
      </c>
      <c r="J133" s="2959">
        <v>14747.73</v>
      </c>
      <c r="K133" s="2959">
        <v>460719</v>
      </c>
      <c r="L133" s="2960">
        <v>43188</v>
      </c>
      <c r="M133" s="2958" t="s">
        <v>3134</v>
      </c>
      <c r="N133" s="2958" t="s">
        <v>3135</v>
      </c>
      <c r="O133" s="2958" t="s">
        <v>3136</v>
      </c>
    </row>
    <row r="134" spans="1:15">
      <c r="A134" s="2958" t="s">
        <v>3654</v>
      </c>
      <c r="B134" s="2958" t="s">
        <v>3655</v>
      </c>
      <c r="C134" s="2958" t="s">
        <v>3129</v>
      </c>
      <c r="D134" s="2958" t="s">
        <v>3130</v>
      </c>
      <c r="E134" s="2958" t="s">
        <v>3656</v>
      </c>
      <c r="F134" s="2958" t="s">
        <v>3657</v>
      </c>
      <c r="G134" s="2958" t="s">
        <v>3141</v>
      </c>
      <c r="H134" s="2958" t="s">
        <v>3102</v>
      </c>
      <c r="I134" s="2959">
        <v>29.46</v>
      </c>
      <c r="J134" s="2959">
        <v>27904.58</v>
      </c>
      <c r="K134" s="2959">
        <v>822069</v>
      </c>
      <c r="L134" s="2960">
        <v>43188</v>
      </c>
      <c r="M134" s="2958" t="s">
        <v>3134</v>
      </c>
      <c r="N134" s="2958" t="s">
        <v>3135</v>
      </c>
      <c r="O134" s="2958" t="s">
        <v>3136</v>
      </c>
    </row>
    <row r="135" spans="1:15">
      <c r="A135" s="2958" t="s">
        <v>3658</v>
      </c>
      <c r="B135" s="2958" t="s">
        <v>3659</v>
      </c>
      <c r="C135" s="2958" t="s">
        <v>3129</v>
      </c>
      <c r="D135" s="2958" t="s">
        <v>3130</v>
      </c>
      <c r="E135" s="2958" t="s">
        <v>3660</v>
      </c>
      <c r="F135" s="2958" t="s">
        <v>3661</v>
      </c>
      <c r="G135" s="2958" t="s">
        <v>3133</v>
      </c>
      <c r="H135" s="2958" t="s">
        <v>3102</v>
      </c>
      <c r="I135" s="2959">
        <v>35.32</v>
      </c>
      <c r="J135" s="2959">
        <v>32750.54</v>
      </c>
      <c r="K135" s="2959">
        <v>1156749</v>
      </c>
      <c r="L135" s="2960">
        <v>43188</v>
      </c>
      <c r="M135" s="2958" t="s">
        <v>3134</v>
      </c>
      <c r="N135" s="2958" t="s">
        <v>3135</v>
      </c>
      <c r="O135" s="2958" t="s">
        <v>3136</v>
      </c>
    </row>
    <row r="136" spans="1:15">
      <c r="A136" s="2958" t="s">
        <v>3662</v>
      </c>
      <c r="B136" s="2958" t="s">
        <v>3663</v>
      </c>
      <c r="C136" s="2958" t="s">
        <v>3129</v>
      </c>
      <c r="D136" s="2958" t="s">
        <v>3130</v>
      </c>
      <c r="E136" s="2958" t="s">
        <v>3664</v>
      </c>
      <c r="F136" s="2958" t="s">
        <v>3665</v>
      </c>
      <c r="G136" s="2958" t="s">
        <v>3141</v>
      </c>
      <c r="H136" s="2958" t="s">
        <v>3102</v>
      </c>
      <c r="I136" s="2959">
        <v>32.5</v>
      </c>
      <c r="J136" s="2959">
        <v>30584.43</v>
      </c>
      <c r="K136" s="2959">
        <v>993994</v>
      </c>
      <c r="L136" s="2960">
        <v>43188</v>
      </c>
      <c r="M136" s="2958" t="s">
        <v>3134</v>
      </c>
      <c r="N136" s="2958" t="s">
        <v>3135</v>
      </c>
      <c r="O136" s="2958" t="s">
        <v>3136</v>
      </c>
    </row>
    <row r="137" spans="1:15">
      <c r="A137" s="2958" t="s">
        <v>3666</v>
      </c>
      <c r="B137" s="2958" t="s">
        <v>3667</v>
      </c>
      <c r="C137" s="2958" t="s">
        <v>3129</v>
      </c>
      <c r="D137" s="2958" t="s">
        <v>3130</v>
      </c>
      <c r="E137" s="2958" t="s">
        <v>3668</v>
      </c>
      <c r="F137" s="2958" t="s">
        <v>3669</v>
      </c>
      <c r="G137" s="2958" t="s">
        <v>3133</v>
      </c>
      <c r="H137" s="2958" t="s">
        <v>3102</v>
      </c>
      <c r="I137" s="2959">
        <v>35.32</v>
      </c>
      <c r="J137" s="2959">
        <v>28558.61</v>
      </c>
      <c r="K137" s="2959">
        <v>1008690</v>
      </c>
      <c r="L137" s="2960">
        <v>43188</v>
      </c>
      <c r="M137" s="2958" t="s">
        <v>3134</v>
      </c>
      <c r="N137" s="2958" t="s">
        <v>3135</v>
      </c>
      <c r="O137" s="2958" t="s">
        <v>3136</v>
      </c>
    </row>
    <row r="138" spans="1:15">
      <c r="A138" s="2958" t="s">
        <v>3670</v>
      </c>
      <c r="B138" s="2958" t="s">
        <v>3671</v>
      </c>
      <c r="C138" s="2958" t="s">
        <v>3129</v>
      </c>
      <c r="D138" s="2958" t="s">
        <v>3130</v>
      </c>
      <c r="E138" s="2958" t="s">
        <v>3672</v>
      </c>
      <c r="F138" s="2958" t="s">
        <v>3673</v>
      </c>
      <c r="G138" s="2958" t="s">
        <v>3141</v>
      </c>
      <c r="H138" s="2958" t="s">
        <v>3102</v>
      </c>
      <c r="I138" s="2959">
        <v>40.659999999999997</v>
      </c>
      <c r="J138" s="2959">
        <v>14655.76</v>
      </c>
      <c r="K138" s="2959">
        <v>595903</v>
      </c>
      <c r="L138" s="2960">
        <v>43188</v>
      </c>
      <c r="M138" s="2958" t="s">
        <v>3134</v>
      </c>
      <c r="N138" s="2958" t="s">
        <v>3135</v>
      </c>
      <c r="O138" s="2958" t="s">
        <v>3136</v>
      </c>
    </row>
    <row r="139" spans="1:15">
      <c r="A139" s="2958" t="s">
        <v>3674</v>
      </c>
      <c r="B139" s="2958" t="s">
        <v>3675</v>
      </c>
      <c r="C139" s="2958" t="s">
        <v>3129</v>
      </c>
      <c r="D139" s="2958" t="s">
        <v>3130</v>
      </c>
      <c r="E139" s="2958" t="s">
        <v>3676</v>
      </c>
      <c r="F139" s="2958" t="s">
        <v>3677</v>
      </c>
      <c r="G139" s="2958" t="s">
        <v>3141</v>
      </c>
      <c r="H139" s="2958" t="s">
        <v>3102</v>
      </c>
      <c r="I139" s="2959">
        <v>24.98</v>
      </c>
      <c r="J139" s="2959">
        <v>14407.73</v>
      </c>
      <c r="K139" s="2959">
        <v>359905</v>
      </c>
      <c r="L139" s="2960">
        <v>43188</v>
      </c>
      <c r="M139" s="2958" t="s">
        <v>3134</v>
      </c>
      <c r="N139" s="2958" t="s">
        <v>3135</v>
      </c>
      <c r="O139" s="2958" t="s">
        <v>3136</v>
      </c>
    </row>
    <row r="140" spans="1:15">
      <c r="A140" s="2958" t="s">
        <v>3678</v>
      </c>
      <c r="B140" s="2958" t="s">
        <v>3679</v>
      </c>
      <c r="C140" s="2958" t="s">
        <v>3129</v>
      </c>
      <c r="D140" s="2958" t="s">
        <v>3130</v>
      </c>
      <c r="E140" s="2958" t="s">
        <v>3680</v>
      </c>
      <c r="F140" s="2958" t="s">
        <v>3681</v>
      </c>
      <c r="G140" s="2958" t="s">
        <v>3133</v>
      </c>
      <c r="H140" s="2958" t="s">
        <v>3102</v>
      </c>
      <c r="I140" s="2959">
        <v>35.32</v>
      </c>
      <c r="J140" s="2959">
        <v>29801.02</v>
      </c>
      <c r="K140" s="2959">
        <v>1052572</v>
      </c>
      <c r="L140" s="2960">
        <v>43190</v>
      </c>
      <c r="M140" s="2958" t="s">
        <v>3134</v>
      </c>
      <c r="N140" s="2958" t="s">
        <v>3135</v>
      </c>
      <c r="O140" s="2958" t="s">
        <v>3136</v>
      </c>
    </row>
    <row r="141" spans="1:15">
      <c r="A141" s="2958" t="s">
        <v>3682</v>
      </c>
      <c r="B141" s="2958" t="s">
        <v>3683</v>
      </c>
      <c r="C141" s="2958" t="s">
        <v>3684</v>
      </c>
      <c r="D141" s="2958" t="s">
        <v>3130</v>
      </c>
      <c r="E141" s="2958" t="s">
        <v>3685</v>
      </c>
      <c r="F141" s="2958" t="s">
        <v>3686</v>
      </c>
      <c r="G141" s="2958" t="s">
        <v>3141</v>
      </c>
      <c r="H141" s="2958" t="s">
        <v>3102</v>
      </c>
      <c r="I141" s="2959">
        <v>88.7</v>
      </c>
      <c r="J141" s="2959">
        <v>17820.62</v>
      </c>
      <c r="K141" s="2959">
        <v>1580689</v>
      </c>
      <c r="L141" s="2960">
        <v>43047</v>
      </c>
      <c r="M141" s="2958" t="s">
        <v>3134</v>
      </c>
      <c r="N141" s="2958" t="s">
        <v>3687</v>
      </c>
      <c r="O141" s="2958" t="s">
        <v>3136</v>
      </c>
    </row>
    <row r="142" spans="1:15">
      <c r="A142" s="2958" t="s">
        <v>3688</v>
      </c>
      <c r="B142" s="2958" t="s">
        <v>3689</v>
      </c>
      <c r="C142" s="2958" t="s">
        <v>3684</v>
      </c>
      <c r="D142" s="2958" t="s">
        <v>3130</v>
      </c>
      <c r="E142" s="2958" t="s">
        <v>3553</v>
      </c>
      <c r="F142" s="2958" t="s">
        <v>3690</v>
      </c>
      <c r="G142" s="2958" t="s">
        <v>3133</v>
      </c>
      <c r="H142" s="2958" t="s">
        <v>3102</v>
      </c>
      <c r="I142" s="2959">
        <v>55.36</v>
      </c>
      <c r="J142" s="2959">
        <v>26294.98</v>
      </c>
      <c r="K142" s="2959">
        <v>1455690</v>
      </c>
      <c r="L142" s="2960">
        <v>43032</v>
      </c>
      <c r="M142" s="2958" t="s">
        <v>3134</v>
      </c>
      <c r="N142" s="2958" t="s">
        <v>3687</v>
      </c>
      <c r="O142" s="2958" t="s">
        <v>3136</v>
      </c>
    </row>
    <row r="143" spans="1:15">
      <c r="A143" s="2958" t="s">
        <v>3691</v>
      </c>
      <c r="B143" s="2958" t="s">
        <v>3691</v>
      </c>
      <c r="C143" s="2958" t="s">
        <v>3684</v>
      </c>
      <c r="D143" s="2958" t="s">
        <v>3130</v>
      </c>
      <c r="E143" s="2958" t="s">
        <v>3692</v>
      </c>
      <c r="F143" s="2958" t="s">
        <v>3693</v>
      </c>
      <c r="G143" s="2958" t="s">
        <v>3141</v>
      </c>
      <c r="H143" s="2958" t="s">
        <v>3102</v>
      </c>
      <c r="I143" s="2959">
        <v>60.63</v>
      </c>
      <c r="J143" s="2959">
        <v>17185.29</v>
      </c>
      <c r="K143" s="2959">
        <v>1041944</v>
      </c>
      <c r="L143" s="2960">
        <v>43006</v>
      </c>
      <c r="M143" s="2958" t="s">
        <v>3134</v>
      </c>
      <c r="N143" s="2958" t="s">
        <v>3687</v>
      </c>
      <c r="O143" s="2958" t="s">
        <v>3136</v>
      </c>
    </row>
    <row r="144" spans="1:15">
      <c r="A144" s="2958" t="s">
        <v>3694</v>
      </c>
      <c r="B144" s="2958" t="s">
        <v>3694</v>
      </c>
      <c r="C144" s="2958" t="s">
        <v>3684</v>
      </c>
      <c r="D144" s="2958" t="s">
        <v>3130</v>
      </c>
      <c r="E144" s="2958" t="s">
        <v>3155</v>
      </c>
      <c r="F144" s="2958" t="s">
        <v>3695</v>
      </c>
      <c r="G144" s="2958" t="s">
        <v>3141</v>
      </c>
      <c r="H144" s="2958" t="s">
        <v>3102</v>
      </c>
      <c r="I144" s="2959">
        <v>50.63</v>
      </c>
      <c r="J144" s="2959">
        <v>17428.68</v>
      </c>
      <c r="K144" s="2959">
        <v>882414</v>
      </c>
      <c r="L144" s="2960">
        <v>43007</v>
      </c>
      <c r="M144" s="2958" t="s">
        <v>3134</v>
      </c>
      <c r="N144" s="2958" t="s">
        <v>3687</v>
      </c>
      <c r="O144" s="2958" t="s">
        <v>3136</v>
      </c>
    </row>
    <row r="145" spans="1:15">
      <c r="A145" s="2958" t="s">
        <v>3696</v>
      </c>
      <c r="B145" s="2958" t="s">
        <v>3697</v>
      </c>
      <c r="C145" s="2958" t="s">
        <v>3684</v>
      </c>
      <c r="D145" s="2958" t="s">
        <v>3130</v>
      </c>
      <c r="E145" s="2958" t="s">
        <v>3698</v>
      </c>
      <c r="F145" s="2958" t="s">
        <v>3699</v>
      </c>
      <c r="G145" s="2958" t="s">
        <v>3141</v>
      </c>
      <c r="H145" s="2958" t="s">
        <v>3102</v>
      </c>
      <c r="I145" s="2959">
        <v>55.36</v>
      </c>
      <c r="J145" s="2959">
        <v>26032.01</v>
      </c>
      <c r="K145" s="2959">
        <v>1441132</v>
      </c>
      <c r="L145" s="2960">
        <v>43003</v>
      </c>
      <c r="M145" s="2958" t="s">
        <v>3134</v>
      </c>
      <c r="N145" s="2958" t="s">
        <v>3687</v>
      </c>
      <c r="O145" s="2958" t="s">
        <v>3136</v>
      </c>
    </row>
    <row r="146" spans="1:15">
      <c r="A146" s="2958" t="s">
        <v>3700</v>
      </c>
      <c r="B146" s="2958" t="s">
        <v>3701</v>
      </c>
      <c r="C146" s="2958" t="s">
        <v>3684</v>
      </c>
      <c r="D146" s="2958" t="s">
        <v>3130</v>
      </c>
      <c r="E146" s="2958" t="s">
        <v>3369</v>
      </c>
      <c r="F146" s="2958" t="s">
        <v>3699</v>
      </c>
      <c r="G146" s="2958" t="s">
        <v>3133</v>
      </c>
      <c r="H146" s="2958" t="s">
        <v>3102</v>
      </c>
      <c r="I146" s="2959">
        <v>55.36</v>
      </c>
      <c r="J146" s="2959">
        <v>25032.01</v>
      </c>
      <c r="K146" s="2959">
        <v>1385772</v>
      </c>
      <c r="L146" s="2960">
        <v>43003</v>
      </c>
      <c r="M146" s="2958" t="s">
        <v>3134</v>
      </c>
      <c r="N146" s="2958" t="s">
        <v>3687</v>
      </c>
      <c r="O146" s="2958" t="s">
        <v>3136</v>
      </c>
    </row>
    <row r="147" spans="1:15">
      <c r="A147" s="2958" t="s">
        <v>3702</v>
      </c>
      <c r="B147" s="2958" t="s">
        <v>3703</v>
      </c>
      <c r="C147" s="2958" t="s">
        <v>3684</v>
      </c>
      <c r="D147" s="2958" t="s">
        <v>3130</v>
      </c>
      <c r="E147" s="2958" t="s">
        <v>3588</v>
      </c>
      <c r="F147" s="2958" t="s">
        <v>3704</v>
      </c>
      <c r="G147" s="2958" t="s">
        <v>3133</v>
      </c>
      <c r="H147" s="2958" t="s">
        <v>3102</v>
      </c>
      <c r="I147" s="2959">
        <v>54.36</v>
      </c>
      <c r="J147" s="2959">
        <v>28601.18</v>
      </c>
      <c r="K147" s="2959">
        <v>1554760</v>
      </c>
      <c r="L147" s="2960">
        <v>43002</v>
      </c>
      <c r="M147" s="2958" t="s">
        <v>3134</v>
      </c>
      <c r="N147" s="2958" t="s">
        <v>3687</v>
      </c>
      <c r="O147" s="2958" t="s">
        <v>3136</v>
      </c>
    </row>
    <row r="148" spans="1:15">
      <c r="A148" s="2958" t="s">
        <v>3705</v>
      </c>
      <c r="B148" s="2958" t="s">
        <v>3706</v>
      </c>
      <c r="C148" s="2958" t="s">
        <v>3684</v>
      </c>
      <c r="D148" s="2958" t="s">
        <v>3130</v>
      </c>
      <c r="E148" s="2958" t="s">
        <v>3573</v>
      </c>
      <c r="F148" s="2958" t="s">
        <v>3707</v>
      </c>
      <c r="G148" s="2958" t="s">
        <v>3133</v>
      </c>
      <c r="H148" s="2958" t="s">
        <v>3102</v>
      </c>
      <c r="I148" s="2959">
        <v>54.36</v>
      </c>
      <c r="J148" s="2959">
        <v>31301.91</v>
      </c>
      <c r="K148" s="2959">
        <v>1701572</v>
      </c>
      <c r="L148" s="2960">
        <v>43002</v>
      </c>
      <c r="M148" s="2958" t="s">
        <v>3134</v>
      </c>
      <c r="N148" s="2958" t="s">
        <v>3687</v>
      </c>
      <c r="O148" s="2958" t="s">
        <v>3136</v>
      </c>
    </row>
    <row r="149" spans="1:15">
      <c r="A149" s="2958" t="s">
        <v>3708</v>
      </c>
      <c r="B149" s="2958" t="s">
        <v>3709</v>
      </c>
      <c r="C149" s="2958" t="s">
        <v>3684</v>
      </c>
      <c r="D149" s="2958" t="s">
        <v>3130</v>
      </c>
      <c r="E149" s="2958" t="s">
        <v>3710</v>
      </c>
      <c r="F149" s="2958" t="s">
        <v>3711</v>
      </c>
      <c r="G149" s="2958" t="s">
        <v>3133</v>
      </c>
      <c r="H149" s="2958" t="s">
        <v>3102</v>
      </c>
      <c r="I149" s="2959">
        <v>54.36</v>
      </c>
      <c r="J149" s="2959">
        <v>27240.080000000002</v>
      </c>
      <c r="K149" s="2959">
        <v>1480771</v>
      </c>
      <c r="L149" s="2960">
        <v>43002</v>
      </c>
      <c r="M149" s="2958" t="s">
        <v>3134</v>
      </c>
      <c r="N149" s="2958" t="s">
        <v>3687</v>
      </c>
      <c r="O149" s="2958" t="s">
        <v>3136</v>
      </c>
    </row>
    <row r="150" spans="1:15">
      <c r="A150" s="2958" t="s">
        <v>3712</v>
      </c>
      <c r="B150" s="2958" t="s">
        <v>3713</v>
      </c>
      <c r="C150" s="2958" t="s">
        <v>3684</v>
      </c>
      <c r="D150" s="2958" t="s">
        <v>3130</v>
      </c>
      <c r="E150" s="2958" t="s">
        <v>3158</v>
      </c>
      <c r="F150" s="2958" t="s">
        <v>3714</v>
      </c>
      <c r="G150" s="2958" t="s">
        <v>3133</v>
      </c>
      <c r="H150" s="2958" t="s">
        <v>3102</v>
      </c>
      <c r="I150" s="2959">
        <v>50.63</v>
      </c>
      <c r="J150" s="2959">
        <v>16363.64</v>
      </c>
      <c r="K150" s="2959">
        <v>828491</v>
      </c>
      <c r="L150" s="2960">
        <v>43003</v>
      </c>
      <c r="M150" s="2958" t="s">
        <v>3134</v>
      </c>
      <c r="N150" s="2958" t="s">
        <v>3687</v>
      </c>
      <c r="O150" s="2958" t="s">
        <v>3136</v>
      </c>
    </row>
    <row r="151" spans="1:15">
      <c r="A151" s="2958" t="s">
        <v>3715</v>
      </c>
      <c r="B151" s="2958" t="s">
        <v>3715</v>
      </c>
      <c r="C151" s="2958" t="s">
        <v>3684</v>
      </c>
      <c r="D151" s="2958" t="s">
        <v>3130</v>
      </c>
      <c r="E151" s="2958" t="s">
        <v>3716</v>
      </c>
      <c r="F151" s="2958" t="s">
        <v>3717</v>
      </c>
      <c r="G151" s="2958" t="s">
        <v>3141</v>
      </c>
      <c r="H151" s="2958" t="s">
        <v>3102</v>
      </c>
      <c r="I151" s="2959">
        <v>71.45</v>
      </c>
      <c r="J151" s="2959">
        <v>17820.62</v>
      </c>
      <c r="K151" s="2959">
        <v>1273283</v>
      </c>
      <c r="L151" s="2960">
        <v>43003</v>
      </c>
      <c r="M151" s="2958" t="s">
        <v>3134</v>
      </c>
      <c r="N151" s="2958" t="s">
        <v>3687</v>
      </c>
      <c r="O151" s="2958" t="s">
        <v>3136</v>
      </c>
    </row>
    <row r="152" spans="1:15">
      <c r="A152" s="2958" t="s">
        <v>3718</v>
      </c>
      <c r="B152" s="2958" t="s">
        <v>3718</v>
      </c>
      <c r="C152" s="2958" t="s">
        <v>3684</v>
      </c>
      <c r="D152" s="2958" t="s">
        <v>3130</v>
      </c>
      <c r="E152" s="2958" t="s">
        <v>3719</v>
      </c>
      <c r="F152" s="2958" t="s">
        <v>3720</v>
      </c>
      <c r="G152" s="2958" t="s">
        <v>3141</v>
      </c>
      <c r="H152" s="2958" t="s">
        <v>3102</v>
      </c>
      <c r="I152" s="2959">
        <v>52.5</v>
      </c>
      <c r="J152" s="2959">
        <v>16316.46</v>
      </c>
      <c r="K152" s="2959">
        <v>856614</v>
      </c>
      <c r="L152" s="2960">
        <v>43003</v>
      </c>
      <c r="M152" s="2958" t="s">
        <v>3134</v>
      </c>
      <c r="N152" s="2958" t="s">
        <v>3687</v>
      </c>
      <c r="O152" s="2958" t="s">
        <v>3136</v>
      </c>
    </row>
    <row r="153" spans="1:15">
      <c r="A153" s="2958" t="s">
        <v>3721</v>
      </c>
      <c r="B153" s="2958" t="s">
        <v>3721</v>
      </c>
      <c r="C153" s="2958" t="s">
        <v>3684</v>
      </c>
      <c r="D153" s="2958" t="s">
        <v>3130</v>
      </c>
      <c r="E153" s="2958" t="s">
        <v>3722</v>
      </c>
      <c r="F153" s="2958" t="s">
        <v>3723</v>
      </c>
      <c r="G153" s="2958" t="s">
        <v>3141</v>
      </c>
      <c r="H153" s="2958" t="s">
        <v>3102</v>
      </c>
      <c r="I153" s="2959">
        <v>50.63</v>
      </c>
      <c r="J153" s="2959">
        <v>16953.88</v>
      </c>
      <c r="K153" s="2959">
        <v>858375</v>
      </c>
      <c r="L153" s="2960">
        <v>43002</v>
      </c>
      <c r="M153" s="2958" t="s">
        <v>3134</v>
      </c>
      <c r="N153" s="2958" t="s">
        <v>3687</v>
      </c>
      <c r="O153" s="2958" t="s">
        <v>3136</v>
      </c>
    </row>
    <row r="154" spans="1:15">
      <c r="A154" s="2958" t="s">
        <v>3724</v>
      </c>
      <c r="B154" s="2958" t="s">
        <v>3724</v>
      </c>
      <c r="C154" s="2958" t="s">
        <v>3684</v>
      </c>
      <c r="D154" s="2958" t="s">
        <v>3130</v>
      </c>
      <c r="E154" s="2958" t="s">
        <v>3725</v>
      </c>
      <c r="F154" s="2958" t="s">
        <v>3723</v>
      </c>
      <c r="G154" s="2958" t="s">
        <v>3141</v>
      </c>
      <c r="H154" s="2958" t="s">
        <v>3102</v>
      </c>
      <c r="I154" s="2959">
        <v>50.63</v>
      </c>
      <c r="J154" s="2959">
        <v>16427.89</v>
      </c>
      <c r="K154" s="2959">
        <v>831744</v>
      </c>
      <c r="L154" s="2960">
        <v>43002</v>
      </c>
      <c r="M154" s="2958" t="s">
        <v>3134</v>
      </c>
      <c r="N154" s="2958" t="s">
        <v>3687</v>
      </c>
      <c r="O154" s="2958" t="s">
        <v>3136</v>
      </c>
    </row>
    <row r="155" spans="1:15">
      <c r="A155" s="2958" t="s">
        <v>3726</v>
      </c>
      <c r="B155" s="2958" t="s">
        <v>3727</v>
      </c>
      <c r="C155" s="2958" t="s">
        <v>3684</v>
      </c>
      <c r="D155" s="2958" t="s">
        <v>3130</v>
      </c>
      <c r="E155" s="2958" t="s">
        <v>3517</v>
      </c>
      <c r="F155" s="2958" t="s">
        <v>3728</v>
      </c>
      <c r="G155" s="2958" t="s">
        <v>3141</v>
      </c>
      <c r="H155" s="2958" t="s">
        <v>3102</v>
      </c>
      <c r="I155" s="2959">
        <v>54.36</v>
      </c>
      <c r="J155" s="2959">
        <v>28483.31</v>
      </c>
      <c r="K155" s="2959">
        <v>1548353</v>
      </c>
      <c r="L155" s="2960">
        <v>42996</v>
      </c>
      <c r="M155" s="2958" t="s">
        <v>3134</v>
      </c>
      <c r="N155" s="2958" t="s">
        <v>3687</v>
      </c>
      <c r="O155" s="2958" t="s">
        <v>3136</v>
      </c>
    </row>
    <row r="156" spans="1:15">
      <c r="A156" s="2958" t="s">
        <v>3729</v>
      </c>
      <c r="B156" s="2958" t="s">
        <v>3730</v>
      </c>
      <c r="C156" s="2958" t="s">
        <v>3684</v>
      </c>
      <c r="D156" s="2958" t="s">
        <v>3130</v>
      </c>
      <c r="E156" s="2958" t="s">
        <v>3257</v>
      </c>
      <c r="F156" s="2958" t="s">
        <v>3731</v>
      </c>
      <c r="G156" s="2958" t="s">
        <v>3133</v>
      </c>
      <c r="H156" s="2958" t="s">
        <v>3102</v>
      </c>
      <c r="I156" s="2959">
        <v>62.99</v>
      </c>
      <c r="J156" s="2959">
        <v>25508.62</v>
      </c>
      <c r="K156" s="2959">
        <v>1606788</v>
      </c>
      <c r="L156" s="2960">
        <v>42995</v>
      </c>
      <c r="M156" s="2958" t="s">
        <v>3134</v>
      </c>
      <c r="N156" s="2958" t="s">
        <v>3687</v>
      </c>
      <c r="O156" s="2958" t="s">
        <v>3136</v>
      </c>
    </row>
    <row r="157" spans="1:15">
      <c r="A157" s="2958" t="s">
        <v>3732</v>
      </c>
      <c r="B157" s="2958" t="s">
        <v>3732</v>
      </c>
      <c r="C157" s="2958" t="s">
        <v>3684</v>
      </c>
      <c r="D157" s="2958" t="s">
        <v>3130</v>
      </c>
      <c r="E157" s="2958" t="s">
        <v>3269</v>
      </c>
      <c r="F157" s="2958" t="s">
        <v>3733</v>
      </c>
      <c r="G157" s="2958" t="s">
        <v>3141</v>
      </c>
      <c r="H157" s="2958" t="s">
        <v>3102</v>
      </c>
      <c r="I157" s="2959">
        <v>54.36</v>
      </c>
      <c r="J157" s="2959">
        <v>28576.95</v>
      </c>
      <c r="K157" s="2959">
        <v>1553443</v>
      </c>
      <c r="L157" s="2960">
        <v>43002</v>
      </c>
      <c r="M157" s="2958" t="s">
        <v>3134</v>
      </c>
      <c r="N157" s="2958" t="s">
        <v>3687</v>
      </c>
      <c r="O157" s="2958" t="s">
        <v>3136</v>
      </c>
    </row>
    <row r="158" spans="1:15">
      <c r="A158" s="2958" t="s">
        <v>3734</v>
      </c>
      <c r="B158" s="2958" t="s">
        <v>3734</v>
      </c>
      <c r="C158" s="2958" t="s">
        <v>3684</v>
      </c>
      <c r="D158" s="2958" t="s">
        <v>3130</v>
      </c>
      <c r="E158" s="2958" t="s">
        <v>3194</v>
      </c>
      <c r="F158" s="2958" t="s">
        <v>3735</v>
      </c>
      <c r="G158" s="2958" t="s">
        <v>3141</v>
      </c>
      <c r="H158" s="2958" t="s">
        <v>3102</v>
      </c>
      <c r="I158" s="2959">
        <v>27.52</v>
      </c>
      <c r="J158" s="2959">
        <v>38648.620000000003</v>
      </c>
      <c r="K158" s="2959">
        <v>1063610</v>
      </c>
      <c r="L158" s="2960">
        <v>43001</v>
      </c>
      <c r="M158" s="2958" t="s">
        <v>3134</v>
      </c>
      <c r="N158" s="2958" t="s">
        <v>3687</v>
      </c>
      <c r="O158" s="2958" t="s">
        <v>3136</v>
      </c>
    </row>
    <row r="159" spans="1:15">
      <c r="A159" s="2958" t="s">
        <v>3736</v>
      </c>
      <c r="B159" s="2958" t="s">
        <v>3737</v>
      </c>
      <c r="C159" s="2958" t="s">
        <v>3684</v>
      </c>
      <c r="D159" s="2958" t="s">
        <v>3130</v>
      </c>
      <c r="E159" s="2958" t="s">
        <v>3345</v>
      </c>
      <c r="F159" s="2958" t="s">
        <v>3738</v>
      </c>
      <c r="G159" s="2958" t="s">
        <v>3133</v>
      </c>
      <c r="H159" s="2958" t="s">
        <v>3102</v>
      </c>
      <c r="I159" s="2959">
        <v>54.36</v>
      </c>
      <c r="J159" s="2959">
        <v>30281.62</v>
      </c>
      <c r="K159" s="2959">
        <v>1646109</v>
      </c>
      <c r="L159" s="2960">
        <v>43000</v>
      </c>
      <c r="M159" s="2958" t="s">
        <v>3134</v>
      </c>
      <c r="N159" s="2958" t="s">
        <v>3687</v>
      </c>
      <c r="O159" s="2958" t="s">
        <v>3136</v>
      </c>
    </row>
    <row r="160" spans="1:15">
      <c r="A160" s="2958" t="s">
        <v>3739</v>
      </c>
      <c r="B160" s="2958" t="s">
        <v>3740</v>
      </c>
      <c r="C160" s="2958" t="s">
        <v>3684</v>
      </c>
      <c r="D160" s="2958" t="s">
        <v>3130</v>
      </c>
      <c r="E160" s="2958" t="s">
        <v>3377</v>
      </c>
      <c r="F160" s="2958" t="s">
        <v>3741</v>
      </c>
      <c r="G160" s="2958" t="s">
        <v>3133</v>
      </c>
      <c r="H160" s="2958" t="s">
        <v>3102</v>
      </c>
      <c r="I160" s="2959">
        <v>55.36</v>
      </c>
      <c r="J160" s="2959">
        <v>26312.63</v>
      </c>
      <c r="K160" s="2959">
        <v>1456667</v>
      </c>
      <c r="L160" s="2960">
        <v>43000</v>
      </c>
      <c r="M160" s="2958" t="s">
        <v>3134</v>
      </c>
      <c r="N160" s="2958" t="s">
        <v>3687</v>
      </c>
      <c r="O160" s="2958" t="s">
        <v>3136</v>
      </c>
    </row>
    <row r="161" spans="1:15">
      <c r="A161" s="2958" t="s">
        <v>3742</v>
      </c>
      <c r="B161" s="2958" t="s">
        <v>3742</v>
      </c>
      <c r="C161" s="2958" t="s">
        <v>3684</v>
      </c>
      <c r="D161" s="2958" t="s">
        <v>3130</v>
      </c>
      <c r="E161" s="2958" t="s">
        <v>3273</v>
      </c>
      <c r="F161" s="2958" t="s">
        <v>3743</v>
      </c>
      <c r="G161" s="2958" t="s">
        <v>3141</v>
      </c>
      <c r="H161" s="2958" t="s">
        <v>3102</v>
      </c>
      <c r="I161" s="2959">
        <v>27.52</v>
      </c>
      <c r="J161" s="2959">
        <v>38648.620000000003</v>
      </c>
      <c r="K161" s="2959">
        <v>1063610</v>
      </c>
      <c r="L161" s="2960">
        <v>43000</v>
      </c>
      <c r="M161" s="2958" t="s">
        <v>3134</v>
      </c>
      <c r="N161" s="2958" t="s">
        <v>3687</v>
      </c>
      <c r="O161" s="2958" t="s">
        <v>3136</v>
      </c>
    </row>
    <row r="162" spans="1:15">
      <c r="A162" s="2958" t="s">
        <v>3744</v>
      </c>
      <c r="B162" s="2958" t="s">
        <v>3744</v>
      </c>
      <c r="C162" s="2958" t="s">
        <v>3684</v>
      </c>
      <c r="D162" s="2958" t="s">
        <v>3130</v>
      </c>
      <c r="E162" s="2958" t="s">
        <v>3745</v>
      </c>
      <c r="F162" s="2958" t="s">
        <v>3746</v>
      </c>
      <c r="G162" s="2958" t="s">
        <v>3141</v>
      </c>
      <c r="H162" s="2958" t="s">
        <v>3102</v>
      </c>
      <c r="I162" s="2959">
        <v>53.07</v>
      </c>
      <c r="J162" s="2959">
        <v>15344.54</v>
      </c>
      <c r="K162" s="2959">
        <v>814335</v>
      </c>
      <c r="L162" s="2960">
        <v>42996</v>
      </c>
      <c r="M162" s="2958" t="s">
        <v>3134</v>
      </c>
      <c r="N162" s="2958" t="s">
        <v>3687</v>
      </c>
      <c r="O162" s="2958" t="s">
        <v>3136</v>
      </c>
    </row>
    <row r="163" spans="1:15">
      <c r="A163" s="2958" t="s">
        <v>3747</v>
      </c>
      <c r="B163" s="2958" t="s">
        <v>3747</v>
      </c>
      <c r="C163" s="2958" t="s">
        <v>3684</v>
      </c>
      <c r="D163" s="2958" t="s">
        <v>3130</v>
      </c>
      <c r="E163" s="2958" t="s">
        <v>3748</v>
      </c>
      <c r="F163" s="2958" t="s">
        <v>3749</v>
      </c>
      <c r="G163" s="2958" t="s">
        <v>3141</v>
      </c>
      <c r="H163" s="2958" t="s">
        <v>3102</v>
      </c>
      <c r="I163" s="2959">
        <v>50.63</v>
      </c>
      <c r="J163" s="2959">
        <v>16049.28</v>
      </c>
      <c r="K163" s="2959">
        <v>812575</v>
      </c>
      <c r="L163" s="2960">
        <v>42998</v>
      </c>
      <c r="M163" s="2958" t="s">
        <v>3134</v>
      </c>
      <c r="N163" s="2958" t="s">
        <v>3687</v>
      </c>
      <c r="O163" s="2958" t="s">
        <v>3136</v>
      </c>
    </row>
    <row r="164" spans="1:15">
      <c r="A164" s="2958" t="s">
        <v>3750</v>
      </c>
      <c r="B164" s="2958" t="s">
        <v>3751</v>
      </c>
      <c r="C164" s="2958" t="s">
        <v>3684</v>
      </c>
      <c r="D164" s="2958" t="s">
        <v>3130</v>
      </c>
      <c r="E164" s="2958" t="s">
        <v>3752</v>
      </c>
      <c r="F164" s="2958" t="s">
        <v>3753</v>
      </c>
      <c r="G164" s="2958" t="s">
        <v>3133</v>
      </c>
      <c r="H164" s="2958" t="s">
        <v>3102</v>
      </c>
      <c r="I164" s="2959">
        <v>55</v>
      </c>
      <c r="J164" s="2959">
        <v>15826.96</v>
      </c>
      <c r="K164" s="2959">
        <v>870483</v>
      </c>
      <c r="L164" s="2960">
        <v>42998</v>
      </c>
      <c r="M164" s="2958" t="s">
        <v>3134</v>
      </c>
      <c r="N164" s="2958" t="s">
        <v>3687</v>
      </c>
      <c r="O164" s="2958" t="s">
        <v>3136</v>
      </c>
    </row>
    <row r="165" spans="1:15">
      <c r="A165" s="2958" t="s">
        <v>3754</v>
      </c>
      <c r="B165" s="2958" t="s">
        <v>3755</v>
      </c>
      <c r="C165" s="2958" t="s">
        <v>3684</v>
      </c>
      <c r="D165" s="2958" t="s">
        <v>3130</v>
      </c>
      <c r="E165" s="2958" t="s">
        <v>3465</v>
      </c>
      <c r="F165" s="2958" t="s">
        <v>3756</v>
      </c>
      <c r="G165" s="2958" t="s">
        <v>3141</v>
      </c>
      <c r="H165" s="2958" t="s">
        <v>3102</v>
      </c>
      <c r="I165" s="2959">
        <v>56.71</v>
      </c>
      <c r="J165" s="2959">
        <v>37995.75</v>
      </c>
      <c r="K165" s="2959">
        <v>2154739</v>
      </c>
      <c r="L165" s="2960">
        <v>42998</v>
      </c>
      <c r="M165" s="2958" t="s">
        <v>3134</v>
      </c>
      <c r="N165" s="2958" t="s">
        <v>3687</v>
      </c>
      <c r="O165" s="2958" t="s">
        <v>3136</v>
      </c>
    </row>
    <row r="166" spans="1:15">
      <c r="A166" s="2958" t="s">
        <v>3757</v>
      </c>
      <c r="B166" s="2958" t="s">
        <v>3758</v>
      </c>
      <c r="C166" s="2958" t="s">
        <v>3684</v>
      </c>
      <c r="D166" s="2958" t="s">
        <v>3130</v>
      </c>
      <c r="E166" s="2958" t="s">
        <v>3169</v>
      </c>
      <c r="F166" s="2958" t="s">
        <v>3759</v>
      </c>
      <c r="G166" s="2958" t="s">
        <v>3141</v>
      </c>
      <c r="H166" s="2958" t="s">
        <v>3102</v>
      </c>
      <c r="I166" s="2959">
        <v>45.21</v>
      </c>
      <c r="J166" s="2959">
        <v>22745.68</v>
      </c>
      <c r="K166" s="2959">
        <v>1028332</v>
      </c>
      <c r="L166" s="2960">
        <v>42997</v>
      </c>
      <c r="M166" s="2958" t="s">
        <v>3134</v>
      </c>
      <c r="N166" s="2958" t="s">
        <v>3687</v>
      </c>
      <c r="O166" s="2958" t="s">
        <v>3136</v>
      </c>
    </row>
    <row r="167" spans="1:15">
      <c r="A167" s="2958" t="s">
        <v>3758</v>
      </c>
      <c r="B167" s="2958" t="s">
        <v>3760</v>
      </c>
      <c r="C167" s="2958" t="s">
        <v>3684</v>
      </c>
      <c r="D167" s="2958" t="s">
        <v>3130</v>
      </c>
      <c r="E167" s="2958" t="s">
        <v>3537</v>
      </c>
      <c r="F167" s="2958" t="s">
        <v>3761</v>
      </c>
      <c r="G167" s="2958" t="s">
        <v>3141</v>
      </c>
      <c r="H167" s="2958" t="s">
        <v>3102</v>
      </c>
      <c r="I167" s="2959">
        <v>52.73</v>
      </c>
      <c r="J167" s="2959">
        <v>35319.360000000001</v>
      </c>
      <c r="K167" s="2959">
        <v>1862390</v>
      </c>
      <c r="L167" s="2960">
        <v>42995</v>
      </c>
      <c r="M167" s="2958" t="s">
        <v>3134</v>
      </c>
      <c r="N167" s="2958" t="s">
        <v>3687</v>
      </c>
      <c r="O167" s="2958" t="s">
        <v>3136</v>
      </c>
    </row>
    <row r="168" spans="1:15">
      <c r="A168" s="2958" t="s">
        <v>3762</v>
      </c>
      <c r="B168" s="2958" t="s">
        <v>3763</v>
      </c>
      <c r="C168" s="2958" t="s">
        <v>3684</v>
      </c>
      <c r="D168" s="2958" t="s">
        <v>3130</v>
      </c>
      <c r="E168" s="2958" t="s">
        <v>3764</v>
      </c>
      <c r="F168" s="2958" t="s">
        <v>3765</v>
      </c>
      <c r="G168" s="2958" t="s">
        <v>3133</v>
      </c>
      <c r="H168" s="2958" t="s">
        <v>3102</v>
      </c>
      <c r="I168" s="2959">
        <v>39.85</v>
      </c>
      <c r="J168" s="2959">
        <v>12521.18</v>
      </c>
      <c r="K168" s="2959">
        <v>498969</v>
      </c>
      <c r="L168" s="2960">
        <v>42996</v>
      </c>
      <c r="M168" s="2958" t="s">
        <v>3134</v>
      </c>
      <c r="N168" s="2958" t="s">
        <v>3687</v>
      </c>
      <c r="O168" s="2958" t="s">
        <v>3136</v>
      </c>
    </row>
    <row r="169" spans="1:15">
      <c r="A169" s="2958" t="s">
        <v>3766</v>
      </c>
      <c r="B169" s="2958" t="s">
        <v>3766</v>
      </c>
      <c r="C169" s="2958" t="s">
        <v>3684</v>
      </c>
      <c r="D169" s="2958" t="s">
        <v>3130</v>
      </c>
      <c r="E169" s="2958" t="s">
        <v>3131</v>
      </c>
      <c r="F169" s="2958" t="s">
        <v>3767</v>
      </c>
      <c r="G169" s="2958" t="s">
        <v>3141</v>
      </c>
      <c r="H169" s="2958" t="s">
        <v>3102</v>
      </c>
      <c r="I169" s="2959">
        <v>45.63</v>
      </c>
      <c r="J169" s="2959">
        <v>27907.96</v>
      </c>
      <c r="K169" s="2959">
        <v>1273440</v>
      </c>
      <c r="L169" s="2960">
        <v>42995</v>
      </c>
      <c r="M169" s="2958" t="s">
        <v>3134</v>
      </c>
      <c r="N169" s="2958" t="s">
        <v>3687</v>
      </c>
      <c r="O169" s="2958" t="s">
        <v>3136</v>
      </c>
    </row>
    <row r="170" spans="1:15">
      <c r="A170" s="2958" t="s">
        <v>3768</v>
      </c>
      <c r="B170" s="2958" t="s">
        <v>3769</v>
      </c>
      <c r="C170" s="2958" t="s">
        <v>3684</v>
      </c>
      <c r="D170" s="2958" t="s">
        <v>3130</v>
      </c>
      <c r="E170" s="2958" t="s">
        <v>3321</v>
      </c>
      <c r="F170" s="2958" t="s">
        <v>3770</v>
      </c>
      <c r="G170" s="2958" t="s">
        <v>3141</v>
      </c>
      <c r="H170" s="2958" t="s">
        <v>3102</v>
      </c>
      <c r="I170" s="2959">
        <v>54.36</v>
      </c>
      <c r="J170" s="2959">
        <v>27030.7</v>
      </c>
      <c r="K170" s="2959">
        <v>1469389</v>
      </c>
      <c r="L170" s="2960">
        <v>42995</v>
      </c>
      <c r="M170" s="2958" t="s">
        <v>3134</v>
      </c>
      <c r="N170" s="2958" t="s">
        <v>3687</v>
      </c>
      <c r="O170" s="2958" t="s">
        <v>3136</v>
      </c>
    </row>
    <row r="171" spans="1:15">
      <c r="A171" s="2958" t="s">
        <v>3771</v>
      </c>
      <c r="B171" s="2958" t="s">
        <v>3772</v>
      </c>
      <c r="C171" s="2958" t="s">
        <v>3684</v>
      </c>
      <c r="D171" s="2958" t="s">
        <v>3130</v>
      </c>
      <c r="E171" s="2958" t="s">
        <v>3198</v>
      </c>
      <c r="F171" s="2958" t="s">
        <v>3770</v>
      </c>
      <c r="G171" s="2958" t="s">
        <v>3141</v>
      </c>
      <c r="H171" s="2958" t="s">
        <v>3102</v>
      </c>
      <c r="I171" s="2959">
        <v>54.36</v>
      </c>
      <c r="J171" s="2959">
        <v>27525.07</v>
      </c>
      <c r="K171" s="2959">
        <v>1496263</v>
      </c>
      <c r="L171" s="2960">
        <v>42995</v>
      </c>
      <c r="M171" s="2958" t="s">
        <v>3134</v>
      </c>
      <c r="N171" s="2958" t="s">
        <v>3687</v>
      </c>
      <c r="O171" s="2958" t="s">
        <v>3136</v>
      </c>
    </row>
    <row r="172" spans="1:15">
      <c r="A172" s="2958" t="s">
        <v>3773</v>
      </c>
      <c r="B172" s="2958" t="s">
        <v>3773</v>
      </c>
      <c r="C172" s="2958" t="s">
        <v>3684</v>
      </c>
      <c r="D172" s="2958" t="s">
        <v>3130</v>
      </c>
      <c r="E172" s="2958" t="s">
        <v>3774</v>
      </c>
      <c r="F172" s="2958" t="s">
        <v>3775</v>
      </c>
      <c r="G172" s="2958" t="s">
        <v>3141</v>
      </c>
      <c r="H172" s="2958" t="s">
        <v>3102</v>
      </c>
      <c r="I172" s="2959">
        <v>50.63</v>
      </c>
      <c r="J172" s="2959">
        <v>16049.28</v>
      </c>
      <c r="K172" s="2959">
        <v>812575</v>
      </c>
      <c r="L172" s="2960">
        <v>42995</v>
      </c>
      <c r="M172" s="2958" t="s">
        <v>3134</v>
      </c>
      <c r="N172" s="2958" t="s">
        <v>3687</v>
      </c>
      <c r="O172" s="2958" t="s">
        <v>3136</v>
      </c>
    </row>
    <row r="173" spans="1:15">
      <c r="A173" s="2958" t="s">
        <v>3776</v>
      </c>
      <c r="B173" s="2958" t="s">
        <v>3777</v>
      </c>
      <c r="C173" s="2958" t="s">
        <v>3684</v>
      </c>
      <c r="D173" s="2958" t="s">
        <v>3130</v>
      </c>
      <c r="E173" s="2958" t="s">
        <v>3151</v>
      </c>
      <c r="F173" s="2958" t="s">
        <v>3778</v>
      </c>
      <c r="G173" s="2958" t="s">
        <v>3133</v>
      </c>
      <c r="H173" s="2958" t="s">
        <v>3102</v>
      </c>
      <c r="I173" s="2959">
        <v>66.25</v>
      </c>
      <c r="J173" s="2959">
        <v>12831.35</v>
      </c>
      <c r="K173" s="2959">
        <v>850077</v>
      </c>
      <c r="L173" s="2960">
        <v>42995</v>
      </c>
      <c r="M173" s="2958" t="s">
        <v>3134</v>
      </c>
      <c r="N173" s="2958" t="s">
        <v>3687</v>
      </c>
      <c r="O173" s="2958" t="s">
        <v>3136</v>
      </c>
    </row>
    <row r="174" spans="1:15">
      <c r="A174" s="2958" t="s">
        <v>3779</v>
      </c>
      <c r="B174" s="2958" t="s">
        <v>3780</v>
      </c>
      <c r="C174" s="2958" t="s">
        <v>3684</v>
      </c>
      <c r="D174" s="2958" t="s">
        <v>3130</v>
      </c>
      <c r="E174" s="2958" t="s">
        <v>3218</v>
      </c>
      <c r="F174" s="2958" t="s">
        <v>3781</v>
      </c>
      <c r="G174" s="2958" t="s">
        <v>3141</v>
      </c>
      <c r="H174" s="2958" t="s">
        <v>3102</v>
      </c>
      <c r="I174" s="2959">
        <v>54.36</v>
      </c>
      <c r="J174" s="2959">
        <v>27440.93</v>
      </c>
      <c r="K174" s="2959">
        <v>1491689</v>
      </c>
      <c r="L174" s="2960">
        <v>42995</v>
      </c>
      <c r="M174" s="2958" t="s">
        <v>3134</v>
      </c>
      <c r="N174" s="2958" t="s">
        <v>3687</v>
      </c>
      <c r="O174" s="2958" t="s">
        <v>3136</v>
      </c>
    </row>
    <row r="175" spans="1:15">
      <c r="A175" s="2958" t="s">
        <v>3782</v>
      </c>
      <c r="B175" s="2958" t="s">
        <v>3783</v>
      </c>
      <c r="C175" s="2958" t="s">
        <v>3684</v>
      </c>
      <c r="D175" s="2958" t="s">
        <v>3130</v>
      </c>
      <c r="E175" s="2958" t="s">
        <v>3784</v>
      </c>
      <c r="F175" s="2958" t="s">
        <v>3785</v>
      </c>
      <c r="G175" s="2958" t="s">
        <v>3141</v>
      </c>
      <c r="H175" s="2958" t="s">
        <v>3102</v>
      </c>
      <c r="I175" s="2959">
        <v>50.63</v>
      </c>
      <c r="J175" s="2959">
        <v>16000.91</v>
      </c>
      <c r="K175" s="2959">
        <v>810126</v>
      </c>
      <c r="L175" s="2960">
        <v>42995</v>
      </c>
      <c r="M175" s="2958" t="s">
        <v>3134</v>
      </c>
      <c r="N175" s="2958" t="s">
        <v>3687</v>
      </c>
      <c r="O175" s="2958" t="s">
        <v>3136</v>
      </c>
    </row>
    <row r="176" spans="1:15">
      <c r="A176" s="2958" t="s">
        <v>3786</v>
      </c>
      <c r="B176" s="2958" t="s">
        <v>3786</v>
      </c>
      <c r="C176" s="2958" t="s">
        <v>3684</v>
      </c>
      <c r="D176" s="2958" t="s">
        <v>3130</v>
      </c>
      <c r="E176" s="2958" t="s">
        <v>3173</v>
      </c>
      <c r="F176" s="2958" t="s">
        <v>3787</v>
      </c>
      <c r="G176" s="2958" t="s">
        <v>3141</v>
      </c>
      <c r="H176" s="2958" t="s">
        <v>3102</v>
      </c>
      <c r="I176" s="2959">
        <v>29.53</v>
      </c>
      <c r="J176" s="2959">
        <v>28282.42</v>
      </c>
      <c r="K176" s="2959">
        <v>835180</v>
      </c>
      <c r="L176" s="2960">
        <v>42995</v>
      </c>
      <c r="M176" s="2958" t="s">
        <v>3134</v>
      </c>
      <c r="N176" s="2958" t="s">
        <v>3687</v>
      </c>
      <c r="O176" s="2958" t="s">
        <v>3136</v>
      </c>
    </row>
    <row r="177" spans="1:15">
      <c r="A177" s="2958" t="s">
        <v>3788</v>
      </c>
      <c r="B177" s="2958" t="s">
        <v>3789</v>
      </c>
      <c r="C177" s="2958" t="s">
        <v>3684</v>
      </c>
      <c r="D177" s="2958" t="s">
        <v>3130</v>
      </c>
      <c r="E177" s="2958" t="s">
        <v>3790</v>
      </c>
      <c r="F177" s="2958" t="s">
        <v>3791</v>
      </c>
      <c r="G177" s="2958" t="s">
        <v>3141</v>
      </c>
      <c r="H177" s="2958" t="s">
        <v>3102</v>
      </c>
      <c r="I177" s="2959">
        <v>80.099999999999994</v>
      </c>
      <c r="J177" s="2959">
        <v>12845.32</v>
      </c>
      <c r="K177" s="2959">
        <v>1028910</v>
      </c>
      <c r="L177" s="2960">
        <v>42995</v>
      </c>
      <c r="M177" s="2958" t="s">
        <v>3134</v>
      </c>
      <c r="N177" s="2958" t="s">
        <v>3687</v>
      </c>
      <c r="O177" s="2958" t="s">
        <v>3136</v>
      </c>
    </row>
    <row r="178" spans="1:15">
      <c r="A178" s="2958" t="s">
        <v>3792</v>
      </c>
      <c r="B178" s="2958" t="s">
        <v>3793</v>
      </c>
      <c r="C178" s="2958" t="s">
        <v>3684</v>
      </c>
      <c r="D178" s="2958" t="s">
        <v>3130</v>
      </c>
      <c r="E178" s="2958" t="s">
        <v>3794</v>
      </c>
      <c r="F178" s="2958" t="s">
        <v>3795</v>
      </c>
      <c r="G178" s="2958" t="s">
        <v>3133</v>
      </c>
      <c r="H178" s="2958" t="s">
        <v>3102</v>
      </c>
      <c r="I178" s="2959">
        <v>72.819999999999993</v>
      </c>
      <c r="J178" s="2959">
        <v>11806.96</v>
      </c>
      <c r="K178" s="2959">
        <v>859783</v>
      </c>
      <c r="L178" s="2960">
        <v>42995</v>
      </c>
      <c r="M178" s="2958" t="s">
        <v>3134</v>
      </c>
      <c r="N178" s="2958" t="s">
        <v>3687</v>
      </c>
      <c r="O178" s="2958" t="s">
        <v>3136</v>
      </c>
    </row>
    <row r="179" spans="1:15">
      <c r="A179" s="2958" t="s">
        <v>3796</v>
      </c>
      <c r="B179" s="2958" t="s">
        <v>3796</v>
      </c>
      <c r="C179" s="2958" t="s">
        <v>3684</v>
      </c>
      <c r="D179" s="2958" t="s">
        <v>3130</v>
      </c>
      <c r="E179" s="2958" t="s">
        <v>3341</v>
      </c>
      <c r="F179" s="2958" t="s">
        <v>3797</v>
      </c>
      <c r="G179" s="2958" t="s">
        <v>3141</v>
      </c>
      <c r="H179" s="2958" t="s">
        <v>3102</v>
      </c>
      <c r="I179" s="2959">
        <v>55.36</v>
      </c>
      <c r="J179" s="2959">
        <v>26298.61</v>
      </c>
      <c r="K179" s="2959">
        <v>1455891</v>
      </c>
      <c r="L179" s="2960">
        <v>42995</v>
      </c>
      <c r="M179" s="2958" t="s">
        <v>3134</v>
      </c>
      <c r="N179" s="2958" t="s">
        <v>3687</v>
      </c>
      <c r="O179" s="2958" t="s">
        <v>3136</v>
      </c>
    </row>
    <row r="180" spans="1:15">
      <c r="A180" s="2958" t="s">
        <v>3798</v>
      </c>
      <c r="B180" s="2958" t="s">
        <v>3799</v>
      </c>
      <c r="C180" s="2958" t="s">
        <v>3684</v>
      </c>
      <c r="D180" s="2958" t="s">
        <v>3130</v>
      </c>
      <c r="E180" s="2958" t="s">
        <v>3800</v>
      </c>
      <c r="F180" s="2958" t="s">
        <v>3801</v>
      </c>
      <c r="G180" s="2958" t="s">
        <v>3133</v>
      </c>
      <c r="H180" s="2958" t="s">
        <v>3102</v>
      </c>
      <c r="I180" s="2959">
        <v>50.06</v>
      </c>
      <c r="J180" s="2959">
        <v>15445.39</v>
      </c>
      <c r="K180" s="2959">
        <v>773196</v>
      </c>
      <c r="L180" s="2960">
        <v>42995</v>
      </c>
      <c r="M180" s="2958" t="s">
        <v>3134</v>
      </c>
      <c r="N180" s="2958" t="s">
        <v>3687</v>
      </c>
      <c r="O180" s="2958" t="s">
        <v>3136</v>
      </c>
    </row>
    <row r="181" spans="1:15">
      <c r="A181" s="2958" t="s">
        <v>3802</v>
      </c>
      <c r="B181" s="2958" t="s">
        <v>3802</v>
      </c>
      <c r="C181" s="2958" t="s">
        <v>3684</v>
      </c>
      <c r="D181" s="2958" t="s">
        <v>3130</v>
      </c>
      <c r="E181" s="2958" t="s">
        <v>3241</v>
      </c>
      <c r="F181" s="2958" t="s">
        <v>3803</v>
      </c>
      <c r="G181" s="2958" t="s">
        <v>3141</v>
      </c>
      <c r="H181" s="2958" t="s">
        <v>3102</v>
      </c>
      <c r="I181" s="2959">
        <v>41.97</v>
      </c>
      <c r="J181" s="2959">
        <v>21411.65</v>
      </c>
      <c r="K181" s="2959">
        <v>898647</v>
      </c>
      <c r="L181" s="2960">
        <v>42995</v>
      </c>
      <c r="M181" s="2958" t="s">
        <v>3134</v>
      </c>
      <c r="N181" s="2958" t="s">
        <v>3687</v>
      </c>
      <c r="O181" s="2958" t="s">
        <v>3136</v>
      </c>
    </row>
    <row r="182" spans="1:15">
      <c r="A182" s="2958" t="s">
        <v>3804</v>
      </c>
      <c r="B182" s="2958" t="s">
        <v>3805</v>
      </c>
      <c r="C182" s="2958" t="s">
        <v>3684</v>
      </c>
      <c r="D182" s="2958" t="s">
        <v>3130</v>
      </c>
      <c r="E182" s="2958" t="s">
        <v>3806</v>
      </c>
      <c r="F182" s="2958" t="s">
        <v>3807</v>
      </c>
      <c r="G182" s="2958" t="s">
        <v>3133</v>
      </c>
      <c r="H182" s="2958" t="s">
        <v>3102</v>
      </c>
      <c r="I182" s="2959">
        <v>40.15</v>
      </c>
      <c r="J182" s="2959">
        <v>13855.12</v>
      </c>
      <c r="K182" s="2959">
        <v>556283</v>
      </c>
      <c r="L182" s="2960">
        <v>42995</v>
      </c>
      <c r="M182" s="2958" t="s">
        <v>3134</v>
      </c>
      <c r="N182" s="2958" t="s">
        <v>3687</v>
      </c>
      <c r="O182" s="2958" t="s">
        <v>3136</v>
      </c>
    </row>
    <row r="183" spans="1:15">
      <c r="A183" s="2958" t="s">
        <v>3808</v>
      </c>
      <c r="B183" s="2958" t="s">
        <v>3809</v>
      </c>
      <c r="C183" s="2958" t="s">
        <v>3684</v>
      </c>
      <c r="D183" s="2958" t="s">
        <v>3130</v>
      </c>
      <c r="E183" s="2958" t="s">
        <v>3214</v>
      </c>
      <c r="F183" s="2958" t="s">
        <v>3810</v>
      </c>
      <c r="G183" s="2958" t="s">
        <v>3133</v>
      </c>
      <c r="H183" s="2958" t="s">
        <v>3102</v>
      </c>
      <c r="I183" s="2959">
        <v>16.399999999999999</v>
      </c>
      <c r="J183" s="2959">
        <v>31627.439999999999</v>
      </c>
      <c r="K183" s="2959">
        <v>518690</v>
      </c>
      <c r="L183" s="2960">
        <v>42995</v>
      </c>
      <c r="M183" s="2958" t="s">
        <v>3134</v>
      </c>
      <c r="N183" s="2958" t="s">
        <v>3687</v>
      </c>
      <c r="O183" s="2958" t="s">
        <v>3136</v>
      </c>
    </row>
    <row r="184" spans="1:15">
      <c r="A184" s="2958" t="s">
        <v>3811</v>
      </c>
      <c r="B184" s="2958" t="s">
        <v>3811</v>
      </c>
      <c r="C184" s="2958" t="s">
        <v>3684</v>
      </c>
      <c r="D184" s="2958" t="s">
        <v>3130</v>
      </c>
      <c r="E184" s="2958" t="s">
        <v>3297</v>
      </c>
      <c r="F184" s="2958" t="s">
        <v>3812</v>
      </c>
      <c r="G184" s="2958" t="s">
        <v>3141</v>
      </c>
      <c r="H184" s="2958" t="s">
        <v>3102</v>
      </c>
      <c r="I184" s="2959">
        <v>29.53</v>
      </c>
      <c r="J184" s="2959">
        <v>27230.58</v>
      </c>
      <c r="K184" s="2959">
        <v>804119</v>
      </c>
      <c r="L184" s="2960">
        <v>42995</v>
      </c>
      <c r="M184" s="2958" t="s">
        <v>3134</v>
      </c>
      <c r="N184" s="2958" t="s">
        <v>3687</v>
      </c>
      <c r="O184" s="2958" t="s">
        <v>3136</v>
      </c>
    </row>
    <row r="185" spans="1:15">
      <c r="A185" s="2958" t="s">
        <v>3813</v>
      </c>
      <c r="B185" s="2958" t="s">
        <v>3814</v>
      </c>
      <c r="C185" s="2958" t="s">
        <v>3684</v>
      </c>
      <c r="D185" s="2958" t="s">
        <v>3130</v>
      </c>
      <c r="E185" s="2958" t="s">
        <v>3353</v>
      </c>
      <c r="F185" s="2958" t="s">
        <v>3815</v>
      </c>
      <c r="G185" s="2958" t="s">
        <v>3141</v>
      </c>
      <c r="H185" s="2958" t="s">
        <v>3102</v>
      </c>
      <c r="I185" s="2959">
        <v>34.89</v>
      </c>
      <c r="J185" s="2959">
        <v>26189.22</v>
      </c>
      <c r="K185" s="2959">
        <v>913742</v>
      </c>
      <c r="L185" s="2960">
        <v>42995</v>
      </c>
      <c r="M185" s="2958" t="s">
        <v>3134</v>
      </c>
      <c r="N185" s="2958" t="s">
        <v>3687</v>
      </c>
      <c r="O185" s="2958" t="s">
        <v>3136</v>
      </c>
    </row>
    <row r="186" spans="1:15">
      <c r="A186" s="2958" t="s">
        <v>3816</v>
      </c>
      <c r="B186" s="2958" t="s">
        <v>3817</v>
      </c>
      <c r="C186" s="2958" t="s">
        <v>3684</v>
      </c>
      <c r="D186" s="2958" t="s">
        <v>3130</v>
      </c>
      <c r="E186" s="2958" t="s">
        <v>3818</v>
      </c>
      <c r="F186" s="2958" t="s">
        <v>3819</v>
      </c>
      <c r="G186" s="2958" t="s">
        <v>3133</v>
      </c>
      <c r="H186" s="2958" t="s">
        <v>3102</v>
      </c>
      <c r="I186" s="2959">
        <v>91.17</v>
      </c>
      <c r="J186" s="2959">
        <v>16526.88</v>
      </c>
      <c r="K186" s="2959">
        <v>1506756</v>
      </c>
      <c r="L186" s="2960">
        <v>42984</v>
      </c>
      <c r="M186" s="2958" t="s">
        <v>3134</v>
      </c>
      <c r="N186" s="2958" t="s">
        <v>3687</v>
      </c>
      <c r="O186" s="2958" t="s">
        <v>3136</v>
      </c>
    </row>
    <row r="187" spans="1:15">
      <c r="A187" s="2958" t="s">
        <v>3820</v>
      </c>
      <c r="B187" s="2958" t="s">
        <v>3821</v>
      </c>
      <c r="C187" s="2958" t="s">
        <v>3684</v>
      </c>
      <c r="D187" s="2958" t="s">
        <v>3130</v>
      </c>
      <c r="E187" s="2958" t="s">
        <v>3656</v>
      </c>
      <c r="F187" s="2958" t="s">
        <v>3822</v>
      </c>
      <c r="G187" s="2958" t="s">
        <v>3133</v>
      </c>
      <c r="H187" s="2958" t="s">
        <v>3102</v>
      </c>
      <c r="I187" s="2959">
        <v>41.95</v>
      </c>
      <c r="J187" s="2959">
        <v>37148.01</v>
      </c>
      <c r="K187" s="2959">
        <v>1558359</v>
      </c>
      <c r="L187" s="2960">
        <v>42984</v>
      </c>
      <c r="M187" s="2958" t="s">
        <v>3134</v>
      </c>
      <c r="N187" s="2958" t="s">
        <v>3687</v>
      </c>
      <c r="O187" s="2958" t="s">
        <v>3136</v>
      </c>
    </row>
    <row r="188" spans="1:15">
      <c r="A188" s="2958" t="s">
        <v>3823</v>
      </c>
      <c r="B188" s="2958" t="s">
        <v>3824</v>
      </c>
      <c r="C188" s="2958" t="s">
        <v>3684</v>
      </c>
      <c r="D188" s="2958" t="s">
        <v>3130</v>
      </c>
      <c r="E188" s="2958" t="s">
        <v>3226</v>
      </c>
      <c r="F188" s="2958" t="s">
        <v>3822</v>
      </c>
      <c r="G188" s="2958" t="s">
        <v>3133</v>
      </c>
      <c r="H188" s="2958" t="s">
        <v>3102</v>
      </c>
      <c r="I188" s="2959">
        <v>175.4</v>
      </c>
      <c r="J188" s="2959">
        <v>20368</v>
      </c>
      <c r="K188" s="2959">
        <v>3572548</v>
      </c>
      <c r="L188" s="2960">
        <v>42984</v>
      </c>
      <c r="M188" s="2958" t="s">
        <v>3134</v>
      </c>
      <c r="N188" s="2958" t="s">
        <v>3687</v>
      </c>
      <c r="O188" s="2958" t="s">
        <v>3136</v>
      </c>
    </row>
    <row r="189" spans="1:15">
      <c r="A189" s="2958" t="s">
        <v>3825</v>
      </c>
      <c r="B189" s="2958" t="s">
        <v>3826</v>
      </c>
      <c r="C189" s="2958" t="s">
        <v>3684</v>
      </c>
      <c r="D189" s="2958" t="s">
        <v>3130</v>
      </c>
      <c r="E189" s="2958" t="s">
        <v>3437</v>
      </c>
      <c r="F189" s="2958" t="s">
        <v>3827</v>
      </c>
      <c r="G189" s="2958" t="s">
        <v>3141</v>
      </c>
      <c r="H189" s="2958" t="s">
        <v>3102</v>
      </c>
      <c r="I189" s="2959">
        <v>35.83</v>
      </c>
      <c r="J189" s="2959">
        <v>37794.33</v>
      </c>
      <c r="K189" s="2959">
        <v>1354171</v>
      </c>
      <c r="L189" s="2960">
        <v>42977</v>
      </c>
      <c r="M189" s="2958" t="s">
        <v>3134</v>
      </c>
      <c r="N189" s="2958" t="s">
        <v>3687</v>
      </c>
      <c r="O189" s="2958" t="s">
        <v>3136</v>
      </c>
    </row>
    <row r="190" spans="1:15">
      <c r="A190" s="2958" t="s">
        <v>3828</v>
      </c>
      <c r="B190" s="2958" t="s">
        <v>3828</v>
      </c>
      <c r="C190" s="2958" t="s">
        <v>3684</v>
      </c>
      <c r="D190" s="2958" t="s">
        <v>3130</v>
      </c>
      <c r="E190" s="2958" t="s">
        <v>3281</v>
      </c>
      <c r="F190" s="2958" t="s">
        <v>3829</v>
      </c>
      <c r="G190" s="2958" t="s">
        <v>3141</v>
      </c>
      <c r="H190" s="2958" t="s">
        <v>3102</v>
      </c>
      <c r="I190" s="2959">
        <v>60.48</v>
      </c>
      <c r="J190" s="2959">
        <v>21258.25</v>
      </c>
      <c r="K190" s="2959">
        <v>1285699</v>
      </c>
      <c r="L190" s="2960">
        <v>42977</v>
      </c>
      <c r="M190" s="2958" t="s">
        <v>3134</v>
      </c>
      <c r="N190" s="2958" t="s">
        <v>3687</v>
      </c>
      <c r="O190" s="2958" t="s">
        <v>3136</v>
      </c>
    </row>
    <row r="191" spans="1:15">
      <c r="A191" s="2958" t="s">
        <v>3830</v>
      </c>
      <c r="B191" s="2958" t="s">
        <v>3831</v>
      </c>
      <c r="C191" s="2958" t="s">
        <v>3684</v>
      </c>
      <c r="D191" s="2958" t="s">
        <v>3130</v>
      </c>
      <c r="E191" s="2958" t="s">
        <v>3305</v>
      </c>
      <c r="F191" s="2958" t="s">
        <v>3690</v>
      </c>
      <c r="G191" s="2958" t="s">
        <v>3141</v>
      </c>
      <c r="H191" s="2958" t="s">
        <v>3102</v>
      </c>
      <c r="I191" s="2959">
        <v>32.549999999999997</v>
      </c>
      <c r="J191" s="2959">
        <v>26596.37</v>
      </c>
      <c r="K191" s="2959">
        <v>865712</v>
      </c>
      <c r="L191" s="2960">
        <v>42976</v>
      </c>
      <c r="M191" s="2958" t="s">
        <v>3134</v>
      </c>
      <c r="N191" s="2958" t="s">
        <v>3687</v>
      </c>
      <c r="O191" s="2958" t="s">
        <v>3136</v>
      </c>
    </row>
    <row r="192" spans="1:15">
      <c r="A192" s="2958" t="s">
        <v>3832</v>
      </c>
      <c r="B192" s="2958" t="s">
        <v>3832</v>
      </c>
      <c r="C192" s="2958" t="s">
        <v>3684</v>
      </c>
      <c r="D192" s="2958" t="s">
        <v>3130</v>
      </c>
      <c r="E192" s="2958" t="s">
        <v>3393</v>
      </c>
      <c r="F192" s="2958" t="s">
        <v>3833</v>
      </c>
      <c r="G192" s="2958" t="s">
        <v>3141</v>
      </c>
      <c r="H192" s="2958" t="s">
        <v>3102</v>
      </c>
      <c r="I192" s="2959">
        <v>52.5</v>
      </c>
      <c r="J192" s="2959">
        <v>16482.93</v>
      </c>
      <c r="K192" s="2959">
        <v>865354</v>
      </c>
      <c r="L192" s="2960">
        <v>42976</v>
      </c>
      <c r="M192" s="2958" t="s">
        <v>3134</v>
      </c>
      <c r="N192" s="2958" t="s">
        <v>3687</v>
      </c>
      <c r="O192" s="2958" t="s">
        <v>3136</v>
      </c>
    </row>
    <row r="193" spans="1:15">
      <c r="A193" s="2958" t="s">
        <v>3834</v>
      </c>
      <c r="B193" s="2958" t="s">
        <v>3834</v>
      </c>
      <c r="C193" s="2958" t="s">
        <v>3684</v>
      </c>
      <c r="D193" s="2958" t="s">
        <v>3130</v>
      </c>
      <c r="E193" s="2958" t="s">
        <v>3373</v>
      </c>
      <c r="F193" s="2958" t="s">
        <v>3833</v>
      </c>
      <c r="G193" s="2958" t="s">
        <v>3141</v>
      </c>
      <c r="H193" s="2958" t="s">
        <v>3102</v>
      </c>
      <c r="I193" s="2959">
        <v>55</v>
      </c>
      <c r="J193" s="2959">
        <v>16525.45</v>
      </c>
      <c r="K193" s="2959">
        <v>908900</v>
      </c>
      <c r="L193" s="2960">
        <v>42976</v>
      </c>
      <c r="M193" s="2958" t="s">
        <v>3134</v>
      </c>
      <c r="N193" s="2958" t="s">
        <v>3687</v>
      </c>
      <c r="O193" s="2958" t="s">
        <v>3136</v>
      </c>
    </row>
    <row r="194" spans="1:15">
      <c r="A194" s="2958" t="s">
        <v>3835</v>
      </c>
      <c r="B194" s="2958" t="s">
        <v>3836</v>
      </c>
      <c r="C194" s="2958" t="s">
        <v>3684</v>
      </c>
      <c r="D194" s="2958" t="s">
        <v>3130</v>
      </c>
      <c r="E194" s="2958" t="s">
        <v>3837</v>
      </c>
      <c r="F194" s="2958" t="s">
        <v>3838</v>
      </c>
      <c r="G194" s="2958" t="s">
        <v>3133</v>
      </c>
      <c r="H194" s="2958" t="s">
        <v>3102</v>
      </c>
      <c r="I194" s="2959">
        <v>94.45</v>
      </c>
      <c r="J194" s="2959">
        <v>17694.12</v>
      </c>
      <c r="K194" s="2959">
        <v>1671210</v>
      </c>
      <c r="L194" s="2960">
        <v>42975</v>
      </c>
      <c r="M194" s="2958" t="s">
        <v>3134</v>
      </c>
      <c r="N194" s="2958" t="s">
        <v>3687</v>
      </c>
      <c r="O194" s="2958" t="s">
        <v>3136</v>
      </c>
    </row>
    <row r="195" spans="1:15">
      <c r="A195" s="2958" t="s">
        <v>3839</v>
      </c>
      <c r="B195" s="2958" t="s">
        <v>3840</v>
      </c>
      <c r="C195" s="2958" t="s">
        <v>3684</v>
      </c>
      <c r="D195" s="2958" t="s">
        <v>3130</v>
      </c>
      <c r="E195" s="2958" t="s">
        <v>3841</v>
      </c>
      <c r="F195" s="2958" t="s">
        <v>3838</v>
      </c>
      <c r="G195" s="2958" t="s">
        <v>3133</v>
      </c>
      <c r="H195" s="2958" t="s">
        <v>3102</v>
      </c>
      <c r="I195" s="2959">
        <v>60.74</v>
      </c>
      <c r="J195" s="2959">
        <v>15638.21</v>
      </c>
      <c r="K195" s="2959">
        <v>949865</v>
      </c>
      <c r="L195" s="2960">
        <v>42975</v>
      </c>
      <c r="M195" s="2958" t="s">
        <v>3134</v>
      </c>
      <c r="N195" s="2958" t="s">
        <v>3687</v>
      </c>
      <c r="O195" s="2958" t="s">
        <v>3136</v>
      </c>
    </row>
    <row r="196" spans="1:15">
      <c r="A196" s="2958" t="s">
        <v>3842</v>
      </c>
      <c r="B196" s="2958" t="s">
        <v>3843</v>
      </c>
      <c r="C196" s="2958" t="s">
        <v>3684</v>
      </c>
      <c r="D196" s="2958" t="s">
        <v>3130</v>
      </c>
      <c r="E196" s="2958" t="s">
        <v>3844</v>
      </c>
      <c r="F196" s="2958" t="s">
        <v>3845</v>
      </c>
      <c r="G196" s="2958" t="s">
        <v>3141</v>
      </c>
      <c r="H196" s="2958" t="s">
        <v>3102</v>
      </c>
      <c r="I196" s="2959">
        <v>61.6</v>
      </c>
      <c r="J196" s="2959">
        <v>18108.72</v>
      </c>
      <c r="K196" s="2959">
        <v>1115497</v>
      </c>
      <c r="L196" s="2960">
        <v>42975</v>
      </c>
      <c r="M196" s="2958" t="s">
        <v>3134</v>
      </c>
      <c r="N196" s="2958" t="s">
        <v>3687</v>
      </c>
      <c r="O196" s="2958" t="s">
        <v>3136</v>
      </c>
    </row>
    <row r="197" spans="1:15">
      <c r="A197" s="2958" t="s">
        <v>3846</v>
      </c>
      <c r="B197" s="2958" t="s">
        <v>3846</v>
      </c>
      <c r="C197" s="2958" t="s">
        <v>3684</v>
      </c>
      <c r="D197" s="2958" t="s">
        <v>3130</v>
      </c>
      <c r="E197" s="2958" t="s">
        <v>3477</v>
      </c>
      <c r="F197" s="2958" t="s">
        <v>3847</v>
      </c>
      <c r="G197" s="2958" t="s">
        <v>3141</v>
      </c>
      <c r="H197" s="2958" t="s">
        <v>3102</v>
      </c>
      <c r="I197" s="2959">
        <v>50.63</v>
      </c>
      <c r="J197" s="2959">
        <v>16805.169999999998</v>
      </c>
      <c r="K197" s="2959">
        <v>850846</v>
      </c>
      <c r="L197" s="2960">
        <v>42974</v>
      </c>
      <c r="M197" s="2958" t="s">
        <v>3134</v>
      </c>
      <c r="N197" s="2958" t="s">
        <v>3687</v>
      </c>
      <c r="O197" s="2958" t="s">
        <v>3136</v>
      </c>
    </row>
    <row r="198" spans="1:15">
      <c r="A198" s="2958" t="s">
        <v>3848</v>
      </c>
      <c r="B198" s="2958" t="s">
        <v>3848</v>
      </c>
      <c r="C198" s="2958" t="s">
        <v>3684</v>
      </c>
      <c r="D198" s="2958" t="s">
        <v>3130</v>
      </c>
      <c r="E198" s="2958" t="s">
        <v>3489</v>
      </c>
      <c r="F198" s="2958" t="s">
        <v>3849</v>
      </c>
      <c r="G198" s="2958" t="s">
        <v>3141</v>
      </c>
      <c r="H198" s="2958" t="s">
        <v>3102</v>
      </c>
      <c r="I198" s="2959">
        <v>50.63</v>
      </c>
      <c r="J198" s="2959">
        <v>16284.5</v>
      </c>
      <c r="K198" s="2959">
        <v>824484</v>
      </c>
      <c r="L198" s="2960">
        <v>42974</v>
      </c>
      <c r="M198" s="2958" t="s">
        <v>3134</v>
      </c>
      <c r="N198" s="2958" t="s">
        <v>3687</v>
      </c>
      <c r="O198" s="2958" t="s">
        <v>3136</v>
      </c>
    </row>
    <row r="199" spans="1:15">
      <c r="A199" s="2958" t="s">
        <v>3850</v>
      </c>
      <c r="B199" s="2958" t="s">
        <v>3851</v>
      </c>
      <c r="C199" s="2958" t="s">
        <v>3684</v>
      </c>
      <c r="D199" s="2958" t="s">
        <v>3130</v>
      </c>
      <c r="E199" s="2958" t="s">
        <v>3385</v>
      </c>
      <c r="F199" s="2958" t="s">
        <v>3852</v>
      </c>
      <c r="G199" s="2958" t="s">
        <v>3141</v>
      </c>
      <c r="H199" s="2958" t="s">
        <v>3102</v>
      </c>
      <c r="I199" s="2959">
        <v>50.63</v>
      </c>
      <c r="J199" s="2959">
        <v>15840.88</v>
      </c>
      <c r="K199" s="2959">
        <v>802024</v>
      </c>
      <c r="L199" s="2960">
        <v>42973</v>
      </c>
      <c r="M199" s="2958" t="s">
        <v>3134</v>
      </c>
      <c r="N199" s="2958" t="s">
        <v>3687</v>
      </c>
      <c r="O199" s="2958" t="s">
        <v>3136</v>
      </c>
    </row>
    <row r="200" spans="1:15">
      <c r="A200" s="2958" t="s">
        <v>3853</v>
      </c>
      <c r="B200" s="2958" t="s">
        <v>3854</v>
      </c>
      <c r="C200" s="2958" t="s">
        <v>3684</v>
      </c>
      <c r="D200" s="2958" t="s">
        <v>3130</v>
      </c>
      <c r="E200" s="2958" t="s">
        <v>3525</v>
      </c>
      <c r="F200" s="2958" t="s">
        <v>3855</v>
      </c>
      <c r="G200" s="2958" t="s">
        <v>3141</v>
      </c>
      <c r="H200" s="2958" t="s">
        <v>3102</v>
      </c>
      <c r="I200" s="2959">
        <v>26.05</v>
      </c>
      <c r="J200" s="2959">
        <v>29040.959999999999</v>
      </c>
      <c r="K200" s="2959">
        <v>756517</v>
      </c>
      <c r="L200" s="2960">
        <v>42973</v>
      </c>
      <c r="M200" s="2958" t="s">
        <v>3134</v>
      </c>
      <c r="N200" s="2958" t="s">
        <v>3687</v>
      </c>
      <c r="O200" s="2958" t="s">
        <v>3136</v>
      </c>
    </row>
    <row r="201" spans="1:15">
      <c r="A201" s="2958" t="s">
        <v>3856</v>
      </c>
      <c r="B201" s="2958" t="s">
        <v>3856</v>
      </c>
      <c r="C201" s="2958" t="s">
        <v>3684</v>
      </c>
      <c r="D201" s="2958" t="s">
        <v>3130</v>
      </c>
      <c r="E201" s="2958" t="s">
        <v>3565</v>
      </c>
      <c r="F201" s="2958" t="s">
        <v>3857</v>
      </c>
      <c r="G201" s="2958" t="s">
        <v>3141</v>
      </c>
      <c r="H201" s="2958" t="s">
        <v>3102</v>
      </c>
      <c r="I201" s="2959">
        <v>43.04</v>
      </c>
      <c r="J201" s="2959">
        <v>21197.56</v>
      </c>
      <c r="K201" s="2959">
        <v>912343</v>
      </c>
      <c r="L201" s="2960">
        <v>42973</v>
      </c>
      <c r="M201" s="2958" t="s">
        <v>3134</v>
      </c>
      <c r="N201" s="2958" t="s">
        <v>3687</v>
      </c>
      <c r="O201" s="2958" t="s">
        <v>3136</v>
      </c>
    </row>
    <row r="202" spans="1:15">
      <c r="A202" s="2958" t="s">
        <v>3858</v>
      </c>
      <c r="B202" s="2958" t="s">
        <v>3858</v>
      </c>
      <c r="C202" s="2958" t="s">
        <v>3684</v>
      </c>
      <c r="D202" s="2958" t="s">
        <v>3130</v>
      </c>
      <c r="E202" s="2958" t="s">
        <v>3261</v>
      </c>
      <c r="F202" s="2958" t="s">
        <v>3857</v>
      </c>
      <c r="G202" s="2958" t="s">
        <v>3141</v>
      </c>
      <c r="H202" s="2958" t="s">
        <v>3102</v>
      </c>
      <c r="I202" s="2959">
        <v>9.93</v>
      </c>
      <c r="J202" s="2959">
        <v>31613.09</v>
      </c>
      <c r="K202" s="2959">
        <v>313918</v>
      </c>
      <c r="L202" s="2960">
        <v>42973</v>
      </c>
      <c r="M202" s="2958" t="s">
        <v>3134</v>
      </c>
      <c r="N202" s="2958" t="s">
        <v>3687</v>
      </c>
      <c r="O202" s="2958" t="s">
        <v>3136</v>
      </c>
    </row>
    <row r="203" spans="1:15">
      <c r="A203" s="2958" t="s">
        <v>3859</v>
      </c>
      <c r="B203" s="2958" t="s">
        <v>3860</v>
      </c>
      <c r="C203" s="2958" t="s">
        <v>3684</v>
      </c>
      <c r="D203" s="2958" t="s">
        <v>3130</v>
      </c>
      <c r="E203" s="2958" t="s">
        <v>3640</v>
      </c>
      <c r="F203" s="2958" t="s">
        <v>3861</v>
      </c>
      <c r="G203" s="2958" t="s">
        <v>3141</v>
      </c>
      <c r="H203" s="2958" t="s">
        <v>3102</v>
      </c>
      <c r="I203" s="2959">
        <v>54.36</v>
      </c>
      <c r="J203" s="2959">
        <v>27108.2</v>
      </c>
      <c r="K203" s="2959">
        <v>1473602</v>
      </c>
      <c r="L203" s="2960">
        <v>42973</v>
      </c>
      <c r="M203" s="2958" t="s">
        <v>3134</v>
      </c>
      <c r="N203" s="2958" t="s">
        <v>3687</v>
      </c>
      <c r="O203" s="2958" t="s">
        <v>3136</v>
      </c>
    </row>
    <row r="204" spans="1:15">
      <c r="A204" s="2958" t="s">
        <v>3862</v>
      </c>
      <c r="B204" s="2958" t="s">
        <v>3863</v>
      </c>
      <c r="C204" s="2958" t="s">
        <v>3684</v>
      </c>
      <c r="D204" s="2958" t="s">
        <v>3130</v>
      </c>
      <c r="E204" s="2958" t="s">
        <v>3389</v>
      </c>
      <c r="F204" s="2958" t="s">
        <v>3845</v>
      </c>
      <c r="G204" s="2958" t="s">
        <v>3141</v>
      </c>
      <c r="H204" s="2958" t="s">
        <v>3102</v>
      </c>
      <c r="I204" s="2959">
        <v>19.920000000000002</v>
      </c>
      <c r="J204" s="2959">
        <v>37361.24</v>
      </c>
      <c r="K204" s="2959">
        <v>744236</v>
      </c>
      <c r="L204" s="2960">
        <v>42973</v>
      </c>
      <c r="M204" s="2958" t="s">
        <v>3134</v>
      </c>
      <c r="N204" s="2958" t="s">
        <v>3687</v>
      </c>
      <c r="O204" s="2958" t="s">
        <v>3136</v>
      </c>
    </row>
    <row r="205" spans="1:15">
      <c r="A205" s="2958" t="s">
        <v>3864</v>
      </c>
      <c r="B205" s="2958" t="s">
        <v>3864</v>
      </c>
      <c r="C205" s="2958" t="s">
        <v>3684</v>
      </c>
      <c r="D205" s="2958" t="s">
        <v>3130</v>
      </c>
      <c r="E205" s="2958" t="s">
        <v>3608</v>
      </c>
      <c r="F205" s="2958" t="s">
        <v>3865</v>
      </c>
      <c r="G205" s="2958" t="s">
        <v>3141</v>
      </c>
      <c r="H205" s="2958" t="s">
        <v>3102</v>
      </c>
      <c r="I205" s="2959">
        <v>50.11</v>
      </c>
      <c r="J205" s="2959">
        <v>24957.83</v>
      </c>
      <c r="K205" s="2959">
        <v>1250637</v>
      </c>
      <c r="L205" s="2960">
        <v>42973</v>
      </c>
      <c r="M205" s="2958" t="s">
        <v>3134</v>
      </c>
      <c r="N205" s="2958" t="s">
        <v>3687</v>
      </c>
      <c r="O205" s="2958" t="s">
        <v>3136</v>
      </c>
    </row>
    <row r="206" spans="1:15">
      <c r="A206" s="2958" t="s">
        <v>3866</v>
      </c>
      <c r="B206" s="2958" t="s">
        <v>3867</v>
      </c>
      <c r="C206" s="2958" t="s">
        <v>3684</v>
      </c>
      <c r="D206" s="2958" t="s">
        <v>3130</v>
      </c>
      <c r="E206" s="2958" t="s">
        <v>3180</v>
      </c>
      <c r="F206" s="2958" t="s">
        <v>3868</v>
      </c>
      <c r="G206" s="2958" t="s">
        <v>3133</v>
      </c>
      <c r="H206" s="2958" t="s">
        <v>3102</v>
      </c>
      <c r="I206" s="2959">
        <v>52.43</v>
      </c>
      <c r="J206" s="2959">
        <v>20408.13</v>
      </c>
      <c r="K206" s="2959">
        <v>1069998</v>
      </c>
      <c r="L206" s="2960">
        <v>42973</v>
      </c>
      <c r="M206" s="2958" t="s">
        <v>3134</v>
      </c>
      <c r="N206" s="2958" t="s">
        <v>3687</v>
      </c>
      <c r="O206" s="2958" t="s">
        <v>3136</v>
      </c>
    </row>
    <row r="207" spans="1:15">
      <c r="A207" s="2958" t="s">
        <v>3869</v>
      </c>
      <c r="B207" s="2958" t="s">
        <v>3870</v>
      </c>
      <c r="C207" s="2958" t="s">
        <v>3684</v>
      </c>
      <c r="D207" s="2958" t="s">
        <v>3130</v>
      </c>
      <c r="E207" s="2958" t="s">
        <v>3144</v>
      </c>
      <c r="F207" s="2958" t="s">
        <v>3871</v>
      </c>
      <c r="G207" s="2958" t="s">
        <v>3133</v>
      </c>
      <c r="H207" s="2958" t="s">
        <v>3102</v>
      </c>
      <c r="I207" s="2959">
        <v>46.4</v>
      </c>
      <c r="J207" s="2959">
        <v>13439.44</v>
      </c>
      <c r="K207" s="2959">
        <v>623590</v>
      </c>
      <c r="L207" s="2960">
        <v>42973</v>
      </c>
      <c r="M207" s="2958" t="s">
        <v>3134</v>
      </c>
      <c r="N207" s="2958" t="s">
        <v>3687</v>
      </c>
      <c r="O207" s="2958" t="s">
        <v>3136</v>
      </c>
    </row>
    <row r="208" spans="1:15">
      <c r="A208" s="2958" t="s">
        <v>3872</v>
      </c>
      <c r="B208" s="2958" t="s">
        <v>3873</v>
      </c>
      <c r="C208" s="2958" t="s">
        <v>3684</v>
      </c>
      <c r="D208" s="2958" t="s">
        <v>3130</v>
      </c>
      <c r="E208" s="2958" t="s">
        <v>3285</v>
      </c>
      <c r="F208" s="2958" t="s">
        <v>3874</v>
      </c>
      <c r="G208" s="2958" t="s">
        <v>3133</v>
      </c>
      <c r="H208" s="2958" t="s">
        <v>3102</v>
      </c>
      <c r="I208" s="2959">
        <v>54.36</v>
      </c>
      <c r="J208" s="2959">
        <v>25540.25</v>
      </c>
      <c r="K208" s="2959">
        <v>1388368</v>
      </c>
      <c r="L208" s="2960">
        <v>42973</v>
      </c>
      <c r="M208" s="2958" t="s">
        <v>3134</v>
      </c>
      <c r="N208" s="2958" t="s">
        <v>3687</v>
      </c>
      <c r="O208" s="2958" t="s">
        <v>3136</v>
      </c>
    </row>
    <row r="209" spans="1:15">
      <c r="A209" s="2958" t="s">
        <v>3875</v>
      </c>
      <c r="B209" s="2958" t="s">
        <v>3876</v>
      </c>
      <c r="C209" s="2958" t="s">
        <v>3684</v>
      </c>
      <c r="D209" s="2958" t="s">
        <v>3130</v>
      </c>
      <c r="E209" s="2958" t="s">
        <v>3176</v>
      </c>
      <c r="F209" s="2958" t="s">
        <v>3877</v>
      </c>
      <c r="G209" s="2958" t="s">
        <v>3141</v>
      </c>
      <c r="H209" s="2958" t="s">
        <v>3102</v>
      </c>
      <c r="I209" s="2959">
        <v>55.36</v>
      </c>
      <c r="J209" s="2959">
        <v>24109.119999999999</v>
      </c>
      <c r="K209" s="2959">
        <v>1334681</v>
      </c>
      <c r="L209" s="2960">
        <v>42973</v>
      </c>
      <c r="M209" s="2958" t="s">
        <v>3134</v>
      </c>
      <c r="N209" s="2958" t="s">
        <v>3687</v>
      </c>
      <c r="O209" s="2958" t="s">
        <v>3136</v>
      </c>
    </row>
    <row r="210" spans="1:15">
      <c r="A210" s="2958" t="s">
        <v>3878</v>
      </c>
      <c r="B210" s="2958" t="s">
        <v>3878</v>
      </c>
      <c r="C210" s="2958" t="s">
        <v>3684</v>
      </c>
      <c r="D210" s="2958" t="s">
        <v>3130</v>
      </c>
      <c r="E210" s="2958" t="s">
        <v>3879</v>
      </c>
      <c r="F210" s="2958" t="s">
        <v>3880</v>
      </c>
      <c r="G210" s="2958" t="s">
        <v>3141</v>
      </c>
      <c r="H210" s="2958" t="s">
        <v>3102</v>
      </c>
      <c r="I210" s="2959">
        <v>85.5</v>
      </c>
      <c r="J210" s="2959">
        <v>10977.82</v>
      </c>
      <c r="K210" s="2959">
        <v>938604</v>
      </c>
      <c r="L210" s="2960">
        <v>42973</v>
      </c>
      <c r="M210" s="2958" t="s">
        <v>3134</v>
      </c>
      <c r="N210" s="2958" t="s">
        <v>3687</v>
      </c>
      <c r="O210" s="2958" t="s">
        <v>3136</v>
      </c>
    </row>
    <row r="211" spans="1:15">
      <c r="A211" s="2958" t="s">
        <v>3881</v>
      </c>
      <c r="B211" s="2958" t="s">
        <v>3882</v>
      </c>
      <c r="C211" s="2958" t="s">
        <v>3684</v>
      </c>
      <c r="D211" s="2958" t="s">
        <v>3130</v>
      </c>
      <c r="E211" s="2958" t="s">
        <v>3883</v>
      </c>
      <c r="F211" s="2958" t="s">
        <v>3884</v>
      </c>
      <c r="G211" s="2958" t="s">
        <v>3133</v>
      </c>
      <c r="H211" s="2958" t="s">
        <v>3102</v>
      </c>
      <c r="I211" s="2959">
        <v>65.64</v>
      </c>
      <c r="J211" s="2959">
        <v>10756.06</v>
      </c>
      <c r="K211" s="2959">
        <v>706028</v>
      </c>
      <c r="L211" s="2960">
        <v>42973</v>
      </c>
      <c r="M211" s="2958" t="s">
        <v>3134</v>
      </c>
      <c r="N211" s="2958" t="s">
        <v>3687</v>
      </c>
      <c r="O211" s="2958" t="s">
        <v>3136</v>
      </c>
    </row>
    <row r="212" spans="1:15">
      <c r="A212" s="2958" t="s">
        <v>3885</v>
      </c>
      <c r="B212" s="2958" t="s">
        <v>3885</v>
      </c>
      <c r="C212" s="2958" t="s">
        <v>3684</v>
      </c>
      <c r="D212" s="2958" t="s">
        <v>3130</v>
      </c>
      <c r="E212" s="2958" t="s">
        <v>3401</v>
      </c>
      <c r="F212" s="2958" t="s">
        <v>3886</v>
      </c>
      <c r="G212" s="2958" t="s">
        <v>3141</v>
      </c>
      <c r="H212" s="2958" t="s">
        <v>3102</v>
      </c>
      <c r="I212" s="2959">
        <v>36.24</v>
      </c>
      <c r="J212" s="2959">
        <v>35538.910000000003</v>
      </c>
      <c r="K212" s="2959">
        <v>1287930</v>
      </c>
      <c r="L212" s="2960">
        <v>42973</v>
      </c>
      <c r="M212" s="2958" t="s">
        <v>3134</v>
      </c>
      <c r="N212" s="2958" t="s">
        <v>3687</v>
      </c>
      <c r="O212" s="2958" t="s">
        <v>3136</v>
      </c>
    </row>
    <row r="213" spans="1:15">
      <c r="A213" s="2958" t="s">
        <v>3887</v>
      </c>
      <c r="B213" s="2958" t="s">
        <v>3887</v>
      </c>
      <c r="C213" s="2958" t="s">
        <v>3684</v>
      </c>
      <c r="D213" s="2958" t="s">
        <v>3130</v>
      </c>
      <c r="E213" s="2958" t="s">
        <v>3549</v>
      </c>
      <c r="F213" s="2958" t="s">
        <v>3886</v>
      </c>
      <c r="G213" s="2958" t="s">
        <v>3141</v>
      </c>
      <c r="H213" s="2958" t="s">
        <v>3102</v>
      </c>
      <c r="I213" s="2959">
        <v>19.22</v>
      </c>
      <c r="J213" s="2959">
        <v>31898.39</v>
      </c>
      <c r="K213" s="2959">
        <v>613087</v>
      </c>
      <c r="L213" s="2960">
        <v>42973</v>
      </c>
      <c r="M213" s="2958" t="s">
        <v>3134</v>
      </c>
      <c r="N213" s="2958" t="s">
        <v>3687</v>
      </c>
      <c r="O213" s="2958" t="s">
        <v>3136</v>
      </c>
    </row>
    <row r="214" spans="1:15">
      <c r="A214" s="2958" t="s">
        <v>3888</v>
      </c>
      <c r="B214" s="2958" t="s">
        <v>3888</v>
      </c>
      <c r="C214" s="2958" t="s">
        <v>3684</v>
      </c>
      <c r="D214" s="2958" t="s">
        <v>3130</v>
      </c>
      <c r="E214" s="2958" t="s">
        <v>3592</v>
      </c>
      <c r="F214" s="2958" t="s">
        <v>3886</v>
      </c>
      <c r="G214" s="2958" t="s">
        <v>3141</v>
      </c>
      <c r="H214" s="2958" t="s">
        <v>3102</v>
      </c>
      <c r="I214" s="2959">
        <v>20.47</v>
      </c>
      <c r="J214" s="2959">
        <v>32465.9</v>
      </c>
      <c r="K214" s="2959">
        <v>664577</v>
      </c>
      <c r="L214" s="2960">
        <v>42973</v>
      </c>
      <c r="M214" s="2958" t="s">
        <v>3134</v>
      </c>
      <c r="N214" s="2958" t="s">
        <v>3687</v>
      </c>
      <c r="O214" s="2958" t="s">
        <v>3136</v>
      </c>
    </row>
    <row r="215" spans="1:15">
      <c r="A215" s="2958" t="s">
        <v>3889</v>
      </c>
      <c r="B215" s="2958" t="s">
        <v>3889</v>
      </c>
      <c r="C215" s="2958" t="s">
        <v>3684</v>
      </c>
      <c r="D215" s="2958" t="s">
        <v>3130</v>
      </c>
      <c r="E215" s="2958" t="s">
        <v>3616</v>
      </c>
      <c r="F215" s="2958" t="s">
        <v>3886</v>
      </c>
      <c r="G215" s="2958" t="s">
        <v>3141</v>
      </c>
      <c r="H215" s="2958" t="s">
        <v>3102</v>
      </c>
      <c r="I215" s="2959">
        <v>38.58</v>
      </c>
      <c r="J215" s="2959">
        <v>36849.949999999997</v>
      </c>
      <c r="K215" s="2959">
        <v>1421671</v>
      </c>
      <c r="L215" s="2960">
        <v>42973</v>
      </c>
      <c r="M215" s="2958" t="s">
        <v>3134</v>
      </c>
      <c r="N215" s="2958" t="s">
        <v>3687</v>
      </c>
      <c r="O215" s="2958" t="s">
        <v>3136</v>
      </c>
    </row>
    <row r="216" spans="1:15">
      <c r="A216" s="2958" t="s">
        <v>3890</v>
      </c>
      <c r="B216" s="2958" t="s">
        <v>3891</v>
      </c>
      <c r="C216" s="2958" t="s">
        <v>3684</v>
      </c>
      <c r="D216" s="2958" t="s">
        <v>3130</v>
      </c>
      <c r="E216" s="2958" t="s">
        <v>3329</v>
      </c>
      <c r="F216" s="2958" t="s">
        <v>3892</v>
      </c>
      <c r="G216" s="2958" t="s">
        <v>3141</v>
      </c>
      <c r="H216" s="2958" t="s">
        <v>3102</v>
      </c>
      <c r="I216" s="2959">
        <v>56.71</v>
      </c>
      <c r="J216" s="2959">
        <v>28149.53</v>
      </c>
      <c r="K216" s="2959">
        <v>1596360</v>
      </c>
      <c r="L216" s="2960">
        <v>42973</v>
      </c>
      <c r="M216" s="2958" t="s">
        <v>3134</v>
      </c>
      <c r="N216" s="2958" t="s">
        <v>3687</v>
      </c>
      <c r="O216" s="2958" t="s">
        <v>3136</v>
      </c>
    </row>
    <row r="217" spans="1:15">
      <c r="A217" s="2958" t="s">
        <v>3893</v>
      </c>
      <c r="B217" s="2958" t="s">
        <v>3893</v>
      </c>
      <c r="C217" s="2958" t="s">
        <v>3684</v>
      </c>
      <c r="D217" s="2958" t="s">
        <v>3130</v>
      </c>
      <c r="E217" s="2958" t="s">
        <v>3325</v>
      </c>
      <c r="F217" s="2958" t="s">
        <v>3894</v>
      </c>
      <c r="G217" s="2958" t="s">
        <v>3141</v>
      </c>
      <c r="H217" s="2958" t="s">
        <v>3102</v>
      </c>
      <c r="I217" s="2959">
        <v>55.36</v>
      </c>
      <c r="J217" s="2959">
        <v>23957.1</v>
      </c>
      <c r="K217" s="2959">
        <v>1326265</v>
      </c>
      <c r="L217" s="2960">
        <v>42973</v>
      </c>
      <c r="M217" s="2958" t="s">
        <v>3134</v>
      </c>
      <c r="N217" s="2958" t="s">
        <v>3687</v>
      </c>
      <c r="O217" s="2958" t="s">
        <v>3136</v>
      </c>
    </row>
    <row r="218" spans="1:15">
      <c r="A218" s="2958" t="s">
        <v>3895</v>
      </c>
      <c r="B218" s="2958" t="s">
        <v>3896</v>
      </c>
      <c r="C218" s="2958" t="s">
        <v>3684</v>
      </c>
      <c r="D218" s="2958" t="s">
        <v>3130</v>
      </c>
      <c r="E218" s="2958" t="s">
        <v>3505</v>
      </c>
      <c r="F218" s="2958" t="s">
        <v>3897</v>
      </c>
      <c r="G218" s="2958" t="s">
        <v>3133</v>
      </c>
      <c r="H218" s="2958" t="s">
        <v>3102</v>
      </c>
      <c r="I218" s="2959">
        <v>51.55</v>
      </c>
      <c r="J218" s="2959">
        <v>33433.31</v>
      </c>
      <c r="K218" s="2959">
        <v>1723487</v>
      </c>
      <c r="L218" s="2960">
        <v>42973</v>
      </c>
      <c r="M218" s="2958" t="s">
        <v>3134</v>
      </c>
      <c r="N218" s="2958" t="s">
        <v>3687</v>
      </c>
      <c r="O218" s="2958" t="s">
        <v>3136</v>
      </c>
    </row>
    <row r="219" spans="1:15">
      <c r="A219" s="2958" t="s">
        <v>3898</v>
      </c>
      <c r="B219" s="2958" t="s">
        <v>3899</v>
      </c>
      <c r="C219" s="2958" t="s">
        <v>3684</v>
      </c>
      <c r="D219" s="2958" t="s">
        <v>3130</v>
      </c>
      <c r="E219" s="2958" t="s">
        <v>3365</v>
      </c>
      <c r="F219" s="2958" t="s">
        <v>3900</v>
      </c>
      <c r="G219" s="2958" t="s">
        <v>3133</v>
      </c>
      <c r="H219" s="2958" t="s">
        <v>3102</v>
      </c>
      <c r="I219" s="2959">
        <v>50.63</v>
      </c>
      <c r="J219" s="2959">
        <v>15445.37</v>
      </c>
      <c r="K219" s="2959">
        <v>781999</v>
      </c>
      <c r="L219" s="2960">
        <v>42973</v>
      </c>
      <c r="M219" s="2958" t="s">
        <v>3134</v>
      </c>
      <c r="N219" s="2958" t="s">
        <v>3687</v>
      </c>
      <c r="O219" s="2958" t="s">
        <v>3136</v>
      </c>
    </row>
    <row r="220" spans="1:15">
      <c r="A220" s="2958" t="s">
        <v>3901</v>
      </c>
      <c r="B220" s="2958" t="s">
        <v>3902</v>
      </c>
      <c r="C220" s="2958" t="s">
        <v>3684</v>
      </c>
      <c r="D220" s="2958" t="s">
        <v>3130</v>
      </c>
      <c r="E220" s="2958" t="s">
        <v>3903</v>
      </c>
      <c r="F220" s="2958" t="s">
        <v>3904</v>
      </c>
      <c r="G220" s="2958" t="s">
        <v>3133</v>
      </c>
      <c r="H220" s="2958" t="s">
        <v>3102</v>
      </c>
      <c r="I220" s="2959">
        <v>91.57</v>
      </c>
      <c r="J220" s="2959">
        <v>11806.97</v>
      </c>
      <c r="K220" s="2959">
        <v>1081164</v>
      </c>
      <c r="L220" s="2960">
        <v>42973</v>
      </c>
      <c r="M220" s="2958" t="s">
        <v>3134</v>
      </c>
      <c r="N220" s="2958" t="s">
        <v>3687</v>
      </c>
      <c r="O220" s="2958" t="s">
        <v>3136</v>
      </c>
    </row>
    <row r="221" spans="1:15">
      <c r="A221" s="2958" t="s">
        <v>3905</v>
      </c>
      <c r="B221" s="2958" t="s">
        <v>3906</v>
      </c>
      <c r="C221" s="2958" t="s">
        <v>3684</v>
      </c>
      <c r="D221" s="2958" t="s">
        <v>3130</v>
      </c>
      <c r="E221" s="2958" t="s">
        <v>3139</v>
      </c>
      <c r="F221" s="2958" t="s">
        <v>3907</v>
      </c>
      <c r="G221" s="2958" t="s">
        <v>3133</v>
      </c>
      <c r="H221" s="2958" t="s">
        <v>3102</v>
      </c>
      <c r="I221" s="2959">
        <v>80.319999999999993</v>
      </c>
      <c r="J221" s="2959">
        <v>12419.15</v>
      </c>
      <c r="K221" s="2959">
        <v>997506</v>
      </c>
      <c r="L221" s="2960">
        <v>42973</v>
      </c>
      <c r="M221" s="2958" t="s">
        <v>3134</v>
      </c>
      <c r="N221" s="2958" t="s">
        <v>3687</v>
      </c>
      <c r="O221" s="2958" t="s">
        <v>3136</v>
      </c>
    </row>
    <row r="222" spans="1:15">
      <c r="A222" s="2958" t="s">
        <v>3908</v>
      </c>
      <c r="B222" s="2958" t="s">
        <v>3909</v>
      </c>
      <c r="C222" s="2958" t="s">
        <v>3684</v>
      </c>
      <c r="D222" s="2958" t="s">
        <v>3130</v>
      </c>
      <c r="E222" s="2958" t="s">
        <v>3289</v>
      </c>
      <c r="F222" s="2958" t="s">
        <v>3910</v>
      </c>
      <c r="G222" s="2958" t="s">
        <v>3133</v>
      </c>
      <c r="H222" s="2958" t="s">
        <v>3102</v>
      </c>
      <c r="I222" s="2959">
        <v>61.74</v>
      </c>
      <c r="J222" s="2959">
        <v>21674.73</v>
      </c>
      <c r="K222" s="2959">
        <v>1338198</v>
      </c>
      <c r="L222" s="2960">
        <v>42973</v>
      </c>
      <c r="M222" s="2958" t="s">
        <v>3134</v>
      </c>
      <c r="N222" s="2958" t="s">
        <v>3687</v>
      </c>
      <c r="O222" s="2958" t="s">
        <v>3136</v>
      </c>
    </row>
    <row r="223" spans="1:15">
      <c r="A223" s="2958" t="s">
        <v>3911</v>
      </c>
      <c r="B223" s="2958" t="s">
        <v>3912</v>
      </c>
      <c r="C223" s="2958" t="s">
        <v>3684</v>
      </c>
      <c r="D223" s="2958" t="s">
        <v>3130</v>
      </c>
      <c r="E223" s="2958" t="s">
        <v>3293</v>
      </c>
      <c r="F223" s="2958" t="s">
        <v>3913</v>
      </c>
      <c r="G223" s="2958" t="s">
        <v>3133</v>
      </c>
      <c r="H223" s="2958" t="s">
        <v>3102</v>
      </c>
      <c r="I223" s="2959">
        <v>29.04</v>
      </c>
      <c r="J223" s="2959">
        <v>20769.28</v>
      </c>
      <c r="K223" s="2959">
        <v>603140</v>
      </c>
      <c r="L223" s="2960">
        <v>42973</v>
      </c>
      <c r="M223" s="2958" t="s">
        <v>3134</v>
      </c>
      <c r="N223" s="2958" t="s">
        <v>3687</v>
      </c>
      <c r="O223" s="2958" t="s">
        <v>3136</v>
      </c>
    </row>
    <row r="224" spans="1:15">
      <c r="A224" s="2958" t="s">
        <v>3914</v>
      </c>
      <c r="B224" s="2958" t="s">
        <v>3915</v>
      </c>
      <c r="C224" s="2958" t="s">
        <v>3684</v>
      </c>
      <c r="D224" s="2958" t="s">
        <v>3130</v>
      </c>
      <c r="E224" s="2958" t="s">
        <v>3916</v>
      </c>
      <c r="F224" s="2958" t="s">
        <v>3917</v>
      </c>
      <c r="G224" s="2958" t="s">
        <v>3141</v>
      </c>
      <c r="H224" s="2958" t="s">
        <v>3102</v>
      </c>
      <c r="I224" s="2959">
        <v>66.25</v>
      </c>
      <c r="J224" s="2959">
        <v>13095.91</v>
      </c>
      <c r="K224" s="2959">
        <v>867604</v>
      </c>
      <c r="L224" s="2960">
        <v>42973</v>
      </c>
      <c r="M224" s="2958" t="s">
        <v>3134</v>
      </c>
      <c r="N224" s="2958" t="s">
        <v>3687</v>
      </c>
      <c r="O224" s="2958" t="s">
        <v>3136</v>
      </c>
    </row>
    <row r="225" spans="1:15">
      <c r="A225" s="2958" t="s">
        <v>3918</v>
      </c>
      <c r="B225" s="2958" t="s">
        <v>3918</v>
      </c>
      <c r="C225" s="2958" t="s">
        <v>3684</v>
      </c>
      <c r="D225" s="2958" t="s">
        <v>3130</v>
      </c>
      <c r="E225" s="2958" t="s">
        <v>3919</v>
      </c>
      <c r="F225" s="2958" t="s">
        <v>3920</v>
      </c>
      <c r="G225" s="2958" t="s">
        <v>3141</v>
      </c>
      <c r="H225" s="2958" t="s">
        <v>3102</v>
      </c>
      <c r="I225" s="2959">
        <v>50.63</v>
      </c>
      <c r="J225" s="2959">
        <v>17221.71</v>
      </c>
      <c r="K225" s="2959">
        <v>871935</v>
      </c>
      <c r="L225" s="2960">
        <v>42973</v>
      </c>
      <c r="M225" s="2958" t="s">
        <v>3134</v>
      </c>
      <c r="N225" s="2958" t="s">
        <v>3687</v>
      </c>
      <c r="O225" s="2958" t="s">
        <v>3136</v>
      </c>
    </row>
    <row r="226" spans="1:15">
      <c r="A226" s="2958" t="s">
        <v>3921</v>
      </c>
      <c r="B226" s="2958" t="s">
        <v>3921</v>
      </c>
      <c r="C226" s="2958" t="s">
        <v>3684</v>
      </c>
      <c r="D226" s="2958" t="s">
        <v>3130</v>
      </c>
      <c r="E226" s="2958" t="s">
        <v>3596</v>
      </c>
      <c r="F226" s="2958" t="s">
        <v>3922</v>
      </c>
      <c r="G226" s="2958" t="s">
        <v>3141</v>
      </c>
      <c r="H226" s="2958" t="s">
        <v>3102</v>
      </c>
      <c r="I226" s="2959">
        <v>56.71</v>
      </c>
      <c r="J226" s="2959">
        <v>31273.57</v>
      </c>
      <c r="K226" s="2959">
        <v>1773524</v>
      </c>
      <c r="L226" s="2960">
        <v>42973</v>
      </c>
      <c r="M226" s="2958" t="s">
        <v>3134</v>
      </c>
      <c r="N226" s="2958" t="s">
        <v>3687</v>
      </c>
      <c r="O226" s="2958" t="s">
        <v>3136</v>
      </c>
    </row>
    <row r="227" spans="1:15">
      <c r="A227" s="2958" t="s">
        <v>3923</v>
      </c>
      <c r="B227" s="2958" t="s">
        <v>3924</v>
      </c>
      <c r="C227" s="2958" t="s">
        <v>3684</v>
      </c>
      <c r="D227" s="2958" t="s">
        <v>3130</v>
      </c>
      <c r="E227" s="2958" t="s">
        <v>3147</v>
      </c>
      <c r="F227" s="2958" t="s">
        <v>3925</v>
      </c>
      <c r="G227" s="2958" t="s">
        <v>3133</v>
      </c>
      <c r="H227" s="2958" t="s">
        <v>3102</v>
      </c>
      <c r="I227" s="2959">
        <v>55.36</v>
      </c>
      <c r="J227" s="2959">
        <v>22483.439999999999</v>
      </c>
      <c r="K227" s="2959">
        <v>1244683</v>
      </c>
      <c r="L227" s="2960">
        <v>42973</v>
      </c>
      <c r="M227" s="2958" t="s">
        <v>3134</v>
      </c>
      <c r="N227" s="2958" t="s">
        <v>3687</v>
      </c>
      <c r="O227" s="2958" t="s">
        <v>3136</v>
      </c>
    </row>
    <row r="228" spans="1:15">
      <c r="A228" s="2958" t="s">
        <v>3926</v>
      </c>
      <c r="B228" s="2958" t="s">
        <v>3927</v>
      </c>
      <c r="C228" s="2958" t="s">
        <v>3684</v>
      </c>
      <c r="D228" s="2958" t="s">
        <v>3130</v>
      </c>
      <c r="E228" s="2958" t="s">
        <v>3620</v>
      </c>
      <c r="F228" s="2958" t="s">
        <v>3928</v>
      </c>
      <c r="G228" s="2958" t="s">
        <v>3141</v>
      </c>
      <c r="H228" s="2958" t="s">
        <v>3102</v>
      </c>
      <c r="I228" s="2959">
        <v>43.04</v>
      </c>
      <c r="J228" s="2959">
        <v>24321.58</v>
      </c>
      <c r="K228" s="2959">
        <v>1046801</v>
      </c>
      <c r="L228" s="2960">
        <v>42973</v>
      </c>
      <c r="M228" s="2958" t="s">
        <v>3134</v>
      </c>
      <c r="N228" s="2958" t="s">
        <v>3687</v>
      </c>
      <c r="O228" s="2958" t="s">
        <v>3136</v>
      </c>
    </row>
    <row r="229" spans="1:15">
      <c r="A229" s="2958" t="s">
        <v>3929</v>
      </c>
      <c r="B229" s="2958" t="s">
        <v>3930</v>
      </c>
      <c r="C229" s="2958" t="s">
        <v>3684</v>
      </c>
      <c r="D229" s="2958" t="s">
        <v>3130</v>
      </c>
      <c r="E229" s="2958" t="s">
        <v>3165</v>
      </c>
      <c r="F229" s="2958" t="s">
        <v>3931</v>
      </c>
      <c r="G229" s="2958" t="s">
        <v>3133</v>
      </c>
      <c r="H229" s="2958" t="s">
        <v>3102</v>
      </c>
      <c r="I229" s="2959">
        <v>55.36</v>
      </c>
      <c r="J229" s="2959">
        <v>23503.74</v>
      </c>
      <c r="K229" s="2959">
        <v>1301167</v>
      </c>
      <c r="L229" s="2960">
        <v>42973</v>
      </c>
      <c r="M229" s="2958" t="s">
        <v>3134</v>
      </c>
      <c r="N229" s="2958" t="s">
        <v>3687</v>
      </c>
      <c r="O229" s="2958" t="s">
        <v>3136</v>
      </c>
    </row>
  </sheetData>
  <phoneticPr fontId="144"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topLeftCell="C1" workbookViewId="0">
      <selection activeCell="O72" sqref="O72"/>
    </sheetView>
  </sheetViews>
  <sheetFormatPr defaultRowHeight="13.5"/>
  <cols>
    <col min="1" max="1" width="15.25" customWidth="1"/>
    <col min="2" max="2" width="25.125" customWidth="1"/>
    <col min="3" max="3" width="14.75" customWidth="1"/>
    <col min="4" max="4" width="11.875" customWidth="1"/>
    <col min="10" max="11" width="13.375" customWidth="1"/>
    <col min="12" max="12" width="14.625" style="2961" customWidth="1"/>
  </cols>
  <sheetData>
    <row r="1" spans="1:15">
      <c r="A1" t="s">
        <v>3112</v>
      </c>
      <c r="B1" t="s">
        <v>3113</v>
      </c>
      <c r="C1" t="s">
        <v>3114</v>
      </c>
      <c r="D1" t="s">
        <v>3115</v>
      </c>
      <c r="E1" t="s">
        <v>3116</v>
      </c>
      <c r="F1" t="s">
        <v>3117</v>
      </c>
      <c r="G1" t="s">
        <v>3118</v>
      </c>
      <c r="H1" t="s">
        <v>3119</v>
      </c>
      <c r="I1" t="s">
        <v>3120</v>
      </c>
      <c r="J1" t="s">
        <v>3121</v>
      </c>
      <c r="K1" t="s">
        <v>3122</v>
      </c>
      <c r="L1" s="2961" t="s">
        <v>3123</v>
      </c>
      <c r="M1" t="s">
        <v>3124</v>
      </c>
      <c r="N1" t="s">
        <v>3125</v>
      </c>
      <c r="O1" t="s">
        <v>3126</v>
      </c>
    </row>
    <row r="2" spans="1:15">
      <c r="A2" t="s">
        <v>3463</v>
      </c>
      <c r="B2" t="s">
        <v>3464</v>
      </c>
      <c r="C2" t="s">
        <v>3129</v>
      </c>
      <c r="D2" t="s">
        <v>3130</v>
      </c>
      <c r="E2" t="s">
        <v>3465</v>
      </c>
      <c r="F2" t="s">
        <v>3466</v>
      </c>
      <c r="G2" t="s">
        <v>3141</v>
      </c>
      <c r="H2" t="s">
        <v>3102</v>
      </c>
      <c r="I2">
        <v>49.47</v>
      </c>
      <c r="J2">
        <v>30254.6</v>
      </c>
      <c r="K2">
        <v>1496695</v>
      </c>
      <c r="L2" s="2961">
        <v>43190</v>
      </c>
      <c r="M2" t="s">
        <v>3134</v>
      </c>
      <c r="N2" t="s">
        <v>3135</v>
      </c>
      <c r="O2" t="s">
        <v>3136</v>
      </c>
    </row>
    <row r="3" spans="1:15">
      <c r="A3" t="s">
        <v>3343</v>
      </c>
      <c r="B3" t="s">
        <v>3344</v>
      </c>
      <c r="C3" t="s">
        <v>3129</v>
      </c>
      <c r="D3" t="s">
        <v>3130</v>
      </c>
      <c r="E3" t="s">
        <v>3345</v>
      </c>
      <c r="F3" t="s">
        <v>3346</v>
      </c>
      <c r="G3" t="s">
        <v>3133</v>
      </c>
      <c r="H3" t="s">
        <v>3102</v>
      </c>
      <c r="I3">
        <v>39.29</v>
      </c>
      <c r="J3">
        <v>31316.16</v>
      </c>
      <c r="K3">
        <v>1230412</v>
      </c>
      <c r="L3" s="2961">
        <v>43199</v>
      </c>
      <c r="M3" t="s">
        <v>3134</v>
      </c>
      <c r="N3" t="s">
        <v>3135</v>
      </c>
      <c r="O3" t="s">
        <v>3136</v>
      </c>
    </row>
    <row r="4" spans="1:15">
      <c r="A4" t="s">
        <v>3515</v>
      </c>
      <c r="B4" t="s">
        <v>3516</v>
      </c>
      <c r="C4" t="s">
        <v>3129</v>
      </c>
      <c r="D4" t="s">
        <v>3130</v>
      </c>
      <c r="E4" t="s">
        <v>3517</v>
      </c>
      <c r="F4" t="s">
        <v>3518</v>
      </c>
      <c r="G4" t="s">
        <v>3141</v>
      </c>
      <c r="H4" t="s">
        <v>3102</v>
      </c>
      <c r="I4">
        <v>29.46</v>
      </c>
      <c r="J4">
        <v>30563.82</v>
      </c>
      <c r="K4">
        <v>900410</v>
      </c>
      <c r="L4" s="2961">
        <v>43189</v>
      </c>
      <c r="M4" t="s">
        <v>3134</v>
      </c>
      <c r="N4" t="s">
        <v>3135</v>
      </c>
      <c r="O4" t="s">
        <v>3136</v>
      </c>
    </row>
    <row r="5" spans="1:15">
      <c r="A5" t="s">
        <v>3216</v>
      </c>
      <c r="B5" t="s">
        <v>3217</v>
      </c>
      <c r="C5" t="s">
        <v>3129</v>
      </c>
      <c r="D5" t="s">
        <v>3130</v>
      </c>
      <c r="E5" t="s">
        <v>3218</v>
      </c>
      <c r="F5" t="s">
        <v>3219</v>
      </c>
      <c r="G5" t="s">
        <v>3141</v>
      </c>
      <c r="H5" t="s">
        <v>3102</v>
      </c>
      <c r="I5">
        <v>34.71</v>
      </c>
      <c r="J5">
        <v>30084.7</v>
      </c>
      <c r="K5">
        <v>1044240</v>
      </c>
      <c r="L5" s="2961">
        <v>43209</v>
      </c>
      <c r="M5" t="s">
        <v>3134</v>
      </c>
      <c r="N5" t="s">
        <v>3135</v>
      </c>
      <c r="O5" t="s">
        <v>3136</v>
      </c>
    </row>
    <row r="6" spans="1:15">
      <c r="A6" t="s">
        <v>3339</v>
      </c>
      <c r="B6" t="s">
        <v>3340</v>
      </c>
      <c r="C6" t="s">
        <v>3129</v>
      </c>
      <c r="D6" t="s">
        <v>3130</v>
      </c>
      <c r="E6" t="s">
        <v>3341</v>
      </c>
      <c r="F6" t="s">
        <v>3342</v>
      </c>
      <c r="G6" t="s">
        <v>3133</v>
      </c>
      <c r="H6" t="s">
        <v>3102</v>
      </c>
      <c r="I6">
        <v>29.46</v>
      </c>
      <c r="J6">
        <v>30255.57</v>
      </c>
      <c r="K6">
        <v>891329</v>
      </c>
      <c r="L6" s="2961">
        <v>43200</v>
      </c>
      <c r="M6" t="s">
        <v>3134</v>
      </c>
      <c r="N6" t="s">
        <v>3135</v>
      </c>
      <c r="O6" t="s">
        <v>3136</v>
      </c>
    </row>
    <row r="7" spans="1:15">
      <c r="A7" t="s">
        <v>3351</v>
      </c>
      <c r="B7" t="s">
        <v>3352</v>
      </c>
      <c r="C7" t="s">
        <v>3129</v>
      </c>
      <c r="D7" t="s">
        <v>3130</v>
      </c>
      <c r="E7" t="s">
        <v>3353</v>
      </c>
      <c r="F7" t="s">
        <v>3354</v>
      </c>
      <c r="G7" t="s">
        <v>3141</v>
      </c>
      <c r="H7" t="s">
        <v>3102</v>
      </c>
      <c r="I7">
        <v>29.46</v>
      </c>
      <c r="J7">
        <v>30512.29</v>
      </c>
      <c r="K7">
        <v>898892</v>
      </c>
      <c r="L7" s="2961">
        <v>43199</v>
      </c>
      <c r="M7" t="s">
        <v>3134</v>
      </c>
      <c r="N7" t="s">
        <v>3135</v>
      </c>
      <c r="O7" t="s">
        <v>3136</v>
      </c>
    </row>
    <row r="8" spans="1:15">
      <c r="A8" t="s">
        <v>3295</v>
      </c>
      <c r="B8" t="s">
        <v>3296</v>
      </c>
      <c r="C8" t="s">
        <v>3129</v>
      </c>
      <c r="D8" t="s">
        <v>3130</v>
      </c>
      <c r="E8" t="s">
        <v>3297</v>
      </c>
      <c r="F8" t="s">
        <v>3298</v>
      </c>
      <c r="G8" t="s">
        <v>3133</v>
      </c>
      <c r="H8" t="s">
        <v>3102</v>
      </c>
      <c r="I8">
        <v>29.46</v>
      </c>
      <c r="J8">
        <v>29801</v>
      </c>
      <c r="K8">
        <v>877937</v>
      </c>
      <c r="L8" s="2961">
        <v>43203</v>
      </c>
      <c r="M8" t="s">
        <v>3134</v>
      </c>
      <c r="N8" t="s">
        <v>3135</v>
      </c>
      <c r="O8" t="s">
        <v>3136</v>
      </c>
    </row>
    <row r="9" spans="1:15">
      <c r="A9" t="s">
        <v>3367</v>
      </c>
      <c r="B9" t="s">
        <v>3368</v>
      </c>
      <c r="C9" t="s">
        <v>3129</v>
      </c>
      <c r="D9" t="s">
        <v>3130</v>
      </c>
      <c r="E9" t="s">
        <v>3369</v>
      </c>
      <c r="F9" t="s">
        <v>3370</v>
      </c>
      <c r="G9" t="s">
        <v>3141</v>
      </c>
      <c r="H9" t="s">
        <v>3102</v>
      </c>
      <c r="I9">
        <v>35.28</v>
      </c>
      <c r="J9">
        <v>29275.43</v>
      </c>
      <c r="K9">
        <v>1032837</v>
      </c>
      <c r="L9" s="2961">
        <v>43196</v>
      </c>
      <c r="M9" t="s">
        <v>3134</v>
      </c>
      <c r="N9" t="s">
        <v>3135</v>
      </c>
      <c r="O9" t="s">
        <v>3136</v>
      </c>
    </row>
    <row r="10" spans="1:15">
      <c r="A10" t="s">
        <v>3319</v>
      </c>
      <c r="B10" t="s">
        <v>3320</v>
      </c>
      <c r="C10" t="s">
        <v>3129</v>
      </c>
      <c r="D10" t="s">
        <v>3130</v>
      </c>
      <c r="E10" t="s">
        <v>3321</v>
      </c>
      <c r="F10" t="s">
        <v>3322</v>
      </c>
      <c r="G10" t="s">
        <v>3141</v>
      </c>
      <c r="H10" t="s">
        <v>3102</v>
      </c>
      <c r="I10">
        <v>35.28</v>
      </c>
      <c r="J10">
        <v>28090.11</v>
      </c>
      <c r="K10">
        <v>991019</v>
      </c>
      <c r="L10" s="2961">
        <v>43201</v>
      </c>
      <c r="M10" t="s">
        <v>3134</v>
      </c>
      <c r="N10" t="s">
        <v>3135</v>
      </c>
      <c r="O10" t="s">
        <v>3136</v>
      </c>
    </row>
    <row r="11" spans="1:15">
      <c r="A11" t="s">
        <v>3196</v>
      </c>
      <c r="B11" t="s">
        <v>3197</v>
      </c>
      <c r="C11" t="s">
        <v>3129</v>
      </c>
      <c r="D11" t="s">
        <v>3130</v>
      </c>
      <c r="E11" t="s">
        <v>3198</v>
      </c>
      <c r="F11" t="s">
        <v>3199</v>
      </c>
      <c r="G11" t="s">
        <v>3141</v>
      </c>
      <c r="H11" t="s">
        <v>3102</v>
      </c>
      <c r="I11">
        <v>29.46</v>
      </c>
      <c r="J11">
        <v>29326.95</v>
      </c>
      <c r="K11">
        <v>863972</v>
      </c>
      <c r="L11" s="2961">
        <v>43203</v>
      </c>
      <c r="M11" t="s">
        <v>3134</v>
      </c>
      <c r="N11" t="s">
        <v>3135</v>
      </c>
      <c r="O11" t="s">
        <v>3136</v>
      </c>
    </row>
    <row r="12" spans="1:15">
      <c r="A12" t="s">
        <v>3255</v>
      </c>
      <c r="B12" t="s">
        <v>3256</v>
      </c>
      <c r="C12" t="s">
        <v>3129</v>
      </c>
      <c r="D12" t="s">
        <v>3130</v>
      </c>
      <c r="E12" t="s">
        <v>3257</v>
      </c>
      <c r="F12" t="s">
        <v>3258</v>
      </c>
      <c r="G12" t="s">
        <v>3141</v>
      </c>
      <c r="H12" t="s">
        <v>3102</v>
      </c>
      <c r="I12">
        <v>29.46</v>
      </c>
      <c r="J12">
        <v>27595.35</v>
      </c>
      <c r="K12">
        <v>812959</v>
      </c>
      <c r="L12" s="2961">
        <v>43207</v>
      </c>
      <c r="M12" t="s">
        <v>3134</v>
      </c>
      <c r="N12" t="s">
        <v>3135</v>
      </c>
      <c r="O12" t="s">
        <v>3136</v>
      </c>
    </row>
    <row r="13" spans="1:15">
      <c r="A13" t="s">
        <v>3271</v>
      </c>
      <c r="B13" t="s">
        <v>3272</v>
      </c>
      <c r="C13" t="s">
        <v>3129</v>
      </c>
      <c r="D13" t="s">
        <v>3130</v>
      </c>
      <c r="E13" t="s">
        <v>3273</v>
      </c>
      <c r="F13" t="s">
        <v>3274</v>
      </c>
      <c r="G13" t="s">
        <v>3141</v>
      </c>
      <c r="H13" t="s">
        <v>3102</v>
      </c>
      <c r="I13">
        <v>29.46</v>
      </c>
      <c r="J13">
        <v>28265.31</v>
      </c>
      <c r="K13">
        <v>832697</v>
      </c>
      <c r="L13" s="2961">
        <v>43204</v>
      </c>
      <c r="M13" t="s">
        <v>3134</v>
      </c>
      <c r="N13" t="s">
        <v>3135</v>
      </c>
      <c r="O13" t="s">
        <v>3136</v>
      </c>
    </row>
    <row r="14" spans="1:15">
      <c r="A14" t="s">
        <v>3654</v>
      </c>
      <c r="B14" t="s">
        <v>3655</v>
      </c>
      <c r="C14" t="s">
        <v>3129</v>
      </c>
      <c r="D14" t="s">
        <v>3130</v>
      </c>
      <c r="E14" t="s">
        <v>3656</v>
      </c>
      <c r="F14" t="s">
        <v>3657</v>
      </c>
      <c r="G14" t="s">
        <v>3141</v>
      </c>
      <c r="H14" t="s">
        <v>3102</v>
      </c>
      <c r="I14">
        <v>29.46</v>
      </c>
      <c r="J14">
        <v>27904.58</v>
      </c>
      <c r="K14">
        <v>822069</v>
      </c>
      <c r="L14" s="2961">
        <v>43188</v>
      </c>
      <c r="M14" t="s">
        <v>3134</v>
      </c>
      <c r="N14" t="s">
        <v>3135</v>
      </c>
      <c r="O14" t="s">
        <v>3136</v>
      </c>
    </row>
    <row r="15" spans="1:15">
      <c r="A15" t="s">
        <v>3224</v>
      </c>
      <c r="B15" t="s">
        <v>3225</v>
      </c>
      <c r="C15" t="s">
        <v>3129</v>
      </c>
      <c r="D15" t="s">
        <v>3130</v>
      </c>
      <c r="E15" t="s">
        <v>3226</v>
      </c>
      <c r="F15" t="s">
        <v>3227</v>
      </c>
      <c r="G15" t="s">
        <v>3133</v>
      </c>
      <c r="H15" t="s">
        <v>3102</v>
      </c>
      <c r="I15">
        <v>29.46</v>
      </c>
      <c r="J15">
        <v>28105.94</v>
      </c>
      <c r="K15">
        <v>828001</v>
      </c>
      <c r="L15" s="2961">
        <v>43208</v>
      </c>
      <c r="M15" t="s">
        <v>3134</v>
      </c>
      <c r="N15" t="s">
        <v>3135</v>
      </c>
      <c r="O15" t="s">
        <v>3136</v>
      </c>
    </row>
    <row r="16" spans="1:15">
      <c r="A16" t="s">
        <v>3315</v>
      </c>
      <c r="B16" t="s">
        <v>3316</v>
      </c>
      <c r="C16" t="s">
        <v>3129</v>
      </c>
      <c r="D16" t="s">
        <v>3130</v>
      </c>
      <c r="E16" t="s">
        <v>3317</v>
      </c>
      <c r="F16" t="s">
        <v>3318</v>
      </c>
      <c r="G16" t="s">
        <v>3141</v>
      </c>
      <c r="H16" t="s">
        <v>3102</v>
      </c>
      <c r="I16">
        <v>29.46</v>
      </c>
      <c r="J16">
        <v>27904.58</v>
      </c>
      <c r="K16">
        <v>822069</v>
      </c>
      <c r="L16" s="2961">
        <v>43201</v>
      </c>
      <c r="M16" t="s">
        <v>3134</v>
      </c>
      <c r="N16" t="s">
        <v>3135</v>
      </c>
      <c r="O16" t="s">
        <v>3136</v>
      </c>
    </row>
    <row r="17" spans="1:15">
      <c r="A17" t="s">
        <v>3299</v>
      </c>
      <c r="B17" t="s">
        <v>3300</v>
      </c>
      <c r="C17" t="s">
        <v>3129</v>
      </c>
      <c r="D17" t="s">
        <v>3130</v>
      </c>
      <c r="E17" t="s">
        <v>3301</v>
      </c>
      <c r="F17" t="s">
        <v>3302</v>
      </c>
      <c r="G17" t="s">
        <v>3141</v>
      </c>
      <c r="H17" t="s">
        <v>3102</v>
      </c>
      <c r="I17">
        <v>29.46</v>
      </c>
      <c r="J17">
        <v>28523.01</v>
      </c>
      <c r="K17">
        <v>840288</v>
      </c>
      <c r="L17" s="2961">
        <v>43203</v>
      </c>
      <c r="M17" t="s">
        <v>3134</v>
      </c>
      <c r="N17" t="s">
        <v>3135</v>
      </c>
      <c r="O17" t="s">
        <v>3136</v>
      </c>
    </row>
    <row r="18" spans="1:15">
      <c r="A18" t="s">
        <v>3192</v>
      </c>
      <c r="B18" t="s">
        <v>3193</v>
      </c>
      <c r="C18" t="s">
        <v>3129</v>
      </c>
      <c r="D18" t="s">
        <v>3130</v>
      </c>
      <c r="E18" t="s">
        <v>3194</v>
      </c>
      <c r="F18" t="s">
        <v>3195</v>
      </c>
      <c r="G18" t="s">
        <v>3141</v>
      </c>
      <c r="H18" t="s">
        <v>3102</v>
      </c>
      <c r="I18">
        <v>29.46</v>
      </c>
      <c r="J18">
        <v>29141.45</v>
      </c>
      <c r="K18">
        <v>858507</v>
      </c>
      <c r="L18" s="2961">
        <v>43207</v>
      </c>
      <c r="M18" t="s">
        <v>3134</v>
      </c>
      <c r="N18" t="s">
        <v>3135</v>
      </c>
      <c r="O18" t="s">
        <v>3136</v>
      </c>
    </row>
    <row r="19" spans="1:15">
      <c r="A19" t="s">
        <v>3212</v>
      </c>
      <c r="B19" t="s">
        <v>3213</v>
      </c>
      <c r="C19" t="s">
        <v>3129</v>
      </c>
      <c r="D19" t="s">
        <v>3130</v>
      </c>
      <c r="E19" t="s">
        <v>3214</v>
      </c>
      <c r="F19" t="s">
        <v>3215</v>
      </c>
      <c r="G19" t="s">
        <v>3133</v>
      </c>
      <c r="H19" t="s">
        <v>3102</v>
      </c>
      <c r="I19">
        <v>29.46</v>
      </c>
      <c r="J19">
        <v>29164.66</v>
      </c>
      <c r="K19">
        <v>859191</v>
      </c>
      <c r="L19" s="2961">
        <v>43209</v>
      </c>
      <c r="M19" t="s">
        <v>3134</v>
      </c>
      <c r="N19" t="s">
        <v>3135</v>
      </c>
      <c r="O19" t="s">
        <v>3136</v>
      </c>
    </row>
    <row r="20" spans="1:15">
      <c r="A20" t="s">
        <v>3239</v>
      </c>
      <c r="B20" t="s">
        <v>3240</v>
      </c>
      <c r="C20" t="s">
        <v>3129</v>
      </c>
      <c r="D20" t="s">
        <v>3130</v>
      </c>
      <c r="E20" t="s">
        <v>3241</v>
      </c>
      <c r="F20" t="s">
        <v>3242</v>
      </c>
      <c r="G20" t="s">
        <v>3141</v>
      </c>
      <c r="H20" t="s">
        <v>3102</v>
      </c>
      <c r="I20">
        <v>29.04</v>
      </c>
      <c r="J20">
        <v>30481.37</v>
      </c>
      <c r="K20">
        <v>885179</v>
      </c>
      <c r="L20" s="2961">
        <v>43207</v>
      </c>
      <c r="M20" t="s">
        <v>3134</v>
      </c>
      <c r="N20" t="s">
        <v>3135</v>
      </c>
      <c r="O20" t="s">
        <v>3136</v>
      </c>
    </row>
    <row r="21" spans="1:15">
      <c r="A21" t="s">
        <v>3267</v>
      </c>
      <c r="B21" t="s">
        <v>3268</v>
      </c>
      <c r="C21" t="s">
        <v>3129</v>
      </c>
      <c r="D21" t="s">
        <v>3130</v>
      </c>
      <c r="E21" t="s">
        <v>3269</v>
      </c>
      <c r="F21" t="s">
        <v>3270</v>
      </c>
      <c r="G21" t="s">
        <v>3141</v>
      </c>
      <c r="H21" t="s">
        <v>3102</v>
      </c>
      <c r="I21">
        <v>33.729999999999997</v>
      </c>
      <c r="J21">
        <v>35944.17</v>
      </c>
      <c r="K21">
        <v>1212397</v>
      </c>
      <c r="L21" s="2961">
        <v>43204</v>
      </c>
      <c r="M21" t="s">
        <v>3134</v>
      </c>
      <c r="N21" t="s">
        <v>3135</v>
      </c>
      <c r="O21" t="s">
        <v>3136</v>
      </c>
    </row>
    <row r="22" spans="1:15">
      <c r="A22" t="s">
        <v>3171</v>
      </c>
      <c r="B22" t="s">
        <v>3172</v>
      </c>
      <c r="C22" t="s">
        <v>3129</v>
      </c>
      <c r="D22" t="s">
        <v>3130</v>
      </c>
      <c r="E22" t="s">
        <v>3173</v>
      </c>
      <c r="F22" t="s">
        <v>3170</v>
      </c>
      <c r="G22" t="s">
        <v>3141</v>
      </c>
      <c r="H22" t="s">
        <v>3102</v>
      </c>
      <c r="I22">
        <v>55.05</v>
      </c>
      <c r="J22">
        <v>45096.89</v>
      </c>
      <c r="K22">
        <v>2482584</v>
      </c>
      <c r="L22" s="2961">
        <v>43220</v>
      </c>
      <c r="M22" t="s">
        <v>3134</v>
      </c>
      <c r="N22" t="s">
        <v>3135</v>
      </c>
      <c r="O22" t="s">
        <v>3136</v>
      </c>
    </row>
    <row r="23" spans="1:15">
      <c r="A23" t="s">
        <v>3167</v>
      </c>
      <c r="B23" t="s">
        <v>3168</v>
      </c>
      <c r="C23" t="s">
        <v>3129</v>
      </c>
      <c r="D23" t="s">
        <v>3130</v>
      </c>
      <c r="E23" t="s">
        <v>3169</v>
      </c>
      <c r="F23" t="s">
        <v>3170</v>
      </c>
      <c r="G23" t="s">
        <v>3141</v>
      </c>
      <c r="H23" t="s">
        <v>3102</v>
      </c>
      <c r="I23">
        <v>47.58</v>
      </c>
      <c r="J23">
        <v>39324.879999999997</v>
      </c>
      <c r="K23">
        <v>1871078</v>
      </c>
      <c r="L23" s="2961">
        <v>43220</v>
      </c>
      <c r="M23" t="s">
        <v>3134</v>
      </c>
      <c r="N23" t="s">
        <v>3135</v>
      </c>
      <c r="O23" t="s">
        <v>3136</v>
      </c>
    </row>
    <row r="24" spans="1:15">
      <c r="A24" t="s">
        <v>3375</v>
      </c>
      <c r="B24" t="s">
        <v>3376</v>
      </c>
      <c r="C24" t="s">
        <v>3129</v>
      </c>
      <c r="D24" t="s">
        <v>3130</v>
      </c>
      <c r="E24" t="s">
        <v>3377</v>
      </c>
      <c r="F24" t="s">
        <v>3378</v>
      </c>
      <c r="G24" t="s">
        <v>3141</v>
      </c>
      <c r="H24" t="s">
        <v>3102</v>
      </c>
      <c r="I24">
        <v>22.42</v>
      </c>
      <c r="J24">
        <v>37799.46</v>
      </c>
      <c r="K24">
        <v>847464</v>
      </c>
      <c r="L24" s="2961">
        <v>43196</v>
      </c>
      <c r="M24" t="s">
        <v>3134</v>
      </c>
      <c r="N24" t="s">
        <v>3135</v>
      </c>
      <c r="O24" t="s">
        <v>3136</v>
      </c>
    </row>
    <row r="25" spans="1:15">
      <c r="A25" t="s">
        <v>3127</v>
      </c>
      <c r="B25" t="s">
        <v>3128</v>
      </c>
      <c r="C25" t="s">
        <v>3129</v>
      </c>
      <c r="D25" t="s">
        <v>3130</v>
      </c>
      <c r="E25" t="s">
        <v>3131</v>
      </c>
      <c r="F25" t="s">
        <v>3132</v>
      </c>
      <c r="G25" t="s">
        <v>3133</v>
      </c>
      <c r="H25" t="s">
        <v>3102</v>
      </c>
      <c r="I25">
        <v>25.57</v>
      </c>
      <c r="J25">
        <v>21735.94</v>
      </c>
      <c r="K25">
        <v>555788</v>
      </c>
      <c r="L25" s="2961">
        <v>43242</v>
      </c>
      <c r="M25" t="s">
        <v>3134</v>
      </c>
      <c r="N25" t="s">
        <v>3135</v>
      </c>
      <c r="O25" t="s">
        <v>3136</v>
      </c>
    </row>
    <row r="26" spans="1:15">
      <c r="A26" t="s">
        <v>3586</v>
      </c>
      <c r="B26" t="s">
        <v>3587</v>
      </c>
      <c r="C26" t="s">
        <v>3129</v>
      </c>
      <c r="D26" t="s">
        <v>3130</v>
      </c>
      <c r="E26" t="s">
        <v>3588</v>
      </c>
      <c r="F26" t="s">
        <v>3589</v>
      </c>
      <c r="G26" t="s">
        <v>3141</v>
      </c>
      <c r="H26" t="s">
        <v>3102</v>
      </c>
      <c r="I26">
        <v>25.57</v>
      </c>
      <c r="J26">
        <v>28110.720000000001</v>
      </c>
      <c r="K26">
        <v>718791</v>
      </c>
      <c r="L26" s="2961">
        <v>43188</v>
      </c>
      <c r="M26" t="s">
        <v>3134</v>
      </c>
      <c r="N26" t="s">
        <v>3135</v>
      </c>
      <c r="O26" t="s">
        <v>3136</v>
      </c>
    </row>
    <row r="27" spans="1:15">
      <c r="A27" t="s">
        <v>3571</v>
      </c>
      <c r="B27" t="s">
        <v>3572</v>
      </c>
      <c r="C27" t="s">
        <v>3129</v>
      </c>
      <c r="D27" t="s">
        <v>3130</v>
      </c>
      <c r="E27" t="s">
        <v>3573</v>
      </c>
      <c r="F27" t="s">
        <v>3574</v>
      </c>
      <c r="G27" t="s">
        <v>3133</v>
      </c>
      <c r="H27" t="s">
        <v>3102</v>
      </c>
      <c r="I27">
        <v>25.57</v>
      </c>
      <c r="J27">
        <v>28457.61</v>
      </c>
      <c r="K27">
        <v>727661</v>
      </c>
      <c r="L27" s="2961">
        <v>43188</v>
      </c>
      <c r="M27" t="s">
        <v>3134</v>
      </c>
      <c r="N27" t="s">
        <v>3135</v>
      </c>
      <c r="O27" t="s">
        <v>3136</v>
      </c>
    </row>
    <row r="28" spans="1:15">
      <c r="A28" t="s">
        <v>3535</v>
      </c>
      <c r="B28" t="s">
        <v>3536</v>
      </c>
      <c r="C28" t="s">
        <v>3129</v>
      </c>
      <c r="D28" t="s">
        <v>3130</v>
      </c>
      <c r="E28" t="s">
        <v>3537</v>
      </c>
      <c r="F28" t="s">
        <v>3538</v>
      </c>
      <c r="G28" t="s">
        <v>3141</v>
      </c>
      <c r="H28" t="s">
        <v>3102</v>
      </c>
      <c r="I28">
        <v>25.57</v>
      </c>
      <c r="J28">
        <v>26461.599999999999</v>
      </c>
      <c r="K28">
        <v>676623</v>
      </c>
      <c r="L28" s="2961">
        <v>43190</v>
      </c>
      <c r="M28" t="s">
        <v>3134</v>
      </c>
      <c r="N28" t="s">
        <v>3135</v>
      </c>
      <c r="O28" t="s">
        <v>3136</v>
      </c>
    </row>
    <row r="29" spans="1:15">
      <c r="A29" t="s">
        <v>3614</v>
      </c>
      <c r="B29" t="s">
        <v>3615</v>
      </c>
      <c r="C29" t="s">
        <v>3129</v>
      </c>
      <c r="D29" t="s">
        <v>3130</v>
      </c>
      <c r="E29" t="s">
        <v>3616</v>
      </c>
      <c r="F29" t="s">
        <v>3617</v>
      </c>
      <c r="G29" t="s">
        <v>3141</v>
      </c>
      <c r="H29" t="s">
        <v>3102</v>
      </c>
      <c r="I29">
        <v>25.57</v>
      </c>
      <c r="J29">
        <v>23503.4</v>
      </c>
      <c r="K29">
        <v>600982</v>
      </c>
      <c r="L29" s="2961">
        <v>43188</v>
      </c>
      <c r="M29" t="s">
        <v>3134</v>
      </c>
      <c r="N29" t="s">
        <v>3135</v>
      </c>
      <c r="O29" t="s">
        <v>3136</v>
      </c>
    </row>
    <row r="30" spans="1:15">
      <c r="A30" t="s">
        <v>3590</v>
      </c>
      <c r="B30" t="s">
        <v>3591</v>
      </c>
      <c r="C30" t="s">
        <v>3129</v>
      </c>
      <c r="D30" t="s">
        <v>3130</v>
      </c>
      <c r="E30" t="s">
        <v>3592</v>
      </c>
      <c r="F30" t="s">
        <v>3593</v>
      </c>
      <c r="G30" t="s">
        <v>3133</v>
      </c>
      <c r="H30" t="s">
        <v>3102</v>
      </c>
      <c r="I30">
        <v>25.57</v>
      </c>
      <c r="J30">
        <v>22629.33</v>
      </c>
      <c r="K30">
        <v>578632</v>
      </c>
      <c r="L30" s="2961">
        <v>43188</v>
      </c>
      <c r="M30" t="s">
        <v>3134</v>
      </c>
      <c r="N30" t="s">
        <v>3135</v>
      </c>
      <c r="O30" t="s">
        <v>3136</v>
      </c>
    </row>
    <row r="31" spans="1:15">
      <c r="A31" t="s">
        <v>3547</v>
      </c>
      <c r="B31" t="s">
        <v>3548</v>
      </c>
      <c r="C31" t="s">
        <v>3129</v>
      </c>
      <c r="D31" t="s">
        <v>3130</v>
      </c>
      <c r="E31" t="s">
        <v>3549</v>
      </c>
      <c r="F31" t="s">
        <v>3550</v>
      </c>
      <c r="G31" t="s">
        <v>3141</v>
      </c>
      <c r="H31" t="s">
        <v>3102</v>
      </c>
      <c r="I31">
        <v>25.57</v>
      </c>
      <c r="J31">
        <v>26286.35</v>
      </c>
      <c r="K31">
        <v>672142</v>
      </c>
      <c r="L31" s="2961">
        <v>43189</v>
      </c>
      <c r="M31" t="s">
        <v>3134</v>
      </c>
      <c r="N31" t="s">
        <v>3135</v>
      </c>
      <c r="O31" t="s">
        <v>3136</v>
      </c>
    </row>
    <row r="32" spans="1:15">
      <c r="A32" t="s">
        <v>3594</v>
      </c>
      <c r="B32" t="s">
        <v>3595</v>
      </c>
      <c r="C32" t="s">
        <v>3129</v>
      </c>
      <c r="D32" t="s">
        <v>3130</v>
      </c>
      <c r="E32" t="s">
        <v>3596</v>
      </c>
      <c r="F32" t="s">
        <v>3597</v>
      </c>
      <c r="G32" t="s">
        <v>3141</v>
      </c>
      <c r="H32" t="s">
        <v>3102</v>
      </c>
      <c r="I32">
        <v>25.57</v>
      </c>
      <c r="J32">
        <v>27368.6</v>
      </c>
      <c r="K32">
        <v>699815</v>
      </c>
      <c r="L32" s="2961">
        <v>43188</v>
      </c>
      <c r="M32" t="s">
        <v>3134</v>
      </c>
      <c r="N32" t="s">
        <v>3135</v>
      </c>
      <c r="O32" t="s">
        <v>3136</v>
      </c>
    </row>
    <row r="33" spans="1:15">
      <c r="A33" t="s">
        <v>3638</v>
      </c>
      <c r="B33" t="s">
        <v>3639</v>
      </c>
      <c r="C33" t="s">
        <v>3129</v>
      </c>
      <c r="D33" t="s">
        <v>3130</v>
      </c>
      <c r="E33" t="s">
        <v>3640</v>
      </c>
      <c r="F33" t="s">
        <v>3641</v>
      </c>
      <c r="G33" t="s">
        <v>3133</v>
      </c>
      <c r="H33" t="s">
        <v>3102</v>
      </c>
      <c r="I33">
        <v>25.57</v>
      </c>
      <c r="J33">
        <v>31518.19</v>
      </c>
      <c r="K33">
        <v>805920</v>
      </c>
      <c r="L33" s="2961">
        <v>43188</v>
      </c>
      <c r="M33" t="s">
        <v>3134</v>
      </c>
      <c r="N33" t="s">
        <v>3135</v>
      </c>
      <c r="O33" t="s">
        <v>3136</v>
      </c>
    </row>
    <row r="34" spans="1:15">
      <c r="A34" t="s">
        <v>3606</v>
      </c>
      <c r="B34" t="s">
        <v>3607</v>
      </c>
      <c r="C34" t="s">
        <v>3129</v>
      </c>
      <c r="D34" t="s">
        <v>3130</v>
      </c>
      <c r="E34" t="s">
        <v>3608</v>
      </c>
      <c r="F34" t="s">
        <v>3609</v>
      </c>
      <c r="G34" t="s">
        <v>3133</v>
      </c>
      <c r="H34" t="s">
        <v>3102</v>
      </c>
      <c r="I34">
        <v>30.62</v>
      </c>
      <c r="J34">
        <v>30356.6</v>
      </c>
      <c r="K34">
        <v>929519</v>
      </c>
      <c r="L34" s="2961">
        <v>43188</v>
      </c>
      <c r="M34" t="s">
        <v>3134</v>
      </c>
      <c r="N34" t="s">
        <v>3135</v>
      </c>
      <c r="O34" t="s">
        <v>3136</v>
      </c>
    </row>
    <row r="35" spans="1:15">
      <c r="A35" t="s">
        <v>3563</v>
      </c>
      <c r="B35" t="s">
        <v>3564</v>
      </c>
      <c r="C35" t="s">
        <v>3129</v>
      </c>
      <c r="D35" t="s">
        <v>3130</v>
      </c>
      <c r="E35" t="s">
        <v>3565</v>
      </c>
      <c r="F35" t="s">
        <v>3566</v>
      </c>
      <c r="G35" t="s">
        <v>3141</v>
      </c>
      <c r="H35" t="s">
        <v>3102</v>
      </c>
      <c r="I35">
        <v>30.62</v>
      </c>
      <c r="J35">
        <v>31233.77</v>
      </c>
      <c r="K35">
        <v>956378</v>
      </c>
      <c r="L35" s="2961">
        <v>43188</v>
      </c>
      <c r="M35" t="s">
        <v>3134</v>
      </c>
      <c r="N35" t="s">
        <v>3135</v>
      </c>
      <c r="O35" t="s">
        <v>3136</v>
      </c>
    </row>
    <row r="36" spans="1:15">
      <c r="A36" t="s">
        <v>3523</v>
      </c>
      <c r="B36" t="s">
        <v>3524</v>
      </c>
      <c r="C36" t="s">
        <v>3129</v>
      </c>
      <c r="D36" t="s">
        <v>3130</v>
      </c>
      <c r="E36" t="s">
        <v>3525</v>
      </c>
      <c r="F36" t="s">
        <v>3526</v>
      </c>
      <c r="G36" t="s">
        <v>3141</v>
      </c>
      <c r="H36" t="s">
        <v>3102</v>
      </c>
      <c r="I36">
        <v>25.57</v>
      </c>
      <c r="J36">
        <v>30615.33</v>
      </c>
      <c r="K36">
        <v>782834</v>
      </c>
      <c r="L36" s="2961">
        <v>43190</v>
      </c>
      <c r="M36" t="s">
        <v>3134</v>
      </c>
      <c r="N36" t="s">
        <v>3135</v>
      </c>
      <c r="O36" t="s">
        <v>3136</v>
      </c>
    </row>
    <row r="37" spans="1:15">
      <c r="A37" t="s">
        <v>3178</v>
      </c>
      <c r="B37" t="s">
        <v>3179</v>
      </c>
      <c r="C37" t="s">
        <v>3129</v>
      </c>
      <c r="D37" t="s">
        <v>3130</v>
      </c>
      <c r="E37" t="s">
        <v>3180</v>
      </c>
      <c r="F37" t="s">
        <v>3177</v>
      </c>
      <c r="G37" t="s">
        <v>3133</v>
      </c>
      <c r="H37" t="s">
        <v>3102</v>
      </c>
      <c r="I37">
        <v>25.57</v>
      </c>
      <c r="J37">
        <v>30407.08</v>
      </c>
      <c r="K37">
        <v>777509</v>
      </c>
      <c r="L37" s="2961">
        <v>43217</v>
      </c>
      <c r="M37" t="s">
        <v>3134</v>
      </c>
      <c r="N37" t="s">
        <v>3135</v>
      </c>
      <c r="O37" t="s">
        <v>3136</v>
      </c>
    </row>
    <row r="38" spans="1:15">
      <c r="A38" t="s">
        <v>3174</v>
      </c>
      <c r="B38" t="s">
        <v>3175</v>
      </c>
      <c r="C38" t="s">
        <v>3129</v>
      </c>
      <c r="D38" t="s">
        <v>3130</v>
      </c>
      <c r="E38" t="s">
        <v>3176</v>
      </c>
      <c r="F38" t="s">
        <v>3177</v>
      </c>
      <c r="G38" t="s">
        <v>3133</v>
      </c>
      <c r="H38" t="s">
        <v>3102</v>
      </c>
      <c r="I38">
        <v>25.57</v>
      </c>
      <c r="J38">
        <v>30255.57</v>
      </c>
      <c r="K38">
        <v>773635</v>
      </c>
      <c r="L38" s="2961">
        <v>43217</v>
      </c>
      <c r="M38" t="s">
        <v>3134</v>
      </c>
      <c r="N38" t="s">
        <v>3135</v>
      </c>
      <c r="O38" t="s">
        <v>3136</v>
      </c>
    </row>
    <row r="39" spans="1:15">
      <c r="A39" t="s">
        <v>3551</v>
      </c>
      <c r="B39" t="s">
        <v>3552</v>
      </c>
      <c r="C39" t="s">
        <v>3129</v>
      </c>
      <c r="D39" t="s">
        <v>3130</v>
      </c>
      <c r="E39" t="s">
        <v>3553</v>
      </c>
      <c r="F39" t="s">
        <v>3554</v>
      </c>
      <c r="G39" t="s">
        <v>3141</v>
      </c>
      <c r="H39" t="s">
        <v>3102</v>
      </c>
      <c r="I39">
        <v>25.57</v>
      </c>
      <c r="J39">
        <v>30563.82</v>
      </c>
      <c r="K39">
        <v>781517</v>
      </c>
      <c r="L39" s="2961">
        <v>43189</v>
      </c>
      <c r="M39" t="s">
        <v>3134</v>
      </c>
      <c r="N39" t="s">
        <v>3135</v>
      </c>
      <c r="O39" t="s">
        <v>3136</v>
      </c>
    </row>
    <row r="40" spans="1:15">
      <c r="A40" t="s">
        <v>3618</v>
      </c>
      <c r="B40" t="s">
        <v>3619</v>
      </c>
      <c r="C40" t="s">
        <v>3129</v>
      </c>
      <c r="D40" t="s">
        <v>3130</v>
      </c>
      <c r="E40" t="s">
        <v>3620</v>
      </c>
      <c r="F40" t="s">
        <v>3621</v>
      </c>
      <c r="G40" t="s">
        <v>3133</v>
      </c>
      <c r="H40" t="s">
        <v>3102</v>
      </c>
      <c r="I40">
        <v>34.090000000000003</v>
      </c>
      <c r="J40">
        <v>30811.119999999999</v>
      </c>
      <c r="K40">
        <v>1050351</v>
      </c>
      <c r="L40" s="2961">
        <v>43189</v>
      </c>
      <c r="M40" t="s">
        <v>3134</v>
      </c>
      <c r="N40" t="s">
        <v>3135</v>
      </c>
      <c r="O40" t="s">
        <v>3136</v>
      </c>
    </row>
    <row r="41" spans="1:15">
      <c r="A41" t="s">
        <v>3435</v>
      </c>
      <c r="B41" t="s">
        <v>3436</v>
      </c>
      <c r="C41" t="s">
        <v>3129</v>
      </c>
      <c r="D41" t="s">
        <v>3130</v>
      </c>
      <c r="E41" t="s">
        <v>3437</v>
      </c>
      <c r="F41" t="s">
        <v>3438</v>
      </c>
      <c r="G41" t="s">
        <v>3133</v>
      </c>
      <c r="H41" t="s">
        <v>3102</v>
      </c>
      <c r="I41">
        <v>42.92</v>
      </c>
      <c r="J41">
        <v>30154.57</v>
      </c>
      <c r="K41">
        <v>1294234</v>
      </c>
      <c r="L41" s="2961">
        <v>43190</v>
      </c>
      <c r="M41" t="s">
        <v>3134</v>
      </c>
      <c r="N41" t="s">
        <v>3135</v>
      </c>
      <c r="O41" t="s">
        <v>3136</v>
      </c>
    </row>
    <row r="42" spans="1:15">
      <c r="A42" t="s">
        <v>3503</v>
      </c>
      <c r="B42" t="s">
        <v>3504</v>
      </c>
      <c r="C42" t="s">
        <v>3129</v>
      </c>
      <c r="D42" t="s">
        <v>3130</v>
      </c>
      <c r="E42" t="s">
        <v>3505</v>
      </c>
      <c r="F42" t="s">
        <v>3506</v>
      </c>
      <c r="G42" t="s">
        <v>3141</v>
      </c>
      <c r="H42" t="s">
        <v>3102</v>
      </c>
      <c r="I42">
        <v>62.59</v>
      </c>
      <c r="J42">
        <v>33655.949999999997</v>
      </c>
      <c r="K42">
        <v>2106526</v>
      </c>
      <c r="L42" s="2961">
        <v>43190</v>
      </c>
      <c r="M42" t="s">
        <v>3134</v>
      </c>
      <c r="N42" t="s">
        <v>3135</v>
      </c>
      <c r="O42" t="s">
        <v>3136</v>
      </c>
    </row>
    <row r="43" spans="1:15">
      <c r="A43" t="s">
        <v>3279</v>
      </c>
      <c r="B43" t="s">
        <v>3280</v>
      </c>
      <c r="C43" t="s">
        <v>3129</v>
      </c>
      <c r="D43" t="s">
        <v>3130</v>
      </c>
      <c r="E43" t="s">
        <v>3281</v>
      </c>
      <c r="F43" t="s">
        <v>3282</v>
      </c>
      <c r="G43" t="s">
        <v>3141</v>
      </c>
      <c r="H43" t="s">
        <v>3102</v>
      </c>
      <c r="I43">
        <v>58.74</v>
      </c>
      <c r="J43">
        <v>33140.6</v>
      </c>
      <c r="K43">
        <v>1946679</v>
      </c>
      <c r="L43" s="2961">
        <v>43203</v>
      </c>
      <c r="M43" t="s">
        <v>3134</v>
      </c>
      <c r="N43" t="s">
        <v>3135</v>
      </c>
      <c r="O43" t="s">
        <v>3136</v>
      </c>
    </row>
    <row r="44" spans="1:15">
      <c r="A44" t="s">
        <v>3303</v>
      </c>
      <c r="B44" t="s">
        <v>3304</v>
      </c>
      <c r="C44" t="s">
        <v>3129</v>
      </c>
      <c r="D44" t="s">
        <v>3130</v>
      </c>
      <c r="E44" t="s">
        <v>3305</v>
      </c>
      <c r="F44" t="s">
        <v>3306</v>
      </c>
      <c r="G44" t="s">
        <v>3141</v>
      </c>
      <c r="H44" t="s">
        <v>3102</v>
      </c>
      <c r="I44">
        <v>48.95</v>
      </c>
      <c r="J44">
        <v>32893.24</v>
      </c>
      <c r="K44">
        <v>1610124</v>
      </c>
      <c r="L44" s="2961">
        <v>43203</v>
      </c>
      <c r="M44" t="s">
        <v>3134</v>
      </c>
      <c r="N44" t="s">
        <v>3135</v>
      </c>
      <c r="O44" t="s">
        <v>3136</v>
      </c>
    </row>
    <row r="45" spans="1:15">
      <c r="A45" t="s">
        <v>3145</v>
      </c>
      <c r="B45" t="s">
        <v>3146</v>
      </c>
      <c r="C45" t="s">
        <v>3129</v>
      </c>
      <c r="D45" t="s">
        <v>3130</v>
      </c>
      <c r="E45" t="s">
        <v>3147</v>
      </c>
      <c r="F45" t="s">
        <v>3148</v>
      </c>
      <c r="G45" t="s">
        <v>3141</v>
      </c>
      <c r="H45" t="s">
        <v>3102</v>
      </c>
      <c r="I45">
        <v>35.4</v>
      </c>
      <c r="J45">
        <v>31388.39</v>
      </c>
      <c r="K45">
        <v>1111149</v>
      </c>
      <c r="L45" s="2961">
        <v>43239</v>
      </c>
      <c r="M45" t="s">
        <v>3134</v>
      </c>
      <c r="N45" t="s">
        <v>3135</v>
      </c>
      <c r="O45" t="s">
        <v>3136</v>
      </c>
    </row>
    <row r="46" spans="1:15">
      <c r="A46" t="s">
        <v>3163</v>
      </c>
      <c r="B46" t="s">
        <v>3164</v>
      </c>
      <c r="C46" t="s">
        <v>3129</v>
      </c>
      <c r="D46" t="s">
        <v>3130</v>
      </c>
      <c r="E46" t="s">
        <v>3165</v>
      </c>
      <c r="F46" t="s">
        <v>3166</v>
      </c>
      <c r="G46" t="s">
        <v>3141</v>
      </c>
      <c r="H46" t="s">
        <v>3102</v>
      </c>
      <c r="I46">
        <v>35.32</v>
      </c>
      <c r="J46">
        <v>30976.1</v>
      </c>
      <c r="K46">
        <v>1094076</v>
      </c>
      <c r="L46" s="2961">
        <v>43222</v>
      </c>
      <c r="M46" t="s">
        <v>3134</v>
      </c>
      <c r="N46" t="s">
        <v>3135</v>
      </c>
      <c r="O46" t="s">
        <v>3136</v>
      </c>
    </row>
    <row r="47" spans="1:15">
      <c r="A47" t="s">
        <v>3287</v>
      </c>
      <c r="B47" t="s">
        <v>3288</v>
      </c>
      <c r="C47" t="s">
        <v>3129</v>
      </c>
      <c r="D47" t="s">
        <v>3130</v>
      </c>
      <c r="E47" t="s">
        <v>3289</v>
      </c>
      <c r="F47" t="s">
        <v>3290</v>
      </c>
      <c r="G47" t="s">
        <v>3133</v>
      </c>
      <c r="H47" t="s">
        <v>3102</v>
      </c>
      <c r="I47">
        <v>35.32</v>
      </c>
      <c r="J47">
        <v>31013.14</v>
      </c>
      <c r="K47">
        <v>1095384</v>
      </c>
      <c r="L47" s="2961">
        <v>43203</v>
      </c>
      <c r="M47" t="s">
        <v>3134</v>
      </c>
      <c r="N47" t="s">
        <v>3135</v>
      </c>
      <c r="O47" t="s">
        <v>3136</v>
      </c>
    </row>
    <row r="48" spans="1:15">
      <c r="A48" t="s">
        <v>3291</v>
      </c>
      <c r="B48" t="s">
        <v>3292</v>
      </c>
      <c r="C48" t="s">
        <v>3129</v>
      </c>
      <c r="D48" t="s">
        <v>3130</v>
      </c>
      <c r="E48" t="s">
        <v>3293</v>
      </c>
      <c r="F48" t="s">
        <v>3294</v>
      </c>
      <c r="G48" t="s">
        <v>3133</v>
      </c>
      <c r="H48" t="s">
        <v>3102</v>
      </c>
      <c r="I48">
        <v>35.32</v>
      </c>
      <c r="J48">
        <v>30912.15</v>
      </c>
      <c r="K48">
        <v>1091817</v>
      </c>
      <c r="L48" s="2961">
        <v>43203</v>
      </c>
      <c r="M48" t="s">
        <v>3134</v>
      </c>
      <c r="N48" t="s">
        <v>3135</v>
      </c>
      <c r="O48" t="s">
        <v>3136</v>
      </c>
    </row>
    <row r="49" spans="1:15">
      <c r="A49" t="s">
        <v>3323</v>
      </c>
      <c r="B49" t="s">
        <v>3324</v>
      </c>
      <c r="C49" t="s">
        <v>3129</v>
      </c>
      <c r="D49" t="s">
        <v>3130</v>
      </c>
      <c r="E49" t="s">
        <v>3325</v>
      </c>
      <c r="F49" t="s">
        <v>3326</v>
      </c>
      <c r="G49" t="s">
        <v>3141</v>
      </c>
      <c r="H49" t="s">
        <v>3102</v>
      </c>
      <c r="I49">
        <v>35.32</v>
      </c>
      <c r="J49">
        <v>31749.15</v>
      </c>
      <c r="K49">
        <v>1121380</v>
      </c>
      <c r="L49" s="2961">
        <v>43201</v>
      </c>
      <c r="M49" t="s">
        <v>3134</v>
      </c>
      <c r="N49" t="s">
        <v>3135</v>
      </c>
      <c r="O49" t="s">
        <v>3136</v>
      </c>
    </row>
    <row r="50" spans="1:15">
      <c r="A50" t="s">
        <v>3283</v>
      </c>
      <c r="B50" t="s">
        <v>3284</v>
      </c>
      <c r="C50" t="s">
        <v>3129</v>
      </c>
      <c r="D50" t="s">
        <v>3130</v>
      </c>
      <c r="E50" t="s">
        <v>3285</v>
      </c>
      <c r="F50" t="s">
        <v>3286</v>
      </c>
      <c r="G50" t="s">
        <v>3133</v>
      </c>
      <c r="H50" t="s">
        <v>3102</v>
      </c>
      <c r="I50">
        <v>42.29</v>
      </c>
      <c r="J50">
        <v>31619.200000000001</v>
      </c>
      <c r="K50">
        <v>1337176</v>
      </c>
      <c r="L50" s="2961">
        <v>43203</v>
      </c>
      <c r="M50" t="s">
        <v>3134</v>
      </c>
      <c r="N50" t="s">
        <v>3135</v>
      </c>
      <c r="O50" t="s">
        <v>3136</v>
      </c>
    </row>
    <row r="51" spans="1:15">
      <c r="A51" t="s">
        <v>3327</v>
      </c>
      <c r="B51" t="s">
        <v>3328</v>
      </c>
      <c r="C51" t="s">
        <v>3129</v>
      </c>
      <c r="D51" t="s">
        <v>3130</v>
      </c>
      <c r="E51" t="s">
        <v>3329</v>
      </c>
      <c r="F51" t="s">
        <v>3330</v>
      </c>
      <c r="G51" t="s">
        <v>3141</v>
      </c>
      <c r="H51" t="s">
        <v>3102</v>
      </c>
      <c r="I51">
        <v>42.29</v>
      </c>
      <c r="J51">
        <v>30976.09</v>
      </c>
      <c r="K51">
        <v>1309979</v>
      </c>
      <c r="L51" s="2961">
        <v>43201</v>
      </c>
      <c r="M51" t="s">
        <v>3134</v>
      </c>
      <c r="N51" t="s">
        <v>3135</v>
      </c>
      <c r="O51" t="s">
        <v>3136</v>
      </c>
    </row>
    <row r="52" spans="1:15">
      <c r="A52" t="s">
        <v>3259</v>
      </c>
      <c r="B52" t="s">
        <v>3260</v>
      </c>
      <c r="C52" t="s">
        <v>3129</v>
      </c>
      <c r="D52" t="s">
        <v>3130</v>
      </c>
      <c r="E52" t="s">
        <v>3261</v>
      </c>
      <c r="F52" t="s">
        <v>3262</v>
      </c>
      <c r="G52" t="s">
        <v>3133</v>
      </c>
      <c r="H52" t="s">
        <v>3102</v>
      </c>
      <c r="I52">
        <v>35.32</v>
      </c>
      <c r="J52">
        <v>31518.2</v>
      </c>
      <c r="K52">
        <v>1113223</v>
      </c>
      <c r="L52" s="2961">
        <v>43205</v>
      </c>
      <c r="M52" t="s">
        <v>3134</v>
      </c>
      <c r="N52" t="s">
        <v>3135</v>
      </c>
      <c r="O52" t="s">
        <v>3136</v>
      </c>
    </row>
    <row r="53" spans="1:15">
      <c r="A53" t="s">
        <v>3387</v>
      </c>
      <c r="B53" t="s">
        <v>3388</v>
      </c>
      <c r="C53" t="s">
        <v>3129</v>
      </c>
      <c r="D53" t="s">
        <v>3130</v>
      </c>
      <c r="E53" t="s">
        <v>3389</v>
      </c>
      <c r="F53" t="s">
        <v>3390</v>
      </c>
      <c r="G53" t="s">
        <v>3141</v>
      </c>
      <c r="H53" t="s">
        <v>3102</v>
      </c>
      <c r="I53">
        <v>35.32</v>
      </c>
      <c r="J53">
        <v>26384.26</v>
      </c>
      <c r="K53">
        <v>931892</v>
      </c>
      <c r="L53" s="2961">
        <v>43190</v>
      </c>
      <c r="M53" t="s">
        <v>3134</v>
      </c>
      <c r="N53" t="s">
        <v>3135</v>
      </c>
      <c r="O53" t="s">
        <v>3136</v>
      </c>
    </row>
    <row r="54" spans="1:15">
      <c r="A54" t="s">
        <v>3399</v>
      </c>
      <c r="B54" t="s">
        <v>3400</v>
      </c>
      <c r="C54" t="s">
        <v>3129</v>
      </c>
      <c r="D54" t="s">
        <v>3130</v>
      </c>
      <c r="E54" t="s">
        <v>3401</v>
      </c>
      <c r="F54" t="s">
        <v>3402</v>
      </c>
      <c r="G54" t="s">
        <v>3141</v>
      </c>
      <c r="H54" t="s">
        <v>3102</v>
      </c>
      <c r="I54">
        <v>35.32</v>
      </c>
      <c r="J54">
        <v>25667.919999999998</v>
      </c>
      <c r="K54">
        <v>906591</v>
      </c>
      <c r="L54" s="2961">
        <v>43190</v>
      </c>
      <c r="M54" t="s">
        <v>3134</v>
      </c>
      <c r="N54" t="s">
        <v>3135</v>
      </c>
      <c r="O54" t="s">
        <v>3136</v>
      </c>
    </row>
    <row r="55" spans="1:15">
      <c r="A55" t="s">
        <v>3575</v>
      </c>
      <c r="B55" t="s">
        <v>3576</v>
      </c>
      <c r="C55" t="s">
        <v>3129</v>
      </c>
      <c r="D55" t="s">
        <v>3130</v>
      </c>
      <c r="E55" t="s">
        <v>3577</v>
      </c>
      <c r="F55" t="s">
        <v>3578</v>
      </c>
      <c r="G55" t="s">
        <v>3141</v>
      </c>
      <c r="H55" t="s">
        <v>3102</v>
      </c>
      <c r="I55">
        <v>35.32</v>
      </c>
      <c r="J55">
        <v>26028.68</v>
      </c>
      <c r="K55">
        <v>919333</v>
      </c>
      <c r="L55" s="2961">
        <v>43188</v>
      </c>
      <c r="M55" t="s">
        <v>3134</v>
      </c>
      <c r="N55" t="s">
        <v>3135</v>
      </c>
      <c r="O55" t="s">
        <v>3136</v>
      </c>
    </row>
    <row r="56" spans="1:15">
      <c r="A56" t="s">
        <v>3583</v>
      </c>
      <c r="B56" t="s">
        <v>3584</v>
      </c>
      <c r="C56" t="s">
        <v>3129</v>
      </c>
      <c r="D56" t="s">
        <v>3130</v>
      </c>
      <c r="E56" t="s">
        <v>3585</v>
      </c>
      <c r="F56" t="s">
        <v>3422</v>
      </c>
      <c r="G56" t="s">
        <v>3141</v>
      </c>
      <c r="H56" t="s">
        <v>3102</v>
      </c>
      <c r="I56">
        <v>35.32</v>
      </c>
      <c r="J56">
        <v>26461.58</v>
      </c>
      <c r="K56">
        <v>934623</v>
      </c>
      <c r="L56" s="2961">
        <v>43188</v>
      </c>
      <c r="M56" t="s">
        <v>3134</v>
      </c>
      <c r="N56" t="s">
        <v>3135</v>
      </c>
      <c r="O56" t="s">
        <v>3136</v>
      </c>
    </row>
    <row r="57" spans="1:15">
      <c r="A57" t="s">
        <v>3275</v>
      </c>
      <c r="B57" t="s">
        <v>3276</v>
      </c>
      <c r="C57" t="s">
        <v>3129</v>
      </c>
      <c r="D57" t="s">
        <v>3130</v>
      </c>
      <c r="E57" t="s">
        <v>3277</v>
      </c>
      <c r="F57" t="s">
        <v>3278</v>
      </c>
      <c r="G57" t="s">
        <v>3133</v>
      </c>
      <c r="H57" t="s">
        <v>3102</v>
      </c>
      <c r="I57">
        <v>35.32</v>
      </c>
      <c r="J57">
        <v>26437.4</v>
      </c>
      <c r="K57">
        <v>933769</v>
      </c>
      <c r="L57" s="2961">
        <v>43204</v>
      </c>
      <c r="M57" t="s">
        <v>3134</v>
      </c>
      <c r="N57" t="s">
        <v>3135</v>
      </c>
      <c r="O57" t="s">
        <v>3136</v>
      </c>
    </row>
    <row r="58" spans="1:15">
      <c r="A58" t="s">
        <v>3451</v>
      </c>
      <c r="B58" t="s">
        <v>3452</v>
      </c>
      <c r="C58" t="s">
        <v>3129</v>
      </c>
      <c r="D58" t="s">
        <v>3130</v>
      </c>
      <c r="E58" t="s">
        <v>3453</v>
      </c>
      <c r="F58" t="s">
        <v>3454</v>
      </c>
      <c r="G58" t="s">
        <v>3141</v>
      </c>
      <c r="H58" t="s">
        <v>3102</v>
      </c>
      <c r="I58">
        <v>35.32</v>
      </c>
      <c r="J58">
        <v>29038.36</v>
      </c>
      <c r="K58">
        <v>1025635</v>
      </c>
      <c r="L58" s="2961">
        <v>43190</v>
      </c>
      <c r="M58" t="s">
        <v>3134</v>
      </c>
      <c r="N58" t="s">
        <v>3135</v>
      </c>
      <c r="O58" t="s">
        <v>3136</v>
      </c>
    </row>
    <row r="59" spans="1:15">
      <c r="A59" t="s">
        <v>3247</v>
      </c>
      <c r="B59" t="s">
        <v>3248</v>
      </c>
      <c r="C59" t="s">
        <v>3129</v>
      </c>
      <c r="D59" t="s">
        <v>3130</v>
      </c>
      <c r="E59" t="s">
        <v>3249</v>
      </c>
      <c r="F59" t="s">
        <v>3250</v>
      </c>
      <c r="G59" t="s">
        <v>3141</v>
      </c>
      <c r="H59" t="s">
        <v>3102</v>
      </c>
      <c r="I59">
        <v>35.32</v>
      </c>
      <c r="J59">
        <v>28110.7</v>
      </c>
      <c r="K59">
        <v>992870</v>
      </c>
      <c r="L59" s="2961">
        <v>43207</v>
      </c>
      <c r="M59" t="s">
        <v>3134</v>
      </c>
      <c r="N59" t="s">
        <v>3135</v>
      </c>
      <c r="O59" t="s">
        <v>3136</v>
      </c>
    </row>
    <row r="60" spans="1:15">
      <c r="A60" t="s">
        <v>3527</v>
      </c>
      <c r="B60" t="s">
        <v>3528</v>
      </c>
      <c r="C60" t="s">
        <v>3129</v>
      </c>
      <c r="D60" t="s">
        <v>3130</v>
      </c>
      <c r="E60" t="s">
        <v>3529</v>
      </c>
      <c r="F60" t="s">
        <v>3530</v>
      </c>
      <c r="G60" t="s">
        <v>3141</v>
      </c>
      <c r="H60" t="s">
        <v>3102</v>
      </c>
      <c r="I60">
        <v>35.32</v>
      </c>
      <c r="J60">
        <v>25843.15</v>
      </c>
      <c r="K60">
        <v>912780</v>
      </c>
      <c r="L60" s="2961">
        <v>43190</v>
      </c>
      <c r="M60" t="s">
        <v>3134</v>
      </c>
      <c r="N60" t="s">
        <v>3135</v>
      </c>
      <c r="O60" t="s">
        <v>3136</v>
      </c>
    </row>
    <row r="61" spans="1:15">
      <c r="A61" t="s">
        <v>3243</v>
      </c>
      <c r="B61" t="s">
        <v>3244</v>
      </c>
      <c r="C61" t="s">
        <v>3129</v>
      </c>
      <c r="D61" t="s">
        <v>3130</v>
      </c>
      <c r="E61" t="s">
        <v>3245</v>
      </c>
      <c r="F61" t="s">
        <v>3246</v>
      </c>
      <c r="G61" t="s">
        <v>3141</v>
      </c>
      <c r="H61" t="s">
        <v>3102</v>
      </c>
      <c r="I61">
        <v>37.119999999999997</v>
      </c>
      <c r="J61">
        <v>28136.48</v>
      </c>
      <c r="K61">
        <v>1044426</v>
      </c>
      <c r="L61" s="2961">
        <v>43207</v>
      </c>
      <c r="M61" t="s">
        <v>3134</v>
      </c>
      <c r="N61" t="s">
        <v>3135</v>
      </c>
      <c r="O61" t="s">
        <v>3136</v>
      </c>
    </row>
    <row r="62" spans="1:15">
      <c r="A62" t="s">
        <v>3185</v>
      </c>
      <c r="B62" t="s">
        <v>3186</v>
      </c>
      <c r="C62" t="s">
        <v>3129</v>
      </c>
      <c r="D62" t="s">
        <v>3130</v>
      </c>
      <c r="E62" t="s">
        <v>3187</v>
      </c>
      <c r="F62" t="s">
        <v>3184</v>
      </c>
      <c r="G62" t="s">
        <v>3141</v>
      </c>
      <c r="H62" t="s">
        <v>3102</v>
      </c>
      <c r="I62">
        <v>35.32</v>
      </c>
      <c r="J62">
        <v>36562.57</v>
      </c>
      <c r="K62">
        <v>1291390</v>
      </c>
      <c r="L62" s="2961">
        <v>43212</v>
      </c>
      <c r="M62" t="s">
        <v>3134</v>
      </c>
      <c r="N62" t="s">
        <v>3135</v>
      </c>
      <c r="O62" t="s">
        <v>3136</v>
      </c>
    </row>
    <row r="63" spans="1:15">
      <c r="A63" t="s">
        <v>3181</v>
      </c>
      <c r="B63" t="s">
        <v>3182</v>
      </c>
      <c r="C63" t="s">
        <v>3129</v>
      </c>
      <c r="D63" t="s">
        <v>3130</v>
      </c>
      <c r="E63" t="s">
        <v>3183</v>
      </c>
      <c r="F63" t="s">
        <v>3184</v>
      </c>
      <c r="G63" t="s">
        <v>3141</v>
      </c>
      <c r="H63" t="s">
        <v>3102</v>
      </c>
      <c r="I63">
        <v>35.32</v>
      </c>
      <c r="J63">
        <v>36253.370000000003</v>
      </c>
      <c r="K63">
        <v>1280469</v>
      </c>
      <c r="L63" s="2961">
        <v>43212</v>
      </c>
      <c r="M63" t="s">
        <v>3134</v>
      </c>
      <c r="N63" t="s">
        <v>3135</v>
      </c>
      <c r="O63" t="s">
        <v>3136</v>
      </c>
    </row>
    <row r="64" spans="1:15">
      <c r="A64" t="s">
        <v>3626</v>
      </c>
      <c r="B64" t="s">
        <v>3627</v>
      </c>
      <c r="C64" t="s">
        <v>3129</v>
      </c>
      <c r="D64" t="s">
        <v>3130</v>
      </c>
      <c r="E64" t="s">
        <v>3628</v>
      </c>
      <c r="F64" t="s">
        <v>3629</v>
      </c>
      <c r="G64" t="s">
        <v>3133</v>
      </c>
      <c r="H64" t="s">
        <v>3102</v>
      </c>
      <c r="I64">
        <v>35.32</v>
      </c>
      <c r="J64">
        <v>34795.980000000003</v>
      </c>
      <c r="K64">
        <v>1228994</v>
      </c>
      <c r="L64" s="2961">
        <v>43188</v>
      </c>
      <c r="M64" t="s">
        <v>3134</v>
      </c>
      <c r="N64" t="s">
        <v>3135</v>
      </c>
      <c r="O64" t="s">
        <v>3136</v>
      </c>
    </row>
    <row r="65" spans="1:15">
      <c r="A65" t="s">
        <v>3658</v>
      </c>
      <c r="B65" t="s">
        <v>3659</v>
      </c>
      <c r="C65" t="s">
        <v>3129</v>
      </c>
      <c r="D65" t="s">
        <v>3130</v>
      </c>
      <c r="E65" t="s">
        <v>3660</v>
      </c>
      <c r="F65" t="s">
        <v>3661</v>
      </c>
      <c r="G65" t="s">
        <v>3133</v>
      </c>
      <c r="H65" t="s">
        <v>3102</v>
      </c>
      <c r="I65">
        <v>35.32</v>
      </c>
      <c r="J65">
        <v>32750.54</v>
      </c>
      <c r="K65">
        <v>1156749</v>
      </c>
      <c r="L65" s="2961">
        <v>43188</v>
      </c>
      <c r="M65" t="s">
        <v>3134</v>
      </c>
      <c r="N65" t="s">
        <v>3135</v>
      </c>
      <c r="O65" t="s">
        <v>3136</v>
      </c>
    </row>
    <row r="66" spans="1:15">
      <c r="A66" t="s">
        <v>3610</v>
      </c>
      <c r="B66" t="s">
        <v>3611</v>
      </c>
      <c r="C66" t="s">
        <v>3129</v>
      </c>
      <c r="D66" t="s">
        <v>3130</v>
      </c>
      <c r="E66" t="s">
        <v>3612</v>
      </c>
      <c r="F66" t="s">
        <v>3613</v>
      </c>
      <c r="G66" t="s">
        <v>3133</v>
      </c>
      <c r="H66" t="s">
        <v>3102</v>
      </c>
      <c r="I66">
        <v>30.66</v>
      </c>
      <c r="J66">
        <v>32295.99</v>
      </c>
      <c r="K66">
        <v>990195</v>
      </c>
      <c r="L66" s="2961">
        <v>43188</v>
      </c>
      <c r="M66" t="s">
        <v>3134</v>
      </c>
      <c r="N66" t="s">
        <v>3135</v>
      </c>
      <c r="O66" t="s">
        <v>3136</v>
      </c>
    </row>
    <row r="67" spans="1:15">
      <c r="A67" t="s">
        <v>3662</v>
      </c>
      <c r="B67" t="s">
        <v>3663</v>
      </c>
      <c r="C67" t="s">
        <v>3129</v>
      </c>
      <c r="D67" t="s">
        <v>3130</v>
      </c>
      <c r="E67" t="s">
        <v>3664</v>
      </c>
      <c r="F67" t="s">
        <v>3665</v>
      </c>
      <c r="G67" t="s">
        <v>3141</v>
      </c>
      <c r="H67" t="s">
        <v>3102</v>
      </c>
      <c r="I67">
        <v>32.5</v>
      </c>
      <c r="J67">
        <v>30584.43</v>
      </c>
      <c r="K67">
        <v>993994</v>
      </c>
      <c r="L67" s="2961">
        <v>43188</v>
      </c>
      <c r="M67" t="s">
        <v>3134</v>
      </c>
      <c r="N67" t="s">
        <v>3135</v>
      </c>
      <c r="O67" t="s">
        <v>3136</v>
      </c>
    </row>
    <row r="68" spans="1:15">
      <c r="A68" t="s">
        <v>3204</v>
      </c>
      <c r="B68" t="s">
        <v>3205</v>
      </c>
      <c r="C68" t="s">
        <v>3129</v>
      </c>
      <c r="D68" t="s">
        <v>3130</v>
      </c>
      <c r="E68" t="s">
        <v>3206</v>
      </c>
      <c r="F68" t="s">
        <v>3207</v>
      </c>
      <c r="G68" t="s">
        <v>3141</v>
      </c>
      <c r="H68" t="s">
        <v>3102</v>
      </c>
      <c r="I68">
        <v>35.32</v>
      </c>
      <c r="J68">
        <v>29759.85</v>
      </c>
      <c r="K68">
        <v>1051118</v>
      </c>
      <c r="L68" s="2961">
        <v>43210</v>
      </c>
      <c r="M68" t="s">
        <v>3134</v>
      </c>
      <c r="N68" t="s">
        <v>3135</v>
      </c>
      <c r="O68" t="s">
        <v>3136</v>
      </c>
    </row>
    <row r="69" spans="1:15">
      <c r="A69" t="s">
        <v>3666</v>
      </c>
      <c r="B69" t="s">
        <v>3667</v>
      </c>
      <c r="C69" t="s">
        <v>3129</v>
      </c>
      <c r="D69" t="s">
        <v>3130</v>
      </c>
      <c r="E69" t="s">
        <v>3668</v>
      </c>
      <c r="F69" t="s">
        <v>3669</v>
      </c>
      <c r="G69" t="s">
        <v>3133</v>
      </c>
      <c r="H69" t="s">
        <v>3102</v>
      </c>
      <c r="I69">
        <v>35.32</v>
      </c>
      <c r="J69">
        <v>28558.61</v>
      </c>
      <c r="K69">
        <v>1008690</v>
      </c>
      <c r="L69" s="2961">
        <v>43188</v>
      </c>
      <c r="M69" t="s">
        <v>3134</v>
      </c>
      <c r="N69" t="s">
        <v>3135</v>
      </c>
      <c r="O69" t="s">
        <v>3136</v>
      </c>
    </row>
    <row r="70" spans="1:15">
      <c r="A70" t="s">
        <v>3200</v>
      </c>
      <c r="B70" t="s">
        <v>3201</v>
      </c>
      <c r="C70" t="s">
        <v>3129</v>
      </c>
      <c r="D70" t="s">
        <v>3130</v>
      </c>
      <c r="E70" t="s">
        <v>3202</v>
      </c>
      <c r="F70" t="s">
        <v>3203</v>
      </c>
      <c r="G70" t="s">
        <v>3141</v>
      </c>
      <c r="H70" t="s">
        <v>3102</v>
      </c>
      <c r="I70">
        <v>35.32</v>
      </c>
      <c r="J70">
        <v>28522.99</v>
      </c>
      <c r="K70">
        <v>1007432</v>
      </c>
      <c r="L70" s="2961">
        <v>43205</v>
      </c>
      <c r="M70" t="s">
        <v>3134</v>
      </c>
      <c r="N70" t="s">
        <v>3135</v>
      </c>
      <c r="O70" t="s">
        <v>3136</v>
      </c>
    </row>
    <row r="71" spans="1:15">
      <c r="A71" t="s">
        <v>3251</v>
      </c>
      <c r="B71" t="s">
        <v>3252</v>
      </c>
      <c r="C71" t="s">
        <v>3129</v>
      </c>
      <c r="D71" t="s">
        <v>3130</v>
      </c>
      <c r="E71" t="s">
        <v>3253</v>
      </c>
      <c r="F71" t="s">
        <v>3254</v>
      </c>
      <c r="G71" t="s">
        <v>3133</v>
      </c>
      <c r="H71" t="s">
        <v>3102</v>
      </c>
      <c r="I71">
        <v>35.32</v>
      </c>
      <c r="J71">
        <v>27043.43</v>
      </c>
      <c r="K71">
        <v>955174</v>
      </c>
      <c r="L71" s="2961">
        <v>43207</v>
      </c>
      <c r="M71" t="s">
        <v>3134</v>
      </c>
      <c r="N71" t="s">
        <v>3135</v>
      </c>
      <c r="O71" t="s">
        <v>3136</v>
      </c>
    </row>
    <row r="72" spans="1:15">
      <c r="A72" t="s">
        <v>3208</v>
      </c>
      <c r="B72" t="s">
        <v>3209</v>
      </c>
      <c r="C72" t="s">
        <v>3129</v>
      </c>
      <c r="D72" t="s">
        <v>3130</v>
      </c>
      <c r="E72" t="s">
        <v>3210</v>
      </c>
      <c r="F72" t="s">
        <v>3211</v>
      </c>
      <c r="G72" t="s">
        <v>3141</v>
      </c>
      <c r="H72" t="s">
        <v>3102</v>
      </c>
      <c r="I72">
        <v>35.32</v>
      </c>
      <c r="J72">
        <v>26822.31</v>
      </c>
      <c r="K72">
        <v>947364</v>
      </c>
      <c r="L72" s="2961">
        <v>43209</v>
      </c>
      <c r="M72" t="s">
        <v>3134</v>
      </c>
      <c r="N72" t="s">
        <v>3135</v>
      </c>
      <c r="O72" t="s">
        <v>3136</v>
      </c>
    </row>
    <row r="73" spans="1:15">
      <c r="A73" t="s">
        <v>3335</v>
      </c>
      <c r="B73" t="s">
        <v>3336</v>
      </c>
      <c r="C73" t="s">
        <v>3129</v>
      </c>
      <c r="D73" t="s">
        <v>3130</v>
      </c>
      <c r="E73" t="s">
        <v>3337</v>
      </c>
      <c r="F73" t="s">
        <v>3338</v>
      </c>
      <c r="G73" t="s">
        <v>3133</v>
      </c>
      <c r="H73" t="s">
        <v>3102</v>
      </c>
      <c r="I73">
        <v>35.32</v>
      </c>
      <c r="J73">
        <v>26538.39</v>
      </c>
      <c r="K73">
        <v>937336</v>
      </c>
      <c r="L73" s="2961">
        <v>43200</v>
      </c>
      <c r="M73" t="s">
        <v>3134</v>
      </c>
      <c r="N73" t="s">
        <v>3135</v>
      </c>
      <c r="O73" t="s">
        <v>3136</v>
      </c>
    </row>
    <row r="74" spans="1:15">
      <c r="A74" t="s">
        <v>3455</v>
      </c>
      <c r="B74" t="s">
        <v>3456</v>
      </c>
      <c r="C74" t="s">
        <v>3129</v>
      </c>
      <c r="D74" t="s">
        <v>3130</v>
      </c>
      <c r="E74" t="s">
        <v>3457</v>
      </c>
      <c r="F74" t="s">
        <v>3458</v>
      </c>
      <c r="G74" t="s">
        <v>3141</v>
      </c>
      <c r="H74" t="s">
        <v>3102</v>
      </c>
      <c r="I74">
        <v>35.32</v>
      </c>
      <c r="J74">
        <v>27853.03</v>
      </c>
      <c r="K74">
        <v>983769</v>
      </c>
      <c r="L74" s="2961">
        <v>43190</v>
      </c>
      <c r="M74" t="s">
        <v>3134</v>
      </c>
      <c r="N74" t="s">
        <v>3135</v>
      </c>
      <c r="O74" t="s">
        <v>3136</v>
      </c>
    </row>
    <row r="75" spans="1:15">
      <c r="A75" t="s">
        <v>3188</v>
      </c>
      <c r="B75" t="s">
        <v>3189</v>
      </c>
      <c r="C75" t="s">
        <v>3129</v>
      </c>
      <c r="D75" t="s">
        <v>3130</v>
      </c>
      <c r="E75" t="s">
        <v>3190</v>
      </c>
      <c r="F75" t="s">
        <v>3191</v>
      </c>
      <c r="G75" t="s">
        <v>3133</v>
      </c>
      <c r="H75" t="s">
        <v>3102</v>
      </c>
      <c r="I75">
        <v>35.32</v>
      </c>
      <c r="J75">
        <v>26235.360000000001</v>
      </c>
      <c r="K75">
        <v>926633</v>
      </c>
      <c r="L75" s="2961">
        <v>43209</v>
      </c>
      <c r="M75" t="s">
        <v>3134</v>
      </c>
      <c r="N75" t="s">
        <v>3135</v>
      </c>
      <c r="O75" t="s">
        <v>3136</v>
      </c>
    </row>
    <row r="76" spans="1:15">
      <c r="A76" t="s">
        <v>3602</v>
      </c>
      <c r="B76" t="s">
        <v>3603</v>
      </c>
      <c r="C76" t="s">
        <v>3129</v>
      </c>
      <c r="D76" t="s">
        <v>3130</v>
      </c>
      <c r="E76" t="s">
        <v>3604</v>
      </c>
      <c r="F76" t="s">
        <v>3605</v>
      </c>
      <c r="G76" t="s">
        <v>3141</v>
      </c>
      <c r="H76" t="s">
        <v>3102</v>
      </c>
      <c r="I76">
        <v>35.32</v>
      </c>
      <c r="J76">
        <v>29326.95</v>
      </c>
      <c r="K76">
        <v>1035828</v>
      </c>
      <c r="L76" s="2961">
        <v>43189</v>
      </c>
      <c r="M76" t="s">
        <v>3134</v>
      </c>
      <c r="N76" t="s">
        <v>3135</v>
      </c>
      <c r="O76" t="s">
        <v>3136</v>
      </c>
    </row>
    <row r="77" spans="1:15">
      <c r="A77" t="s">
        <v>3355</v>
      </c>
      <c r="B77" t="s">
        <v>3356</v>
      </c>
      <c r="C77" t="s">
        <v>3129</v>
      </c>
      <c r="D77" t="s">
        <v>3130</v>
      </c>
      <c r="E77" t="s">
        <v>3357</v>
      </c>
      <c r="F77" t="s">
        <v>3358</v>
      </c>
      <c r="G77" t="s">
        <v>3141</v>
      </c>
      <c r="H77" t="s">
        <v>3102</v>
      </c>
      <c r="I77">
        <v>42.29</v>
      </c>
      <c r="J77">
        <v>30151.53</v>
      </c>
      <c r="K77">
        <v>1275108</v>
      </c>
      <c r="L77" s="2961">
        <v>43198</v>
      </c>
      <c r="M77" t="s">
        <v>3134</v>
      </c>
      <c r="N77" t="s">
        <v>3135</v>
      </c>
      <c r="O77" t="s">
        <v>3136</v>
      </c>
    </row>
    <row r="78" spans="1:15">
      <c r="A78" t="s">
        <v>3347</v>
      </c>
      <c r="B78" t="s">
        <v>3348</v>
      </c>
      <c r="C78" t="s">
        <v>3129</v>
      </c>
      <c r="D78" t="s">
        <v>3130</v>
      </c>
      <c r="E78" t="s">
        <v>3349</v>
      </c>
      <c r="F78" t="s">
        <v>3350</v>
      </c>
      <c r="G78" t="s">
        <v>3141</v>
      </c>
      <c r="H78" t="s">
        <v>3102</v>
      </c>
      <c r="I78">
        <v>42.29</v>
      </c>
      <c r="J78">
        <v>30151.53</v>
      </c>
      <c r="K78">
        <v>1275108</v>
      </c>
      <c r="L78" s="2961">
        <v>43199</v>
      </c>
      <c r="M78" t="s">
        <v>3134</v>
      </c>
      <c r="N78" t="s">
        <v>3135</v>
      </c>
      <c r="O78" t="s">
        <v>3136</v>
      </c>
    </row>
    <row r="79" spans="1:15">
      <c r="A79" t="s">
        <v>3678</v>
      </c>
      <c r="B79" t="s">
        <v>3679</v>
      </c>
      <c r="C79" t="s">
        <v>3129</v>
      </c>
      <c r="D79" t="s">
        <v>3130</v>
      </c>
      <c r="E79" t="s">
        <v>3680</v>
      </c>
      <c r="F79" t="s">
        <v>3681</v>
      </c>
      <c r="G79" t="s">
        <v>3133</v>
      </c>
      <c r="H79" t="s">
        <v>3102</v>
      </c>
      <c r="I79">
        <v>35.32</v>
      </c>
      <c r="J79">
        <v>29801.02</v>
      </c>
      <c r="K79">
        <v>1052572</v>
      </c>
      <c r="L79" s="2961">
        <v>43190</v>
      </c>
      <c r="M79" t="s">
        <v>3134</v>
      </c>
      <c r="N79" t="s">
        <v>3135</v>
      </c>
      <c r="O79" t="s">
        <v>3136</v>
      </c>
    </row>
    <row r="80" spans="1:15">
      <c r="A80" t="s">
        <v>3459</v>
      </c>
      <c r="B80" t="s">
        <v>3460</v>
      </c>
      <c r="C80" t="s">
        <v>3129</v>
      </c>
      <c r="D80" t="s">
        <v>3130</v>
      </c>
      <c r="E80" t="s">
        <v>3461</v>
      </c>
      <c r="F80" t="s">
        <v>3462</v>
      </c>
      <c r="G80" t="s">
        <v>3141</v>
      </c>
      <c r="H80" t="s">
        <v>3102</v>
      </c>
      <c r="I80">
        <v>35.32</v>
      </c>
      <c r="J80">
        <v>30512.29</v>
      </c>
      <c r="K80">
        <v>1077694</v>
      </c>
      <c r="L80" s="2961">
        <v>43190</v>
      </c>
      <c r="M80" t="s">
        <v>3134</v>
      </c>
      <c r="N80" t="s">
        <v>3135</v>
      </c>
      <c r="O80" t="s">
        <v>3136</v>
      </c>
    </row>
    <row r="81" spans="1:15">
      <c r="A81" t="s">
        <v>3331</v>
      </c>
      <c r="B81" t="s">
        <v>3332</v>
      </c>
      <c r="C81" t="s">
        <v>3129</v>
      </c>
      <c r="D81" t="s">
        <v>3130</v>
      </c>
      <c r="E81" t="s">
        <v>3333</v>
      </c>
      <c r="F81" t="s">
        <v>3334</v>
      </c>
      <c r="G81" t="s">
        <v>3133</v>
      </c>
      <c r="H81" t="s">
        <v>3102</v>
      </c>
      <c r="I81">
        <v>35.32</v>
      </c>
      <c r="J81">
        <v>28931.63</v>
      </c>
      <c r="K81">
        <v>1001428</v>
      </c>
      <c r="L81" s="2961">
        <v>43200</v>
      </c>
      <c r="M81" t="s">
        <v>3134</v>
      </c>
      <c r="N81" t="s">
        <v>3135</v>
      </c>
      <c r="O81" t="s">
        <v>3136</v>
      </c>
    </row>
    <row r="82" spans="1:15">
      <c r="A82" t="s">
        <v>3228</v>
      </c>
      <c r="B82" t="s">
        <v>3229</v>
      </c>
      <c r="C82" t="s">
        <v>3129</v>
      </c>
      <c r="D82" t="s">
        <v>3130</v>
      </c>
      <c r="E82" t="s">
        <v>3230</v>
      </c>
      <c r="F82" t="s">
        <v>3231</v>
      </c>
      <c r="G82" t="s">
        <v>3141</v>
      </c>
      <c r="H82" t="s">
        <v>3102</v>
      </c>
      <c r="I82">
        <v>35.32</v>
      </c>
      <c r="J82">
        <v>30388.59</v>
      </c>
      <c r="K82">
        <v>1073325</v>
      </c>
      <c r="L82" s="2961">
        <v>43205</v>
      </c>
      <c r="M82" t="s">
        <v>3134</v>
      </c>
      <c r="N82" t="s">
        <v>3135</v>
      </c>
      <c r="O82" t="s">
        <v>3136</v>
      </c>
    </row>
    <row r="83" spans="1:15">
      <c r="A83" t="s">
        <v>3307</v>
      </c>
      <c r="B83" t="s">
        <v>3308</v>
      </c>
      <c r="C83" t="s">
        <v>3129</v>
      </c>
      <c r="D83" t="s">
        <v>3130</v>
      </c>
      <c r="E83" t="s">
        <v>3309</v>
      </c>
      <c r="F83" t="s">
        <v>3310</v>
      </c>
      <c r="G83" t="s">
        <v>3133</v>
      </c>
      <c r="H83" t="s">
        <v>3102</v>
      </c>
      <c r="I83">
        <v>35.32</v>
      </c>
      <c r="J83">
        <v>31316.17</v>
      </c>
      <c r="K83">
        <v>1106087</v>
      </c>
      <c r="L83" s="2961">
        <v>43203</v>
      </c>
      <c r="M83" t="s">
        <v>3134</v>
      </c>
      <c r="N83" t="s">
        <v>3135</v>
      </c>
      <c r="O83" t="s">
        <v>3136</v>
      </c>
    </row>
    <row r="84" spans="1:15">
      <c r="A84" t="s">
        <v>3499</v>
      </c>
      <c r="B84" t="s">
        <v>3500</v>
      </c>
      <c r="C84" t="s">
        <v>3129</v>
      </c>
      <c r="D84" t="s">
        <v>3130</v>
      </c>
      <c r="E84" t="s">
        <v>3501</v>
      </c>
      <c r="F84" t="s">
        <v>3502</v>
      </c>
      <c r="G84" t="s">
        <v>3133</v>
      </c>
      <c r="H84" t="s">
        <v>3102</v>
      </c>
      <c r="I84">
        <v>60.69</v>
      </c>
      <c r="J84">
        <v>32477.79</v>
      </c>
      <c r="K84">
        <v>1971077</v>
      </c>
      <c r="L84" s="2961">
        <v>43190</v>
      </c>
      <c r="M84" t="s">
        <v>3134</v>
      </c>
      <c r="N84" t="s">
        <v>3135</v>
      </c>
      <c r="O84" t="s">
        <v>3136</v>
      </c>
    </row>
    <row r="85" spans="1:15">
      <c r="A85" t="s">
        <v>3419</v>
      </c>
      <c r="B85" t="s">
        <v>3420</v>
      </c>
      <c r="C85" t="s">
        <v>3129</v>
      </c>
      <c r="D85" t="s">
        <v>3130</v>
      </c>
      <c r="E85" t="s">
        <v>3421</v>
      </c>
      <c r="F85" t="s">
        <v>3422</v>
      </c>
      <c r="G85" t="s">
        <v>3141</v>
      </c>
      <c r="H85" t="s">
        <v>3102</v>
      </c>
      <c r="I85">
        <v>45.68</v>
      </c>
      <c r="J85">
        <v>33655.949999999997</v>
      </c>
      <c r="K85">
        <v>1537404</v>
      </c>
      <c r="L85" s="2961">
        <v>43190</v>
      </c>
      <c r="M85" t="s">
        <v>3134</v>
      </c>
      <c r="N85" t="s">
        <v>3135</v>
      </c>
      <c r="O85" t="s">
        <v>3136</v>
      </c>
    </row>
    <row r="86" spans="1:15">
      <c r="A86" t="s">
        <v>3149</v>
      </c>
      <c r="B86" t="s">
        <v>3150</v>
      </c>
      <c r="C86" t="s">
        <v>3129</v>
      </c>
      <c r="D86" t="s">
        <v>3130</v>
      </c>
      <c r="E86" t="s">
        <v>3151</v>
      </c>
      <c r="F86" t="s">
        <v>3152</v>
      </c>
      <c r="G86" t="s">
        <v>3141</v>
      </c>
      <c r="H86" t="s">
        <v>3102</v>
      </c>
      <c r="I86">
        <v>77.13</v>
      </c>
      <c r="J86">
        <v>12955.06</v>
      </c>
      <c r="K86">
        <v>999224</v>
      </c>
      <c r="L86" s="2961">
        <v>43234</v>
      </c>
      <c r="M86" t="s">
        <v>3134</v>
      </c>
      <c r="N86" t="s">
        <v>3135</v>
      </c>
      <c r="O86" t="s">
        <v>3136</v>
      </c>
    </row>
    <row r="87" spans="1:15">
      <c r="A87" t="s">
        <v>3153</v>
      </c>
      <c r="B87" t="s">
        <v>3154</v>
      </c>
      <c r="C87" t="s">
        <v>3129</v>
      </c>
      <c r="D87" t="s">
        <v>3130</v>
      </c>
      <c r="E87" t="s">
        <v>3155</v>
      </c>
      <c r="F87" t="s">
        <v>3152</v>
      </c>
      <c r="G87" t="s">
        <v>3141</v>
      </c>
      <c r="H87" t="s">
        <v>3102</v>
      </c>
      <c r="I87">
        <v>82.91</v>
      </c>
      <c r="J87">
        <v>12517.02</v>
      </c>
      <c r="K87">
        <v>1037786</v>
      </c>
      <c r="L87" s="2961">
        <v>43234</v>
      </c>
      <c r="M87" t="s">
        <v>3134</v>
      </c>
      <c r="N87" t="s">
        <v>3135</v>
      </c>
      <c r="O87" t="s">
        <v>3136</v>
      </c>
    </row>
    <row r="88" spans="1:15">
      <c r="A88" t="s">
        <v>3156</v>
      </c>
      <c r="B88" t="s">
        <v>3157</v>
      </c>
      <c r="C88" t="s">
        <v>3129</v>
      </c>
      <c r="D88" t="s">
        <v>3130</v>
      </c>
      <c r="E88" t="s">
        <v>3158</v>
      </c>
      <c r="F88" t="s">
        <v>3152</v>
      </c>
      <c r="G88" t="s">
        <v>3141</v>
      </c>
      <c r="H88" t="s">
        <v>3102</v>
      </c>
      <c r="I88">
        <v>84.84</v>
      </c>
      <c r="J88">
        <v>14655.75</v>
      </c>
      <c r="K88">
        <v>1243394</v>
      </c>
      <c r="L88" s="2961">
        <v>43234</v>
      </c>
      <c r="M88" t="s">
        <v>3134</v>
      </c>
      <c r="N88" t="s">
        <v>3135</v>
      </c>
      <c r="O88" t="s">
        <v>3136</v>
      </c>
    </row>
    <row r="89" spans="1:15">
      <c r="A89" t="s">
        <v>3383</v>
      </c>
      <c r="B89" t="s">
        <v>3384</v>
      </c>
      <c r="C89" t="s">
        <v>3129</v>
      </c>
      <c r="D89" t="s">
        <v>3130</v>
      </c>
      <c r="E89" t="s">
        <v>3385</v>
      </c>
      <c r="F89" t="s">
        <v>3386</v>
      </c>
      <c r="G89" t="s">
        <v>3141</v>
      </c>
      <c r="H89" t="s">
        <v>3102</v>
      </c>
      <c r="I89">
        <v>38.51</v>
      </c>
      <c r="J89">
        <v>14758.82</v>
      </c>
      <c r="K89">
        <v>568362</v>
      </c>
      <c r="L89" s="2961">
        <v>43190</v>
      </c>
      <c r="M89" t="s">
        <v>3134</v>
      </c>
      <c r="N89" t="s">
        <v>3135</v>
      </c>
      <c r="O89" t="s">
        <v>3136</v>
      </c>
    </row>
    <row r="90" spans="1:15">
      <c r="A90" t="s">
        <v>3391</v>
      </c>
      <c r="B90" t="s">
        <v>3392</v>
      </c>
      <c r="C90" t="s">
        <v>3129</v>
      </c>
      <c r="D90" t="s">
        <v>3130</v>
      </c>
      <c r="E90" t="s">
        <v>3393</v>
      </c>
      <c r="F90" t="s">
        <v>3394</v>
      </c>
      <c r="G90" t="s">
        <v>3141</v>
      </c>
      <c r="H90" t="s">
        <v>3102</v>
      </c>
      <c r="I90">
        <v>39.380000000000003</v>
      </c>
      <c r="J90">
        <v>14398.07</v>
      </c>
      <c r="K90">
        <v>566996</v>
      </c>
      <c r="L90" s="2961">
        <v>43190</v>
      </c>
      <c r="M90" t="s">
        <v>3134</v>
      </c>
      <c r="N90" t="s">
        <v>3135</v>
      </c>
      <c r="O90" t="s">
        <v>3136</v>
      </c>
    </row>
    <row r="91" spans="1:15">
      <c r="A91" t="s">
        <v>3371</v>
      </c>
      <c r="B91" t="s">
        <v>3372</v>
      </c>
      <c r="C91" t="s">
        <v>3129</v>
      </c>
      <c r="D91" t="s">
        <v>3130</v>
      </c>
      <c r="E91" t="s">
        <v>3373</v>
      </c>
      <c r="F91" t="s">
        <v>3374</v>
      </c>
      <c r="G91" t="s">
        <v>3141</v>
      </c>
      <c r="H91" t="s">
        <v>3102</v>
      </c>
      <c r="I91">
        <v>39.380000000000003</v>
      </c>
      <c r="J91">
        <v>14166.18</v>
      </c>
      <c r="K91">
        <v>557864</v>
      </c>
      <c r="L91" s="2961">
        <v>43196</v>
      </c>
      <c r="M91" t="s">
        <v>3134</v>
      </c>
      <c r="N91" t="s">
        <v>3135</v>
      </c>
      <c r="O91" t="s">
        <v>3136</v>
      </c>
    </row>
    <row r="92" spans="1:15">
      <c r="A92" t="s">
        <v>3137</v>
      </c>
      <c r="B92" t="s">
        <v>3138</v>
      </c>
      <c r="C92" t="s">
        <v>3129</v>
      </c>
      <c r="D92" t="s">
        <v>3130</v>
      </c>
      <c r="E92" t="s">
        <v>3139</v>
      </c>
      <c r="F92" t="s">
        <v>3140</v>
      </c>
      <c r="G92" t="s">
        <v>3141</v>
      </c>
      <c r="H92" t="s">
        <v>3102</v>
      </c>
      <c r="I92">
        <v>46.38</v>
      </c>
      <c r="J92">
        <v>13985.79</v>
      </c>
      <c r="K92">
        <v>648661</v>
      </c>
      <c r="L92" s="2961">
        <v>43239</v>
      </c>
      <c r="M92" t="s">
        <v>3134</v>
      </c>
      <c r="N92" t="s">
        <v>3135</v>
      </c>
      <c r="O92" t="s">
        <v>3136</v>
      </c>
    </row>
    <row r="93" spans="1:15">
      <c r="A93" t="s">
        <v>3142</v>
      </c>
      <c r="B93" t="s">
        <v>3143</v>
      </c>
      <c r="C93" t="s">
        <v>3129</v>
      </c>
      <c r="D93" t="s">
        <v>3130</v>
      </c>
      <c r="E93" t="s">
        <v>3144</v>
      </c>
      <c r="F93" t="s">
        <v>3140</v>
      </c>
      <c r="G93" t="s">
        <v>3141</v>
      </c>
      <c r="H93" t="s">
        <v>3102</v>
      </c>
      <c r="I93">
        <v>40.090000000000003</v>
      </c>
      <c r="J93">
        <v>14037.32</v>
      </c>
      <c r="K93">
        <v>562756</v>
      </c>
      <c r="L93" s="2961">
        <v>43239</v>
      </c>
      <c r="M93" t="s">
        <v>3134</v>
      </c>
      <c r="N93" t="s">
        <v>3135</v>
      </c>
      <c r="O93" t="s">
        <v>3136</v>
      </c>
    </row>
    <row r="94" spans="1:15">
      <c r="A94" t="s">
        <v>3363</v>
      </c>
      <c r="B94" t="s">
        <v>3364</v>
      </c>
      <c r="C94" t="s">
        <v>3129</v>
      </c>
      <c r="D94" t="s">
        <v>3130</v>
      </c>
      <c r="E94" t="s">
        <v>3365</v>
      </c>
      <c r="F94" t="s">
        <v>3366</v>
      </c>
      <c r="G94" t="s">
        <v>3141</v>
      </c>
      <c r="H94" t="s">
        <v>3102</v>
      </c>
      <c r="I94">
        <v>34.04</v>
      </c>
      <c r="J94">
        <v>14657.43</v>
      </c>
      <c r="K94">
        <v>498939</v>
      </c>
      <c r="L94" s="2961">
        <v>43197</v>
      </c>
      <c r="M94" t="s">
        <v>3134</v>
      </c>
      <c r="N94" t="s">
        <v>3135</v>
      </c>
      <c r="O94" t="s">
        <v>3136</v>
      </c>
    </row>
    <row r="95" spans="1:15">
      <c r="A95" t="s">
        <v>3487</v>
      </c>
      <c r="B95" t="s">
        <v>3488</v>
      </c>
      <c r="C95" t="s">
        <v>3129</v>
      </c>
      <c r="D95" t="s">
        <v>3130</v>
      </c>
      <c r="E95" t="s">
        <v>3489</v>
      </c>
      <c r="F95" t="s">
        <v>3490</v>
      </c>
      <c r="G95" t="s">
        <v>3133</v>
      </c>
      <c r="H95" t="s">
        <v>3102</v>
      </c>
      <c r="I95">
        <v>34.04</v>
      </c>
      <c r="J95">
        <v>14598.56</v>
      </c>
      <c r="K95">
        <v>496935</v>
      </c>
      <c r="L95" s="2961">
        <v>43190</v>
      </c>
      <c r="M95" t="s">
        <v>3134</v>
      </c>
      <c r="N95" t="s">
        <v>3135</v>
      </c>
      <c r="O95" t="s">
        <v>3136</v>
      </c>
    </row>
    <row r="96" spans="1:15">
      <c r="A96" t="s">
        <v>3475</v>
      </c>
      <c r="B96" t="s">
        <v>3476</v>
      </c>
      <c r="C96" t="s">
        <v>3129</v>
      </c>
      <c r="D96" t="s">
        <v>3130</v>
      </c>
      <c r="E96" t="s">
        <v>3477</v>
      </c>
      <c r="F96" t="s">
        <v>3478</v>
      </c>
      <c r="G96" t="s">
        <v>3133</v>
      </c>
      <c r="H96" t="s">
        <v>3102</v>
      </c>
      <c r="I96">
        <v>33.28</v>
      </c>
      <c r="J96">
        <v>14810.37</v>
      </c>
      <c r="K96">
        <v>492889</v>
      </c>
      <c r="L96" s="2961">
        <v>43190</v>
      </c>
      <c r="M96" t="s">
        <v>3134</v>
      </c>
      <c r="N96" t="s">
        <v>3135</v>
      </c>
      <c r="O96" t="s">
        <v>3136</v>
      </c>
    </row>
    <row r="97" spans="1:15">
      <c r="A97" t="s">
        <v>3311</v>
      </c>
      <c r="B97" t="s">
        <v>3312</v>
      </c>
      <c r="C97" t="s">
        <v>3129</v>
      </c>
      <c r="D97" t="s">
        <v>3130</v>
      </c>
      <c r="E97" t="s">
        <v>3313</v>
      </c>
      <c r="F97" t="s">
        <v>3314</v>
      </c>
      <c r="G97" t="s">
        <v>3141</v>
      </c>
      <c r="H97" t="s">
        <v>3102</v>
      </c>
      <c r="I97">
        <v>92.55</v>
      </c>
      <c r="J97">
        <v>16407.96</v>
      </c>
      <c r="K97">
        <v>1518557</v>
      </c>
      <c r="L97" s="2961">
        <v>43201</v>
      </c>
      <c r="M97" t="s">
        <v>3134</v>
      </c>
      <c r="N97" t="s">
        <v>3135</v>
      </c>
      <c r="O97" t="s">
        <v>3136</v>
      </c>
    </row>
    <row r="98" spans="1:15">
      <c r="A98" t="s">
        <v>3220</v>
      </c>
      <c r="B98" t="s">
        <v>3221</v>
      </c>
      <c r="C98" t="s">
        <v>3129</v>
      </c>
      <c r="D98" t="s">
        <v>3130</v>
      </c>
      <c r="E98" t="s">
        <v>3222</v>
      </c>
      <c r="F98" t="s">
        <v>3223</v>
      </c>
      <c r="G98" t="s">
        <v>3141</v>
      </c>
      <c r="H98" t="s">
        <v>3102</v>
      </c>
      <c r="I98">
        <v>80.989999999999995</v>
      </c>
      <c r="J98">
        <v>15686.47</v>
      </c>
      <c r="K98">
        <v>1270447</v>
      </c>
      <c r="L98" s="2961">
        <v>43209</v>
      </c>
      <c r="M98" t="s">
        <v>3134</v>
      </c>
      <c r="N98" t="s">
        <v>3135</v>
      </c>
      <c r="O98" t="s">
        <v>3136</v>
      </c>
    </row>
    <row r="99" spans="1:15">
      <c r="A99" t="s">
        <v>3236</v>
      </c>
      <c r="B99" t="s">
        <v>3237</v>
      </c>
      <c r="C99" t="s">
        <v>3129</v>
      </c>
      <c r="D99" t="s">
        <v>3130</v>
      </c>
      <c r="E99" t="s">
        <v>3238</v>
      </c>
      <c r="F99" t="s">
        <v>3235</v>
      </c>
      <c r="G99" t="s">
        <v>3141</v>
      </c>
      <c r="H99" t="s">
        <v>3102</v>
      </c>
      <c r="I99">
        <v>80.989999999999995</v>
      </c>
      <c r="J99">
        <v>14552.67</v>
      </c>
      <c r="K99">
        <v>1178621</v>
      </c>
      <c r="L99" s="2961">
        <v>43206</v>
      </c>
      <c r="M99" t="s">
        <v>3134</v>
      </c>
      <c r="N99" t="s">
        <v>3135</v>
      </c>
      <c r="O99" t="s">
        <v>3136</v>
      </c>
    </row>
    <row r="100" spans="1:15">
      <c r="A100" t="s">
        <v>3232</v>
      </c>
      <c r="B100" t="s">
        <v>3233</v>
      </c>
      <c r="C100" t="s">
        <v>3129</v>
      </c>
      <c r="D100" t="s">
        <v>3130</v>
      </c>
      <c r="E100" t="s">
        <v>3234</v>
      </c>
      <c r="F100" t="s">
        <v>3235</v>
      </c>
      <c r="G100" t="s">
        <v>3141</v>
      </c>
      <c r="H100" t="s">
        <v>3102</v>
      </c>
      <c r="I100">
        <v>80.989999999999995</v>
      </c>
      <c r="J100">
        <v>14449.6</v>
      </c>
      <c r="K100">
        <v>1170273</v>
      </c>
      <c r="L100" s="2961">
        <v>43206</v>
      </c>
      <c r="M100" t="s">
        <v>3134</v>
      </c>
      <c r="N100" t="s">
        <v>3135</v>
      </c>
      <c r="O100" t="s">
        <v>3136</v>
      </c>
    </row>
    <row r="101" spans="1:15">
      <c r="A101" t="s">
        <v>3263</v>
      </c>
      <c r="B101" t="s">
        <v>3264</v>
      </c>
      <c r="C101" t="s">
        <v>3129</v>
      </c>
      <c r="D101" t="s">
        <v>3130</v>
      </c>
      <c r="E101" t="s">
        <v>3265</v>
      </c>
      <c r="F101" t="s">
        <v>3266</v>
      </c>
      <c r="G101" t="s">
        <v>3141</v>
      </c>
      <c r="H101" t="s">
        <v>3102</v>
      </c>
      <c r="I101">
        <v>67.489999999999995</v>
      </c>
      <c r="J101">
        <v>14964.96</v>
      </c>
      <c r="K101">
        <v>1009985</v>
      </c>
      <c r="L101" s="2961">
        <v>43205</v>
      </c>
      <c r="M101" t="s">
        <v>3134</v>
      </c>
      <c r="N101" t="s">
        <v>3135</v>
      </c>
      <c r="O101" t="s">
        <v>3136</v>
      </c>
    </row>
    <row r="102" spans="1:15">
      <c r="A102" t="s">
        <v>3630</v>
      </c>
      <c r="B102" t="s">
        <v>3631</v>
      </c>
      <c r="C102" t="s">
        <v>3129</v>
      </c>
      <c r="D102" t="s">
        <v>3130</v>
      </c>
      <c r="E102" t="s">
        <v>3632</v>
      </c>
      <c r="F102" t="s">
        <v>3633</v>
      </c>
      <c r="G102" t="s">
        <v>3133</v>
      </c>
      <c r="H102" t="s">
        <v>3102</v>
      </c>
      <c r="I102">
        <v>31.62</v>
      </c>
      <c r="J102">
        <v>15271.73</v>
      </c>
      <c r="K102">
        <v>482892</v>
      </c>
      <c r="L102" s="2961">
        <v>43188</v>
      </c>
      <c r="M102" t="s">
        <v>3134</v>
      </c>
      <c r="N102" t="s">
        <v>3135</v>
      </c>
      <c r="O102" t="s">
        <v>3136</v>
      </c>
    </row>
    <row r="103" spans="1:15">
      <c r="A103" t="s">
        <v>3471</v>
      </c>
      <c r="B103" t="s">
        <v>3472</v>
      </c>
      <c r="C103" t="s">
        <v>3129</v>
      </c>
      <c r="D103" t="s">
        <v>3130</v>
      </c>
      <c r="E103" t="s">
        <v>3473</v>
      </c>
      <c r="F103" t="s">
        <v>3474</v>
      </c>
      <c r="G103" t="s">
        <v>3133</v>
      </c>
      <c r="H103" t="s">
        <v>3102</v>
      </c>
      <c r="I103">
        <v>31.24</v>
      </c>
      <c r="J103">
        <v>15514.94</v>
      </c>
      <c r="K103">
        <v>484687</v>
      </c>
      <c r="L103" s="2961">
        <v>43190</v>
      </c>
      <c r="M103" t="s">
        <v>3134</v>
      </c>
      <c r="N103" t="s">
        <v>3135</v>
      </c>
      <c r="O103" t="s">
        <v>3136</v>
      </c>
    </row>
    <row r="104" spans="1:15">
      <c r="A104" t="s">
        <v>3491</v>
      </c>
      <c r="B104" t="s">
        <v>3492</v>
      </c>
      <c r="C104" t="s">
        <v>3129</v>
      </c>
      <c r="D104" t="s">
        <v>3130</v>
      </c>
      <c r="E104" t="s">
        <v>3493</v>
      </c>
      <c r="F104" t="s">
        <v>3494</v>
      </c>
      <c r="G104" t="s">
        <v>3133</v>
      </c>
      <c r="H104" t="s">
        <v>3102</v>
      </c>
      <c r="I104">
        <v>31.24</v>
      </c>
      <c r="J104">
        <v>15181.72</v>
      </c>
      <c r="K104">
        <v>474277</v>
      </c>
      <c r="L104" s="2961">
        <v>43190</v>
      </c>
      <c r="M104" t="s">
        <v>3134</v>
      </c>
      <c r="N104" t="s">
        <v>3135</v>
      </c>
      <c r="O104" t="s">
        <v>3136</v>
      </c>
    </row>
    <row r="105" spans="1:15">
      <c r="A105" t="s">
        <v>3543</v>
      </c>
      <c r="B105" t="s">
        <v>3544</v>
      </c>
      <c r="C105" t="s">
        <v>3129</v>
      </c>
      <c r="D105" t="s">
        <v>3130</v>
      </c>
      <c r="E105" t="s">
        <v>3545</v>
      </c>
      <c r="F105" t="s">
        <v>3546</v>
      </c>
      <c r="G105" t="s">
        <v>3141</v>
      </c>
      <c r="H105" t="s">
        <v>3102</v>
      </c>
      <c r="I105">
        <v>31.24</v>
      </c>
      <c r="J105">
        <v>15364.05</v>
      </c>
      <c r="K105">
        <v>479973</v>
      </c>
      <c r="L105" s="2961">
        <v>43190</v>
      </c>
      <c r="M105" t="s">
        <v>3134</v>
      </c>
      <c r="N105" t="s">
        <v>3135</v>
      </c>
      <c r="O105" t="s">
        <v>3136</v>
      </c>
    </row>
    <row r="106" spans="1:15">
      <c r="A106" t="s">
        <v>3539</v>
      </c>
      <c r="B106" t="s">
        <v>3540</v>
      </c>
      <c r="C106" t="s">
        <v>3129</v>
      </c>
      <c r="D106" t="s">
        <v>3130</v>
      </c>
      <c r="E106" t="s">
        <v>3541</v>
      </c>
      <c r="F106" t="s">
        <v>3542</v>
      </c>
      <c r="G106" t="s">
        <v>3141</v>
      </c>
      <c r="H106" t="s">
        <v>3102</v>
      </c>
      <c r="I106">
        <v>31.24</v>
      </c>
      <c r="J106">
        <v>15236.52</v>
      </c>
      <c r="K106">
        <v>475989</v>
      </c>
      <c r="L106" s="2961">
        <v>43190</v>
      </c>
      <c r="M106" t="s">
        <v>3134</v>
      </c>
      <c r="N106" t="s">
        <v>3135</v>
      </c>
      <c r="O106" t="s">
        <v>3136</v>
      </c>
    </row>
    <row r="107" spans="1:15">
      <c r="A107" t="s">
        <v>3531</v>
      </c>
      <c r="B107" t="s">
        <v>3532</v>
      </c>
      <c r="C107" t="s">
        <v>3129</v>
      </c>
      <c r="D107" t="s">
        <v>3130</v>
      </c>
      <c r="E107" t="s">
        <v>3533</v>
      </c>
      <c r="F107" t="s">
        <v>3534</v>
      </c>
      <c r="G107" t="s">
        <v>3133</v>
      </c>
      <c r="H107" t="s">
        <v>3102</v>
      </c>
      <c r="I107">
        <v>30.85</v>
      </c>
      <c r="J107">
        <v>14702.72</v>
      </c>
      <c r="K107">
        <v>453579</v>
      </c>
      <c r="L107" s="2961">
        <v>43190</v>
      </c>
      <c r="M107" t="s">
        <v>3134</v>
      </c>
      <c r="N107" t="s">
        <v>3135</v>
      </c>
      <c r="O107" t="s">
        <v>3136</v>
      </c>
    </row>
    <row r="108" spans="1:15">
      <c r="A108" t="s">
        <v>3507</v>
      </c>
      <c r="B108" t="s">
        <v>3508</v>
      </c>
      <c r="C108" t="s">
        <v>3129</v>
      </c>
      <c r="D108" t="s">
        <v>3130</v>
      </c>
      <c r="E108" t="s">
        <v>3509</v>
      </c>
      <c r="F108" t="s">
        <v>3510</v>
      </c>
      <c r="G108" t="s">
        <v>3141</v>
      </c>
      <c r="H108" t="s">
        <v>3102</v>
      </c>
      <c r="I108">
        <v>31.62</v>
      </c>
      <c r="J108">
        <v>15130.27</v>
      </c>
      <c r="K108">
        <v>478419</v>
      </c>
      <c r="L108" s="2961">
        <v>43190</v>
      </c>
      <c r="M108" t="s">
        <v>3134</v>
      </c>
      <c r="N108" t="s">
        <v>3135</v>
      </c>
      <c r="O108" t="s">
        <v>3136</v>
      </c>
    </row>
    <row r="109" spans="1:15">
      <c r="A109" t="s">
        <v>3555</v>
      </c>
      <c r="B109" t="s">
        <v>3556</v>
      </c>
      <c r="C109" t="s">
        <v>3129</v>
      </c>
      <c r="D109" t="s">
        <v>3130</v>
      </c>
      <c r="E109" t="s">
        <v>3557</v>
      </c>
      <c r="F109" t="s">
        <v>3558</v>
      </c>
      <c r="G109" t="s">
        <v>3141</v>
      </c>
      <c r="H109" t="s">
        <v>3102</v>
      </c>
      <c r="I109">
        <v>31.24</v>
      </c>
      <c r="J109">
        <v>15257.78</v>
      </c>
      <c r="K109">
        <v>476653</v>
      </c>
      <c r="L109" s="2961">
        <v>43188</v>
      </c>
      <c r="M109" t="s">
        <v>3134</v>
      </c>
      <c r="N109" t="s">
        <v>3135</v>
      </c>
      <c r="O109" t="s">
        <v>3136</v>
      </c>
    </row>
    <row r="110" spans="1:15">
      <c r="A110" t="s">
        <v>3559</v>
      </c>
      <c r="B110" t="s">
        <v>3560</v>
      </c>
      <c r="C110" t="s">
        <v>3129</v>
      </c>
      <c r="D110" t="s">
        <v>3130</v>
      </c>
      <c r="E110" t="s">
        <v>3561</v>
      </c>
      <c r="F110" t="s">
        <v>3562</v>
      </c>
      <c r="G110" t="s">
        <v>3133</v>
      </c>
      <c r="H110" t="s">
        <v>3102</v>
      </c>
      <c r="I110">
        <v>31.24</v>
      </c>
      <c r="J110">
        <v>15389.98</v>
      </c>
      <c r="K110">
        <v>480783</v>
      </c>
      <c r="L110" s="2961">
        <v>43189</v>
      </c>
      <c r="M110" t="s">
        <v>3134</v>
      </c>
      <c r="N110" t="s">
        <v>3135</v>
      </c>
      <c r="O110" t="s">
        <v>3136</v>
      </c>
    </row>
    <row r="111" spans="1:15">
      <c r="A111" t="s">
        <v>3634</v>
      </c>
      <c r="B111" t="s">
        <v>3635</v>
      </c>
      <c r="C111" t="s">
        <v>3129</v>
      </c>
      <c r="D111" t="s">
        <v>3130</v>
      </c>
      <c r="E111" t="s">
        <v>3636</v>
      </c>
      <c r="F111" t="s">
        <v>3637</v>
      </c>
      <c r="G111" t="s">
        <v>3133</v>
      </c>
      <c r="H111" t="s">
        <v>3102</v>
      </c>
      <c r="I111">
        <v>31.24</v>
      </c>
      <c r="J111">
        <v>14681.88</v>
      </c>
      <c r="K111">
        <v>458662</v>
      </c>
      <c r="L111" s="2961">
        <v>43188</v>
      </c>
      <c r="M111" t="s">
        <v>3134</v>
      </c>
      <c r="N111" t="s">
        <v>3135</v>
      </c>
      <c r="O111" t="s">
        <v>3136</v>
      </c>
    </row>
    <row r="112" spans="1:15">
      <c r="A112" t="s">
        <v>3646</v>
      </c>
      <c r="B112" t="s">
        <v>3647</v>
      </c>
      <c r="C112" t="s">
        <v>3129</v>
      </c>
      <c r="D112" t="s">
        <v>3130</v>
      </c>
      <c r="E112" t="s">
        <v>3648</v>
      </c>
      <c r="F112" t="s">
        <v>3649</v>
      </c>
      <c r="G112" t="s">
        <v>3141</v>
      </c>
      <c r="H112" t="s">
        <v>3102</v>
      </c>
      <c r="I112">
        <v>31.24</v>
      </c>
      <c r="J112">
        <v>15257.78</v>
      </c>
      <c r="K112">
        <v>476653</v>
      </c>
      <c r="L112" s="2961">
        <v>43188</v>
      </c>
      <c r="M112" t="s">
        <v>3134</v>
      </c>
      <c r="N112" t="s">
        <v>3135</v>
      </c>
      <c r="O112" t="s">
        <v>3136</v>
      </c>
    </row>
    <row r="113" spans="1:15">
      <c r="A113" t="s">
        <v>3622</v>
      </c>
      <c r="B113" t="s">
        <v>3623</v>
      </c>
      <c r="C113" t="s">
        <v>3129</v>
      </c>
      <c r="D113" t="s">
        <v>3130</v>
      </c>
      <c r="E113" t="s">
        <v>3624</v>
      </c>
      <c r="F113" t="s">
        <v>3625</v>
      </c>
      <c r="G113" t="s">
        <v>3141</v>
      </c>
      <c r="H113" t="s">
        <v>3102</v>
      </c>
      <c r="I113">
        <v>33.94</v>
      </c>
      <c r="J113">
        <v>15583.41</v>
      </c>
      <c r="K113">
        <v>528901</v>
      </c>
      <c r="L113" s="2961">
        <v>43188</v>
      </c>
      <c r="M113" t="s">
        <v>3134</v>
      </c>
      <c r="N113" t="s">
        <v>3135</v>
      </c>
      <c r="O113" t="s">
        <v>3136</v>
      </c>
    </row>
    <row r="114" spans="1:15">
      <c r="A114" t="s">
        <v>3567</v>
      </c>
      <c r="B114" t="s">
        <v>3568</v>
      </c>
      <c r="C114" t="s">
        <v>3129</v>
      </c>
      <c r="D114" t="s">
        <v>3130</v>
      </c>
      <c r="E114" t="s">
        <v>3569</v>
      </c>
      <c r="F114" t="s">
        <v>3570</v>
      </c>
      <c r="G114" t="s">
        <v>3141</v>
      </c>
      <c r="H114" t="s">
        <v>3102</v>
      </c>
      <c r="I114">
        <v>35.090000000000003</v>
      </c>
      <c r="J114">
        <v>15336.02</v>
      </c>
      <c r="K114">
        <v>538141</v>
      </c>
      <c r="L114" s="2961">
        <v>43188</v>
      </c>
      <c r="M114" t="s">
        <v>3134</v>
      </c>
      <c r="N114" t="s">
        <v>3135</v>
      </c>
      <c r="O114" t="s">
        <v>3136</v>
      </c>
    </row>
    <row r="115" spans="1:15">
      <c r="A115" t="s">
        <v>3511</v>
      </c>
      <c r="B115" t="s">
        <v>3512</v>
      </c>
      <c r="C115" t="s">
        <v>3129</v>
      </c>
      <c r="D115" t="s">
        <v>3130</v>
      </c>
      <c r="E115" t="s">
        <v>3513</v>
      </c>
      <c r="F115" t="s">
        <v>3514</v>
      </c>
      <c r="G115" t="s">
        <v>3141</v>
      </c>
      <c r="H115" t="s">
        <v>3102</v>
      </c>
      <c r="I115">
        <v>31.24</v>
      </c>
      <c r="J115">
        <v>15799.71</v>
      </c>
      <c r="K115">
        <v>493583</v>
      </c>
      <c r="L115" s="2961">
        <v>43190</v>
      </c>
      <c r="M115" t="s">
        <v>3134</v>
      </c>
      <c r="N115" t="s">
        <v>3135</v>
      </c>
      <c r="O115" t="s">
        <v>3136</v>
      </c>
    </row>
    <row r="116" spans="1:15">
      <c r="A116" t="s">
        <v>3159</v>
      </c>
      <c r="B116" t="s">
        <v>3160</v>
      </c>
      <c r="C116" t="s">
        <v>3129</v>
      </c>
      <c r="D116" t="s">
        <v>3130</v>
      </c>
      <c r="E116" t="s">
        <v>3161</v>
      </c>
      <c r="F116" t="s">
        <v>3162</v>
      </c>
      <c r="G116" t="s">
        <v>3133</v>
      </c>
      <c r="H116" t="s">
        <v>3102</v>
      </c>
      <c r="I116">
        <v>31.24</v>
      </c>
      <c r="J116">
        <v>15576.57</v>
      </c>
      <c r="K116">
        <v>486612</v>
      </c>
      <c r="L116" s="2961">
        <v>43226</v>
      </c>
      <c r="M116" t="s">
        <v>3134</v>
      </c>
      <c r="N116" t="s">
        <v>3135</v>
      </c>
      <c r="O116" t="s">
        <v>3136</v>
      </c>
    </row>
    <row r="117" spans="1:15">
      <c r="A117" t="s">
        <v>3650</v>
      </c>
      <c r="B117" t="s">
        <v>3651</v>
      </c>
      <c r="C117" t="s">
        <v>3129</v>
      </c>
      <c r="D117" t="s">
        <v>3130</v>
      </c>
      <c r="E117" t="s">
        <v>3652</v>
      </c>
      <c r="F117" t="s">
        <v>3653</v>
      </c>
      <c r="G117" t="s">
        <v>3141</v>
      </c>
      <c r="H117" t="s">
        <v>3102</v>
      </c>
      <c r="I117">
        <v>31.24</v>
      </c>
      <c r="J117">
        <v>14747.73</v>
      </c>
      <c r="K117">
        <v>460719</v>
      </c>
      <c r="L117" s="2961">
        <v>43188</v>
      </c>
      <c r="M117" t="s">
        <v>3134</v>
      </c>
      <c r="N117" t="s">
        <v>3135</v>
      </c>
      <c r="O117" t="s">
        <v>3136</v>
      </c>
    </row>
    <row r="118" spans="1:15">
      <c r="A118" t="s">
        <v>3674</v>
      </c>
      <c r="B118" t="s">
        <v>3675</v>
      </c>
      <c r="C118" t="s">
        <v>3129</v>
      </c>
      <c r="D118" t="s">
        <v>3130</v>
      </c>
      <c r="E118" t="s">
        <v>3676</v>
      </c>
      <c r="F118" t="s">
        <v>3677</v>
      </c>
      <c r="G118" t="s">
        <v>3141</v>
      </c>
      <c r="H118" t="s">
        <v>3102</v>
      </c>
      <c r="I118">
        <v>24.98</v>
      </c>
      <c r="J118">
        <v>14407.73</v>
      </c>
      <c r="K118">
        <v>359905</v>
      </c>
      <c r="L118" s="2961">
        <v>43188</v>
      </c>
      <c r="M118" t="s">
        <v>3134</v>
      </c>
      <c r="N118" t="s">
        <v>3135</v>
      </c>
      <c r="O118" t="s">
        <v>3136</v>
      </c>
    </row>
    <row r="119" spans="1:15">
      <c r="A119" t="s">
        <v>3670</v>
      </c>
      <c r="B119" t="s">
        <v>3671</v>
      </c>
      <c r="C119" t="s">
        <v>3129</v>
      </c>
      <c r="D119" t="s">
        <v>3130</v>
      </c>
      <c r="E119" t="s">
        <v>3672</v>
      </c>
      <c r="F119" t="s">
        <v>3673</v>
      </c>
      <c r="G119" t="s">
        <v>3141</v>
      </c>
      <c r="H119" t="s">
        <v>3102</v>
      </c>
      <c r="I119">
        <v>40.659999999999997</v>
      </c>
      <c r="J119">
        <v>14655.76</v>
      </c>
      <c r="K119">
        <v>595903</v>
      </c>
      <c r="L119" s="2961">
        <v>43188</v>
      </c>
      <c r="M119" t="s">
        <v>3134</v>
      </c>
      <c r="N119" t="s">
        <v>3135</v>
      </c>
      <c r="O119" t="s">
        <v>3136</v>
      </c>
    </row>
    <row r="120" spans="1:15">
      <c r="A120" t="s">
        <v>3642</v>
      </c>
      <c r="B120" t="s">
        <v>3643</v>
      </c>
      <c r="C120" t="s">
        <v>3129</v>
      </c>
      <c r="D120" t="s">
        <v>3130</v>
      </c>
      <c r="E120" t="s">
        <v>3644</v>
      </c>
      <c r="F120" t="s">
        <v>3645</v>
      </c>
      <c r="G120" t="s">
        <v>3141</v>
      </c>
      <c r="H120" t="s">
        <v>3102</v>
      </c>
      <c r="I120">
        <v>38.51</v>
      </c>
      <c r="J120">
        <v>15325.71</v>
      </c>
      <c r="K120">
        <v>590193</v>
      </c>
      <c r="L120" s="2961">
        <v>43188</v>
      </c>
      <c r="M120" t="s">
        <v>3134</v>
      </c>
      <c r="N120" t="s">
        <v>3135</v>
      </c>
      <c r="O120" t="s">
        <v>3136</v>
      </c>
    </row>
    <row r="121" spans="1:15">
      <c r="A121" t="s">
        <v>3359</v>
      </c>
      <c r="B121" t="s">
        <v>3360</v>
      </c>
      <c r="C121" t="s">
        <v>3129</v>
      </c>
      <c r="D121" t="s">
        <v>3130</v>
      </c>
      <c r="E121" t="s">
        <v>3361</v>
      </c>
      <c r="F121" t="s">
        <v>3362</v>
      </c>
      <c r="G121" t="s">
        <v>3141</v>
      </c>
      <c r="H121" t="s">
        <v>3102</v>
      </c>
      <c r="I121">
        <v>33.68</v>
      </c>
      <c r="J121">
        <v>14684</v>
      </c>
      <c r="K121">
        <v>494557</v>
      </c>
      <c r="L121" s="2961">
        <v>43198</v>
      </c>
      <c r="M121" t="s">
        <v>3134</v>
      </c>
      <c r="N121" t="s">
        <v>3135</v>
      </c>
      <c r="O121" t="s">
        <v>3136</v>
      </c>
    </row>
    <row r="122" spans="1:15">
      <c r="A122" t="s">
        <v>3415</v>
      </c>
      <c r="B122" t="s">
        <v>3416</v>
      </c>
      <c r="C122" t="s">
        <v>3129</v>
      </c>
      <c r="D122" t="s">
        <v>3130</v>
      </c>
      <c r="E122" t="s">
        <v>3417</v>
      </c>
      <c r="F122" t="s">
        <v>3418</v>
      </c>
      <c r="G122" t="s">
        <v>3133</v>
      </c>
      <c r="H122" t="s">
        <v>3102</v>
      </c>
      <c r="I122">
        <v>30.41</v>
      </c>
      <c r="J122">
        <v>15223.38</v>
      </c>
      <c r="K122">
        <v>462943</v>
      </c>
      <c r="L122" s="2961">
        <v>43190</v>
      </c>
      <c r="M122" t="s">
        <v>3134</v>
      </c>
      <c r="N122" t="s">
        <v>3135</v>
      </c>
      <c r="O122" t="s">
        <v>3136</v>
      </c>
    </row>
    <row r="123" spans="1:15">
      <c r="A123" t="s">
        <v>3598</v>
      </c>
      <c r="B123" t="s">
        <v>3599</v>
      </c>
      <c r="C123" t="s">
        <v>3129</v>
      </c>
      <c r="D123" t="s">
        <v>3130</v>
      </c>
      <c r="E123" t="s">
        <v>3600</v>
      </c>
      <c r="F123" t="s">
        <v>3601</v>
      </c>
      <c r="G123" t="s">
        <v>3133</v>
      </c>
      <c r="H123" t="s">
        <v>3102</v>
      </c>
      <c r="I123">
        <v>23.6</v>
      </c>
      <c r="J123">
        <v>15129.66</v>
      </c>
      <c r="K123">
        <v>357060</v>
      </c>
      <c r="L123" s="2961">
        <v>43188</v>
      </c>
      <c r="M123" t="s">
        <v>3134</v>
      </c>
      <c r="N123" t="s">
        <v>3135</v>
      </c>
      <c r="O123" t="s">
        <v>3136</v>
      </c>
    </row>
    <row r="124" spans="1:15">
      <c r="A124" t="s">
        <v>3519</v>
      </c>
      <c r="B124" t="s">
        <v>3520</v>
      </c>
      <c r="C124" t="s">
        <v>3129</v>
      </c>
      <c r="D124" t="s">
        <v>3130</v>
      </c>
      <c r="E124" t="s">
        <v>3521</v>
      </c>
      <c r="F124" t="s">
        <v>3522</v>
      </c>
      <c r="G124" t="s">
        <v>3141</v>
      </c>
      <c r="H124" t="s">
        <v>3102</v>
      </c>
      <c r="I124">
        <v>24.03</v>
      </c>
      <c r="J124">
        <v>15215.31</v>
      </c>
      <c r="K124">
        <v>365624</v>
      </c>
      <c r="L124" s="2961">
        <v>43190</v>
      </c>
      <c r="M124" t="s">
        <v>3134</v>
      </c>
      <c r="N124" t="s">
        <v>3135</v>
      </c>
      <c r="O124" t="s">
        <v>3136</v>
      </c>
    </row>
    <row r="125" spans="1:15">
      <c r="A125" t="s">
        <v>3379</v>
      </c>
      <c r="B125" t="s">
        <v>3380</v>
      </c>
      <c r="C125" t="s">
        <v>3129</v>
      </c>
      <c r="D125" t="s">
        <v>3130</v>
      </c>
      <c r="E125" t="s">
        <v>3381</v>
      </c>
      <c r="F125" t="s">
        <v>3382</v>
      </c>
      <c r="G125" t="s">
        <v>3141</v>
      </c>
      <c r="H125" t="s">
        <v>3102</v>
      </c>
      <c r="I125">
        <v>27.34</v>
      </c>
      <c r="J125">
        <v>14641.48</v>
      </c>
      <c r="K125">
        <v>400298</v>
      </c>
      <c r="L125" s="2961">
        <v>43190</v>
      </c>
      <c r="M125" t="s">
        <v>3134</v>
      </c>
      <c r="N125" t="s">
        <v>3135</v>
      </c>
      <c r="O125" t="s">
        <v>3136</v>
      </c>
    </row>
    <row r="126" spans="1:15">
      <c r="A126" t="s">
        <v>3479</v>
      </c>
      <c r="B126" t="s">
        <v>3480</v>
      </c>
      <c r="C126" t="s">
        <v>3129</v>
      </c>
      <c r="D126" t="s">
        <v>3130</v>
      </c>
      <c r="E126" t="s">
        <v>3481</v>
      </c>
      <c r="F126" t="s">
        <v>3482</v>
      </c>
      <c r="G126" t="s">
        <v>3133</v>
      </c>
      <c r="H126" t="s">
        <v>3102</v>
      </c>
      <c r="I126">
        <v>27.34</v>
      </c>
      <c r="J126">
        <v>14536.14</v>
      </c>
      <c r="K126">
        <v>397418</v>
      </c>
      <c r="L126" s="2961">
        <v>43190</v>
      </c>
      <c r="M126" t="s">
        <v>3134</v>
      </c>
      <c r="N126" t="s">
        <v>3135</v>
      </c>
      <c r="O126" t="s">
        <v>3136</v>
      </c>
    </row>
    <row r="127" spans="1:15">
      <c r="A127" t="s">
        <v>3411</v>
      </c>
      <c r="B127" t="s">
        <v>3412</v>
      </c>
      <c r="C127" t="s">
        <v>3129</v>
      </c>
      <c r="D127" t="s">
        <v>3130</v>
      </c>
      <c r="E127" t="s">
        <v>3413</v>
      </c>
      <c r="F127" t="s">
        <v>3414</v>
      </c>
      <c r="G127" t="s">
        <v>3133</v>
      </c>
      <c r="H127" t="s">
        <v>3102</v>
      </c>
      <c r="I127">
        <v>27.34</v>
      </c>
      <c r="J127">
        <v>14754.79</v>
      </c>
      <c r="K127">
        <v>403396</v>
      </c>
      <c r="L127" s="2961">
        <v>43190</v>
      </c>
      <c r="M127" t="s">
        <v>3134</v>
      </c>
      <c r="N127" t="s">
        <v>3135</v>
      </c>
      <c r="O127" t="s">
        <v>3136</v>
      </c>
    </row>
    <row r="128" spans="1:15">
      <c r="A128" t="s">
        <v>3579</v>
      </c>
      <c r="B128" t="s">
        <v>3580</v>
      </c>
      <c r="C128" t="s">
        <v>3129</v>
      </c>
      <c r="D128" t="s">
        <v>3130</v>
      </c>
      <c r="E128" t="s">
        <v>3581</v>
      </c>
      <c r="F128" t="s">
        <v>3582</v>
      </c>
      <c r="G128" t="s">
        <v>3133</v>
      </c>
      <c r="H128" t="s">
        <v>3102</v>
      </c>
      <c r="I128">
        <v>30.7</v>
      </c>
      <c r="J128">
        <v>15364.04</v>
      </c>
      <c r="K128">
        <v>471676</v>
      </c>
      <c r="L128" s="2961">
        <v>43188</v>
      </c>
      <c r="M128" t="s">
        <v>3134</v>
      </c>
      <c r="N128" t="s">
        <v>3135</v>
      </c>
      <c r="O128" t="s">
        <v>3136</v>
      </c>
    </row>
    <row r="129" spans="1:15">
      <c r="A129" t="s">
        <v>3495</v>
      </c>
      <c r="B129" t="s">
        <v>3496</v>
      </c>
      <c r="C129" t="s">
        <v>3129</v>
      </c>
      <c r="D129" t="s">
        <v>3130</v>
      </c>
      <c r="E129" t="s">
        <v>3497</v>
      </c>
      <c r="F129" t="s">
        <v>3498</v>
      </c>
      <c r="G129" t="s">
        <v>3133</v>
      </c>
      <c r="H129" t="s">
        <v>3102</v>
      </c>
      <c r="I129">
        <v>29.69</v>
      </c>
      <c r="J129">
        <v>15056.79</v>
      </c>
      <c r="K129">
        <v>447036</v>
      </c>
      <c r="L129" s="2961">
        <v>43190</v>
      </c>
      <c r="M129" t="s">
        <v>3134</v>
      </c>
      <c r="N129" t="s">
        <v>3135</v>
      </c>
      <c r="O129" t="s">
        <v>3136</v>
      </c>
    </row>
    <row r="130" spans="1:15">
      <c r="A130" t="s">
        <v>3443</v>
      </c>
      <c r="B130" t="s">
        <v>3444</v>
      </c>
      <c r="C130" t="s">
        <v>3129</v>
      </c>
      <c r="D130" t="s">
        <v>3130</v>
      </c>
      <c r="E130" t="s">
        <v>3445</v>
      </c>
      <c r="F130" t="s">
        <v>3446</v>
      </c>
      <c r="G130" t="s">
        <v>3141</v>
      </c>
      <c r="H130" t="s">
        <v>3102</v>
      </c>
      <c r="I130">
        <v>27.34</v>
      </c>
      <c r="J130">
        <v>15151.54</v>
      </c>
      <c r="K130">
        <v>414243</v>
      </c>
      <c r="L130" s="2961">
        <v>43190</v>
      </c>
      <c r="M130" t="s">
        <v>3134</v>
      </c>
      <c r="N130" t="s">
        <v>3135</v>
      </c>
      <c r="O130" t="s">
        <v>3136</v>
      </c>
    </row>
    <row r="131" spans="1:15">
      <c r="A131" t="s">
        <v>3483</v>
      </c>
      <c r="B131" t="s">
        <v>3484</v>
      </c>
      <c r="C131" t="s">
        <v>3129</v>
      </c>
      <c r="D131" t="s">
        <v>3130</v>
      </c>
      <c r="E131" t="s">
        <v>3485</v>
      </c>
      <c r="F131" t="s">
        <v>3486</v>
      </c>
      <c r="G131" t="s">
        <v>3141</v>
      </c>
      <c r="H131" t="s">
        <v>3102</v>
      </c>
      <c r="I131">
        <v>27.34</v>
      </c>
      <c r="J131">
        <v>14343.96</v>
      </c>
      <c r="K131">
        <v>392164</v>
      </c>
      <c r="L131" s="2961">
        <v>43190</v>
      </c>
      <c r="M131" t="s">
        <v>3134</v>
      </c>
      <c r="N131" t="s">
        <v>3135</v>
      </c>
      <c r="O131" t="s">
        <v>3136</v>
      </c>
    </row>
    <row r="132" spans="1:15">
      <c r="A132" t="s">
        <v>3407</v>
      </c>
      <c r="B132" t="s">
        <v>3408</v>
      </c>
      <c r="C132" t="s">
        <v>3129</v>
      </c>
      <c r="D132" t="s">
        <v>3130</v>
      </c>
      <c r="E132" t="s">
        <v>3409</v>
      </c>
      <c r="F132" t="s">
        <v>3410</v>
      </c>
      <c r="G132" t="s">
        <v>3141</v>
      </c>
      <c r="H132" t="s">
        <v>3102</v>
      </c>
      <c r="I132">
        <v>27.34</v>
      </c>
      <c r="J132">
        <v>14960.28</v>
      </c>
      <c r="K132">
        <v>409014</v>
      </c>
      <c r="L132" s="2961">
        <v>43190</v>
      </c>
      <c r="M132" t="s">
        <v>3134</v>
      </c>
      <c r="N132" t="s">
        <v>3135</v>
      </c>
      <c r="O132" t="s">
        <v>3136</v>
      </c>
    </row>
    <row r="133" spans="1:15">
      <c r="A133" t="s">
        <v>3403</v>
      </c>
      <c r="B133" t="s">
        <v>3404</v>
      </c>
      <c r="C133" t="s">
        <v>3129</v>
      </c>
      <c r="D133" t="s">
        <v>3130</v>
      </c>
      <c r="E133" t="s">
        <v>3405</v>
      </c>
      <c r="F133" t="s">
        <v>3406</v>
      </c>
      <c r="G133" t="s">
        <v>3141</v>
      </c>
      <c r="H133" t="s">
        <v>3102</v>
      </c>
      <c r="I133">
        <v>27.34</v>
      </c>
      <c r="J133">
        <v>14832.77</v>
      </c>
      <c r="K133">
        <v>405528</v>
      </c>
      <c r="L133" s="2961">
        <v>43190</v>
      </c>
      <c r="M133" t="s">
        <v>3134</v>
      </c>
      <c r="N133" t="s">
        <v>3135</v>
      </c>
      <c r="O133" t="s">
        <v>3136</v>
      </c>
    </row>
    <row r="134" spans="1:15">
      <c r="A134" t="s">
        <v>3395</v>
      </c>
      <c r="B134" t="s">
        <v>3396</v>
      </c>
      <c r="C134" t="s">
        <v>3129</v>
      </c>
      <c r="D134" t="s">
        <v>3130</v>
      </c>
      <c r="E134" t="s">
        <v>3397</v>
      </c>
      <c r="F134" t="s">
        <v>3398</v>
      </c>
      <c r="G134" t="s">
        <v>3141</v>
      </c>
      <c r="H134" t="s">
        <v>3102</v>
      </c>
      <c r="I134">
        <v>27.68</v>
      </c>
      <c r="J134">
        <v>14705.24</v>
      </c>
      <c r="K134">
        <v>407041</v>
      </c>
      <c r="L134" s="2961">
        <v>43190</v>
      </c>
      <c r="M134" t="s">
        <v>3134</v>
      </c>
      <c r="N134" t="s">
        <v>3135</v>
      </c>
      <c r="O134" t="s">
        <v>3136</v>
      </c>
    </row>
    <row r="135" spans="1:15">
      <c r="A135" t="s">
        <v>3467</v>
      </c>
      <c r="B135" t="s">
        <v>3468</v>
      </c>
      <c r="C135" t="s">
        <v>3129</v>
      </c>
      <c r="D135" t="s">
        <v>3130</v>
      </c>
      <c r="E135" t="s">
        <v>3469</v>
      </c>
      <c r="F135" t="s">
        <v>3470</v>
      </c>
      <c r="G135" t="s">
        <v>3133</v>
      </c>
      <c r="H135" t="s">
        <v>3102</v>
      </c>
      <c r="I135">
        <v>27</v>
      </c>
      <c r="J135">
        <v>14577.74</v>
      </c>
      <c r="K135">
        <v>393599</v>
      </c>
      <c r="L135" s="2961">
        <v>43190</v>
      </c>
      <c r="M135" t="s">
        <v>3134</v>
      </c>
      <c r="N135" t="s">
        <v>3135</v>
      </c>
      <c r="O135" t="s">
        <v>3136</v>
      </c>
    </row>
    <row r="136" spans="1:15">
      <c r="A136" t="s">
        <v>3439</v>
      </c>
      <c r="B136" t="s">
        <v>3440</v>
      </c>
      <c r="C136" t="s">
        <v>3129</v>
      </c>
      <c r="D136" t="s">
        <v>3130</v>
      </c>
      <c r="E136" t="s">
        <v>3441</v>
      </c>
      <c r="F136" t="s">
        <v>3442</v>
      </c>
      <c r="G136" t="s">
        <v>3141</v>
      </c>
      <c r="H136" t="s">
        <v>3102</v>
      </c>
      <c r="I136">
        <v>27.34</v>
      </c>
      <c r="J136">
        <v>14768.98</v>
      </c>
      <c r="K136">
        <v>403784</v>
      </c>
      <c r="L136" s="2961">
        <v>43190</v>
      </c>
      <c r="M136" t="s">
        <v>3134</v>
      </c>
      <c r="N136" t="s">
        <v>3135</v>
      </c>
      <c r="O136" t="s">
        <v>3136</v>
      </c>
    </row>
    <row r="137" spans="1:15">
      <c r="A137" t="s">
        <v>3447</v>
      </c>
      <c r="B137" t="s">
        <v>3448</v>
      </c>
      <c r="C137" t="s">
        <v>3129</v>
      </c>
      <c r="D137" t="s">
        <v>3130</v>
      </c>
      <c r="E137" t="s">
        <v>3449</v>
      </c>
      <c r="F137" t="s">
        <v>3450</v>
      </c>
      <c r="G137" t="s">
        <v>3141</v>
      </c>
      <c r="H137" t="s">
        <v>3102</v>
      </c>
      <c r="I137">
        <v>27.34</v>
      </c>
      <c r="J137">
        <v>14896.53</v>
      </c>
      <c r="K137">
        <v>407271</v>
      </c>
      <c r="L137" s="2961">
        <v>43190</v>
      </c>
      <c r="M137" t="s">
        <v>3134</v>
      </c>
      <c r="N137" t="s">
        <v>3135</v>
      </c>
      <c r="O137" t="s">
        <v>3136</v>
      </c>
    </row>
    <row r="138" spans="1:15">
      <c r="A138" t="s">
        <v>3427</v>
      </c>
      <c r="B138" t="s">
        <v>3428</v>
      </c>
      <c r="C138" t="s">
        <v>3129</v>
      </c>
      <c r="D138" t="s">
        <v>3130</v>
      </c>
      <c r="E138" t="s">
        <v>3429</v>
      </c>
      <c r="F138" t="s">
        <v>3430</v>
      </c>
      <c r="G138" t="s">
        <v>3133</v>
      </c>
      <c r="H138" t="s">
        <v>3102</v>
      </c>
      <c r="I138">
        <v>27.34</v>
      </c>
      <c r="J138">
        <v>14723.56</v>
      </c>
      <c r="K138">
        <v>402542</v>
      </c>
      <c r="L138" s="2961">
        <v>43190</v>
      </c>
      <c r="M138" t="s">
        <v>3134</v>
      </c>
      <c r="N138" t="s">
        <v>3135</v>
      </c>
      <c r="O138" t="s">
        <v>3136</v>
      </c>
    </row>
    <row r="139" spans="1:15">
      <c r="A139" t="s">
        <v>3423</v>
      </c>
      <c r="B139" t="s">
        <v>3424</v>
      </c>
      <c r="C139" t="s">
        <v>3129</v>
      </c>
      <c r="D139" t="s">
        <v>3130</v>
      </c>
      <c r="E139" t="s">
        <v>3425</v>
      </c>
      <c r="F139" t="s">
        <v>3426</v>
      </c>
      <c r="G139" t="s">
        <v>3141</v>
      </c>
      <c r="H139" t="s">
        <v>3102</v>
      </c>
      <c r="I139">
        <v>27.34</v>
      </c>
      <c r="J139">
        <v>15151.54</v>
      </c>
      <c r="K139">
        <v>414243</v>
      </c>
      <c r="L139" s="2961">
        <v>43190</v>
      </c>
      <c r="M139" t="s">
        <v>3134</v>
      </c>
      <c r="N139" t="s">
        <v>3135</v>
      </c>
      <c r="O139" t="s">
        <v>3136</v>
      </c>
    </row>
    <row r="140" spans="1:15">
      <c r="A140" t="s">
        <v>3431</v>
      </c>
      <c r="B140" t="s">
        <v>3432</v>
      </c>
      <c r="C140" t="s">
        <v>3129</v>
      </c>
      <c r="D140" t="s">
        <v>3130</v>
      </c>
      <c r="E140" t="s">
        <v>3433</v>
      </c>
      <c r="F140" t="s">
        <v>3434</v>
      </c>
      <c r="G140" t="s">
        <v>3133</v>
      </c>
      <c r="H140" t="s">
        <v>3102</v>
      </c>
      <c r="I140">
        <v>27.68</v>
      </c>
      <c r="J140">
        <v>15181.72</v>
      </c>
      <c r="K140">
        <v>420230</v>
      </c>
      <c r="L140" s="2961">
        <v>43190</v>
      </c>
      <c r="M140" t="s">
        <v>3134</v>
      </c>
      <c r="N140" t="s">
        <v>3135</v>
      </c>
      <c r="O140" t="s">
        <v>3136</v>
      </c>
    </row>
  </sheetData>
  <autoFilter ref="A1:O1"/>
  <phoneticPr fontId="14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topLeftCell="A28" workbookViewId="0">
      <selection activeCell="J64" sqref="J64:J90"/>
    </sheetView>
  </sheetViews>
  <sheetFormatPr defaultRowHeight="13.5"/>
  <cols>
    <col min="12" max="12" width="11.625" style="2961" bestFit="1" customWidth="1"/>
  </cols>
  <sheetData>
    <row r="1" spans="1:15">
      <c r="A1" t="s">
        <v>3112</v>
      </c>
      <c r="B1" t="s">
        <v>3113</v>
      </c>
      <c r="C1" t="s">
        <v>3114</v>
      </c>
      <c r="D1" t="s">
        <v>3115</v>
      </c>
      <c r="E1" t="s">
        <v>3116</v>
      </c>
      <c r="F1" t="s">
        <v>3117</v>
      </c>
      <c r="G1" t="s">
        <v>3118</v>
      </c>
      <c r="H1" t="s">
        <v>3119</v>
      </c>
      <c r="I1" t="s">
        <v>3120</v>
      </c>
      <c r="J1" t="s">
        <v>3121</v>
      </c>
      <c r="K1" t="s">
        <v>3122</v>
      </c>
      <c r="L1" s="2961" t="s">
        <v>3123</v>
      </c>
      <c r="M1" t="s">
        <v>3124</v>
      </c>
      <c r="N1" t="s">
        <v>3125</v>
      </c>
      <c r="O1" t="s">
        <v>3126</v>
      </c>
    </row>
    <row r="2" spans="1:15">
      <c r="A2" t="s">
        <v>3754</v>
      </c>
      <c r="B2" t="s">
        <v>3755</v>
      </c>
      <c r="C2" t="s">
        <v>3684</v>
      </c>
      <c r="D2" t="s">
        <v>3130</v>
      </c>
      <c r="E2" t="s">
        <v>3465</v>
      </c>
      <c r="F2" t="s">
        <v>3756</v>
      </c>
      <c r="G2" t="s">
        <v>3141</v>
      </c>
      <c r="H2" t="s">
        <v>3102</v>
      </c>
      <c r="I2">
        <v>56.71</v>
      </c>
      <c r="J2">
        <v>37995.75</v>
      </c>
      <c r="K2">
        <v>2154739</v>
      </c>
      <c r="L2" s="2961">
        <v>42998</v>
      </c>
      <c r="M2" t="s">
        <v>3134</v>
      </c>
      <c r="N2" t="s">
        <v>3687</v>
      </c>
      <c r="O2" t="s">
        <v>3136</v>
      </c>
    </row>
    <row r="3" spans="1:15">
      <c r="A3" t="s">
        <v>3736</v>
      </c>
      <c r="B3" t="s">
        <v>3737</v>
      </c>
      <c r="C3" t="s">
        <v>3684</v>
      </c>
      <c r="D3" t="s">
        <v>3130</v>
      </c>
      <c r="E3" t="s">
        <v>3345</v>
      </c>
      <c r="F3" t="s">
        <v>3738</v>
      </c>
      <c r="G3" t="s">
        <v>3133</v>
      </c>
      <c r="H3" t="s">
        <v>3102</v>
      </c>
      <c r="I3">
        <v>54.36</v>
      </c>
      <c r="J3">
        <v>30281.62</v>
      </c>
      <c r="K3">
        <v>1646109</v>
      </c>
      <c r="L3" s="2961">
        <v>43000</v>
      </c>
      <c r="M3" t="s">
        <v>3134</v>
      </c>
      <c r="N3" t="s">
        <v>3687</v>
      </c>
      <c r="O3" t="s">
        <v>3136</v>
      </c>
    </row>
    <row r="4" spans="1:15">
      <c r="A4" t="s">
        <v>3726</v>
      </c>
      <c r="B4" t="s">
        <v>3727</v>
      </c>
      <c r="C4" t="s">
        <v>3684</v>
      </c>
      <c r="D4" t="s">
        <v>3130</v>
      </c>
      <c r="E4" t="s">
        <v>3517</v>
      </c>
      <c r="F4" t="s">
        <v>3728</v>
      </c>
      <c r="G4" t="s">
        <v>3141</v>
      </c>
      <c r="H4" t="s">
        <v>3102</v>
      </c>
      <c r="I4">
        <v>54.36</v>
      </c>
      <c r="J4">
        <v>28483.31</v>
      </c>
      <c r="K4">
        <v>1548353</v>
      </c>
      <c r="L4" s="2961">
        <v>42996</v>
      </c>
      <c r="M4" t="s">
        <v>3134</v>
      </c>
      <c r="N4" t="s">
        <v>3687</v>
      </c>
      <c r="O4" t="s">
        <v>3136</v>
      </c>
    </row>
    <row r="5" spans="1:15">
      <c r="A5" t="s">
        <v>3779</v>
      </c>
      <c r="B5" t="s">
        <v>3780</v>
      </c>
      <c r="C5" t="s">
        <v>3684</v>
      </c>
      <c r="D5" t="s">
        <v>3130</v>
      </c>
      <c r="E5" t="s">
        <v>3218</v>
      </c>
      <c r="F5" t="s">
        <v>3781</v>
      </c>
      <c r="G5" t="s">
        <v>3141</v>
      </c>
      <c r="H5" t="s">
        <v>3102</v>
      </c>
      <c r="I5">
        <v>54.36</v>
      </c>
      <c r="J5">
        <v>27440.93</v>
      </c>
      <c r="K5">
        <v>1491689</v>
      </c>
      <c r="L5" s="2961">
        <v>42995</v>
      </c>
      <c r="M5" t="s">
        <v>3134</v>
      </c>
      <c r="N5" t="s">
        <v>3687</v>
      </c>
      <c r="O5" t="s">
        <v>3136</v>
      </c>
    </row>
    <row r="6" spans="1:15">
      <c r="A6" t="s">
        <v>3796</v>
      </c>
      <c r="B6" t="s">
        <v>3796</v>
      </c>
      <c r="C6" t="s">
        <v>3684</v>
      </c>
      <c r="D6" t="s">
        <v>3130</v>
      </c>
      <c r="E6" t="s">
        <v>3341</v>
      </c>
      <c r="F6" t="s">
        <v>3797</v>
      </c>
      <c r="G6" t="s">
        <v>3141</v>
      </c>
      <c r="H6" t="s">
        <v>3102</v>
      </c>
      <c r="I6">
        <v>55.36</v>
      </c>
      <c r="J6">
        <v>26298.61</v>
      </c>
      <c r="K6">
        <v>1455891</v>
      </c>
      <c r="L6" s="2961">
        <v>42995</v>
      </c>
      <c r="M6" t="s">
        <v>3134</v>
      </c>
      <c r="N6" t="s">
        <v>3687</v>
      </c>
      <c r="O6" t="s">
        <v>3136</v>
      </c>
    </row>
    <row r="7" spans="1:15">
      <c r="A7" t="s">
        <v>3813</v>
      </c>
      <c r="B7" t="s">
        <v>3814</v>
      </c>
      <c r="C7" t="s">
        <v>3684</v>
      </c>
      <c r="D7" t="s">
        <v>3130</v>
      </c>
      <c r="E7" t="s">
        <v>3353</v>
      </c>
      <c r="F7" t="s">
        <v>3815</v>
      </c>
      <c r="G7" t="s">
        <v>3141</v>
      </c>
      <c r="H7" t="s">
        <v>3102</v>
      </c>
      <c r="I7">
        <v>34.89</v>
      </c>
      <c r="J7">
        <v>26189.22</v>
      </c>
      <c r="K7">
        <v>913742</v>
      </c>
      <c r="L7" s="2961">
        <v>42995</v>
      </c>
      <c r="M7" t="s">
        <v>3134</v>
      </c>
      <c r="N7" t="s">
        <v>3687</v>
      </c>
      <c r="O7" t="s">
        <v>3136</v>
      </c>
    </row>
    <row r="8" spans="1:15">
      <c r="A8" t="s">
        <v>3811</v>
      </c>
      <c r="B8" t="s">
        <v>3811</v>
      </c>
      <c r="C8" t="s">
        <v>3684</v>
      </c>
      <c r="D8" t="s">
        <v>3130</v>
      </c>
      <c r="E8" t="s">
        <v>3297</v>
      </c>
      <c r="F8" t="s">
        <v>3812</v>
      </c>
      <c r="G8" t="s">
        <v>3141</v>
      </c>
      <c r="H8" t="s">
        <v>3102</v>
      </c>
      <c r="I8">
        <v>29.53</v>
      </c>
      <c r="J8">
        <v>27230.58</v>
      </c>
      <c r="K8">
        <v>804119</v>
      </c>
      <c r="L8" s="2961">
        <v>42995</v>
      </c>
      <c r="M8" t="s">
        <v>3134</v>
      </c>
      <c r="N8" t="s">
        <v>3687</v>
      </c>
      <c r="O8" t="s">
        <v>3136</v>
      </c>
    </row>
    <row r="9" spans="1:15">
      <c r="A9" t="s">
        <v>3700</v>
      </c>
      <c r="B9" t="s">
        <v>3701</v>
      </c>
      <c r="C9" t="s">
        <v>3684</v>
      </c>
      <c r="D9" t="s">
        <v>3130</v>
      </c>
      <c r="E9" t="s">
        <v>3369</v>
      </c>
      <c r="F9" t="s">
        <v>3699</v>
      </c>
      <c r="G9" t="s">
        <v>3133</v>
      </c>
      <c r="H9" t="s">
        <v>3102</v>
      </c>
      <c r="I9">
        <v>55.36</v>
      </c>
      <c r="J9">
        <v>25032.01</v>
      </c>
      <c r="K9">
        <v>1385772</v>
      </c>
      <c r="L9" s="2961">
        <v>43003</v>
      </c>
      <c r="M9" t="s">
        <v>3134</v>
      </c>
      <c r="N9" t="s">
        <v>3687</v>
      </c>
      <c r="O9" t="s">
        <v>3136</v>
      </c>
    </row>
    <row r="10" spans="1:15">
      <c r="A10" t="s">
        <v>3768</v>
      </c>
      <c r="B10" t="s">
        <v>3769</v>
      </c>
      <c r="C10" t="s">
        <v>3684</v>
      </c>
      <c r="D10" t="s">
        <v>3130</v>
      </c>
      <c r="E10" t="s">
        <v>3321</v>
      </c>
      <c r="F10" t="s">
        <v>3770</v>
      </c>
      <c r="G10" t="s">
        <v>3141</v>
      </c>
      <c r="H10" t="s">
        <v>3102</v>
      </c>
      <c r="I10">
        <v>54.36</v>
      </c>
      <c r="J10">
        <v>27030.7</v>
      </c>
      <c r="K10">
        <v>1469389</v>
      </c>
      <c r="L10" s="2961">
        <v>42995</v>
      </c>
      <c r="M10" t="s">
        <v>3134</v>
      </c>
      <c r="N10" t="s">
        <v>3687</v>
      </c>
      <c r="O10" t="s">
        <v>3136</v>
      </c>
    </row>
    <row r="11" spans="1:15">
      <c r="A11" t="s">
        <v>3771</v>
      </c>
      <c r="B11" t="s">
        <v>3772</v>
      </c>
      <c r="C11" t="s">
        <v>3684</v>
      </c>
      <c r="D11" t="s">
        <v>3130</v>
      </c>
      <c r="E11" t="s">
        <v>3198</v>
      </c>
      <c r="F11" t="s">
        <v>3770</v>
      </c>
      <c r="G11" t="s">
        <v>3141</v>
      </c>
      <c r="H11" t="s">
        <v>3102</v>
      </c>
      <c r="I11">
        <v>54.36</v>
      </c>
      <c r="J11">
        <v>27525.07</v>
      </c>
      <c r="K11">
        <v>1496263</v>
      </c>
      <c r="L11" s="2961">
        <v>42995</v>
      </c>
      <c r="M11" t="s">
        <v>3134</v>
      </c>
      <c r="N11" t="s">
        <v>3687</v>
      </c>
      <c r="O11" t="s">
        <v>3136</v>
      </c>
    </row>
    <row r="12" spans="1:15">
      <c r="A12" t="s">
        <v>3729</v>
      </c>
      <c r="B12" t="s">
        <v>3730</v>
      </c>
      <c r="C12" t="s">
        <v>3684</v>
      </c>
      <c r="D12" t="s">
        <v>3130</v>
      </c>
      <c r="E12" t="s">
        <v>3257</v>
      </c>
      <c r="F12" t="s">
        <v>3731</v>
      </c>
      <c r="G12" t="s">
        <v>3133</v>
      </c>
      <c r="H12" t="s">
        <v>3102</v>
      </c>
      <c r="I12">
        <v>62.99</v>
      </c>
      <c r="J12">
        <v>25508.62</v>
      </c>
      <c r="K12">
        <v>1606788</v>
      </c>
      <c r="L12" s="2961">
        <v>42995</v>
      </c>
      <c r="M12" t="s">
        <v>3134</v>
      </c>
      <c r="N12" t="s">
        <v>3687</v>
      </c>
      <c r="O12" t="s">
        <v>3136</v>
      </c>
    </row>
    <row r="13" spans="1:15">
      <c r="A13" t="s">
        <v>3742</v>
      </c>
      <c r="B13" t="s">
        <v>3742</v>
      </c>
      <c r="C13" t="s">
        <v>3684</v>
      </c>
      <c r="D13" t="s">
        <v>3130</v>
      </c>
      <c r="E13" t="s">
        <v>3273</v>
      </c>
      <c r="F13" t="s">
        <v>3743</v>
      </c>
      <c r="G13" t="s">
        <v>3141</v>
      </c>
      <c r="H13" t="s">
        <v>3102</v>
      </c>
      <c r="I13">
        <v>27.52</v>
      </c>
      <c r="J13">
        <v>38648.620000000003</v>
      </c>
      <c r="K13">
        <v>1063610</v>
      </c>
      <c r="L13" s="2961">
        <v>43000</v>
      </c>
      <c r="M13" t="s">
        <v>3134</v>
      </c>
      <c r="N13" t="s">
        <v>3687</v>
      </c>
      <c r="O13" t="s">
        <v>3136</v>
      </c>
    </row>
    <row r="14" spans="1:15">
      <c r="A14" t="s">
        <v>3820</v>
      </c>
      <c r="B14" t="s">
        <v>3821</v>
      </c>
      <c r="C14" t="s">
        <v>3684</v>
      </c>
      <c r="D14" t="s">
        <v>3130</v>
      </c>
      <c r="E14" t="s">
        <v>3656</v>
      </c>
      <c r="F14" t="s">
        <v>3822</v>
      </c>
      <c r="G14" t="s">
        <v>3133</v>
      </c>
      <c r="H14" t="s">
        <v>3102</v>
      </c>
      <c r="I14">
        <v>41.95</v>
      </c>
      <c r="J14">
        <v>37148.01</v>
      </c>
      <c r="K14">
        <v>1558359</v>
      </c>
      <c r="L14" s="2961">
        <v>42984</v>
      </c>
      <c r="M14" t="s">
        <v>3134</v>
      </c>
      <c r="N14" t="s">
        <v>3687</v>
      </c>
      <c r="O14" t="s">
        <v>3136</v>
      </c>
    </row>
    <row r="15" spans="1:15">
      <c r="A15" t="s">
        <v>3823</v>
      </c>
      <c r="B15" t="s">
        <v>3824</v>
      </c>
      <c r="C15" t="s">
        <v>3684</v>
      </c>
      <c r="D15" t="s">
        <v>3130</v>
      </c>
      <c r="E15" t="s">
        <v>3226</v>
      </c>
      <c r="F15" t="s">
        <v>3822</v>
      </c>
      <c r="G15" t="s">
        <v>3133</v>
      </c>
      <c r="H15" t="s">
        <v>3102</v>
      </c>
      <c r="I15">
        <v>175.4</v>
      </c>
      <c r="J15">
        <v>20368</v>
      </c>
      <c r="K15">
        <v>3572548</v>
      </c>
      <c r="L15" s="2961">
        <v>42984</v>
      </c>
      <c r="M15" t="s">
        <v>3134</v>
      </c>
      <c r="N15" t="s">
        <v>3687</v>
      </c>
      <c r="O15" t="s">
        <v>3136</v>
      </c>
    </row>
    <row r="16" spans="1:15">
      <c r="A16" t="s">
        <v>3734</v>
      </c>
      <c r="B16" t="s">
        <v>3734</v>
      </c>
      <c r="C16" t="s">
        <v>3684</v>
      </c>
      <c r="D16" t="s">
        <v>3130</v>
      </c>
      <c r="E16" t="s">
        <v>3194</v>
      </c>
      <c r="F16" t="s">
        <v>3735</v>
      </c>
      <c r="G16" t="s">
        <v>3141</v>
      </c>
      <c r="H16" t="s">
        <v>3102</v>
      </c>
      <c r="I16">
        <v>27.52</v>
      </c>
      <c r="J16">
        <v>38648.620000000003</v>
      </c>
      <c r="K16">
        <v>1063610</v>
      </c>
      <c r="L16" s="2961">
        <v>43001</v>
      </c>
      <c r="M16" t="s">
        <v>3134</v>
      </c>
      <c r="N16" t="s">
        <v>3687</v>
      </c>
      <c r="O16" t="s">
        <v>3136</v>
      </c>
    </row>
    <row r="17" spans="1:15">
      <c r="A17" t="s">
        <v>3808</v>
      </c>
      <c r="B17" t="s">
        <v>3809</v>
      </c>
      <c r="C17" t="s">
        <v>3684</v>
      </c>
      <c r="D17" t="s">
        <v>3130</v>
      </c>
      <c r="E17" t="s">
        <v>3214</v>
      </c>
      <c r="F17" t="s">
        <v>3810</v>
      </c>
      <c r="G17" t="s">
        <v>3133</v>
      </c>
      <c r="H17" t="s">
        <v>3102</v>
      </c>
      <c r="I17">
        <v>16.399999999999999</v>
      </c>
      <c r="J17">
        <v>31627.439999999999</v>
      </c>
      <c r="K17">
        <v>518690</v>
      </c>
      <c r="L17" s="2961">
        <v>42995</v>
      </c>
      <c r="M17" t="s">
        <v>3134</v>
      </c>
      <c r="N17" t="s">
        <v>3687</v>
      </c>
      <c r="O17" t="s">
        <v>3136</v>
      </c>
    </row>
    <row r="18" spans="1:15">
      <c r="A18" t="s">
        <v>3802</v>
      </c>
      <c r="B18" t="s">
        <v>3802</v>
      </c>
      <c r="C18" t="s">
        <v>3684</v>
      </c>
      <c r="D18" t="s">
        <v>3130</v>
      </c>
      <c r="E18" t="s">
        <v>3241</v>
      </c>
      <c r="F18" t="s">
        <v>3803</v>
      </c>
      <c r="G18" t="s">
        <v>3141</v>
      </c>
      <c r="H18" t="s">
        <v>3102</v>
      </c>
      <c r="I18">
        <v>41.97</v>
      </c>
      <c r="J18">
        <v>21411.65</v>
      </c>
      <c r="K18">
        <v>898647</v>
      </c>
      <c r="L18" s="2961">
        <v>42995</v>
      </c>
      <c r="M18" t="s">
        <v>3134</v>
      </c>
      <c r="N18" t="s">
        <v>3687</v>
      </c>
      <c r="O18" t="s">
        <v>3136</v>
      </c>
    </row>
    <row r="19" spans="1:15">
      <c r="A19" t="s">
        <v>3732</v>
      </c>
      <c r="B19" t="s">
        <v>3732</v>
      </c>
      <c r="C19" t="s">
        <v>3684</v>
      </c>
      <c r="D19" t="s">
        <v>3130</v>
      </c>
      <c r="E19" t="s">
        <v>3269</v>
      </c>
      <c r="F19" t="s">
        <v>3733</v>
      </c>
      <c r="G19" t="s">
        <v>3141</v>
      </c>
      <c r="H19" t="s">
        <v>3102</v>
      </c>
      <c r="I19">
        <v>54.36</v>
      </c>
      <c r="J19">
        <v>28576.95</v>
      </c>
      <c r="K19">
        <v>1553443</v>
      </c>
      <c r="L19" s="2961">
        <v>43002</v>
      </c>
      <c r="M19" t="s">
        <v>3134</v>
      </c>
      <c r="N19" t="s">
        <v>3687</v>
      </c>
      <c r="O19" t="s">
        <v>3136</v>
      </c>
    </row>
    <row r="20" spans="1:15">
      <c r="A20" t="s">
        <v>3708</v>
      </c>
      <c r="B20" t="s">
        <v>3709</v>
      </c>
      <c r="C20" t="s">
        <v>3684</v>
      </c>
      <c r="D20" t="s">
        <v>3130</v>
      </c>
      <c r="E20" t="s">
        <v>3710</v>
      </c>
      <c r="F20" t="s">
        <v>3711</v>
      </c>
      <c r="G20" t="s">
        <v>3133</v>
      </c>
      <c r="H20" t="s">
        <v>3102</v>
      </c>
      <c r="I20">
        <v>54.36</v>
      </c>
      <c r="J20">
        <v>27240.080000000002</v>
      </c>
      <c r="K20">
        <v>1480771</v>
      </c>
      <c r="L20" s="2961">
        <v>43002</v>
      </c>
      <c r="M20" t="s">
        <v>3134</v>
      </c>
      <c r="N20" t="s">
        <v>3687</v>
      </c>
      <c r="O20" t="s">
        <v>3136</v>
      </c>
    </row>
    <row r="21" spans="1:15">
      <c r="A21" t="s">
        <v>3696</v>
      </c>
      <c r="B21" t="s">
        <v>3697</v>
      </c>
      <c r="C21" t="s">
        <v>3684</v>
      </c>
      <c r="D21" t="s">
        <v>3130</v>
      </c>
      <c r="E21" t="s">
        <v>3698</v>
      </c>
      <c r="F21" t="s">
        <v>3699</v>
      </c>
      <c r="G21" t="s">
        <v>3141</v>
      </c>
      <c r="H21" t="s">
        <v>3102</v>
      </c>
      <c r="I21">
        <v>55.36</v>
      </c>
      <c r="J21">
        <v>26032.01</v>
      </c>
      <c r="K21">
        <v>1441132</v>
      </c>
      <c r="L21" s="2961">
        <v>43003</v>
      </c>
      <c r="M21" t="s">
        <v>3134</v>
      </c>
      <c r="N21" t="s">
        <v>3687</v>
      </c>
      <c r="O21" t="s">
        <v>3136</v>
      </c>
    </row>
    <row r="22" spans="1:15">
      <c r="A22" t="s">
        <v>3786</v>
      </c>
      <c r="B22" t="s">
        <v>3786</v>
      </c>
      <c r="C22" t="s">
        <v>3684</v>
      </c>
      <c r="D22" t="s">
        <v>3130</v>
      </c>
      <c r="E22" t="s">
        <v>3173</v>
      </c>
      <c r="F22" t="s">
        <v>3787</v>
      </c>
      <c r="G22" t="s">
        <v>3141</v>
      </c>
      <c r="H22" t="s">
        <v>3102</v>
      </c>
      <c r="I22">
        <v>29.53</v>
      </c>
      <c r="J22">
        <v>28282.42</v>
      </c>
      <c r="K22">
        <v>835180</v>
      </c>
      <c r="L22" s="2961">
        <v>42995</v>
      </c>
      <c r="M22" t="s">
        <v>3134</v>
      </c>
      <c r="N22" t="s">
        <v>3687</v>
      </c>
      <c r="O22" t="s">
        <v>3136</v>
      </c>
    </row>
    <row r="23" spans="1:15">
      <c r="A23" t="s">
        <v>3757</v>
      </c>
      <c r="B23" t="s">
        <v>3758</v>
      </c>
      <c r="C23" t="s">
        <v>3684</v>
      </c>
      <c r="D23" t="s">
        <v>3130</v>
      </c>
      <c r="E23" t="s">
        <v>3169</v>
      </c>
      <c r="F23" t="s">
        <v>3759</v>
      </c>
      <c r="G23" t="s">
        <v>3141</v>
      </c>
      <c r="H23" t="s">
        <v>3102</v>
      </c>
      <c r="I23">
        <v>45.21</v>
      </c>
      <c r="J23">
        <v>22745.68</v>
      </c>
      <c r="K23">
        <v>1028332</v>
      </c>
      <c r="L23" s="2961">
        <v>42997</v>
      </c>
      <c r="M23" t="s">
        <v>3134</v>
      </c>
      <c r="N23" t="s">
        <v>3687</v>
      </c>
      <c r="O23" t="s">
        <v>3136</v>
      </c>
    </row>
    <row r="24" spans="1:15">
      <c r="A24" t="s">
        <v>3739</v>
      </c>
      <c r="B24" t="s">
        <v>3740</v>
      </c>
      <c r="C24" t="s">
        <v>3684</v>
      </c>
      <c r="D24" t="s">
        <v>3130</v>
      </c>
      <c r="E24" t="s">
        <v>3377</v>
      </c>
      <c r="F24" t="s">
        <v>3741</v>
      </c>
      <c r="G24" t="s">
        <v>3133</v>
      </c>
      <c r="H24" t="s">
        <v>3102</v>
      </c>
      <c r="I24">
        <v>55.36</v>
      </c>
      <c r="J24">
        <v>26312.63</v>
      </c>
      <c r="K24">
        <v>1456667</v>
      </c>
      <c r="L24" s="2961">
        <v>43000</v>
      </c>
      <c r="M24" t="s">
        <v>3134</v>
      </c>
      <c r="N24" t="s">
        <v>3687</v>
      </c>
      <c r="O24" t="s">
        <v>3136</v>
      </c>
    </row>
    <row r="25" spans="1:15">
      <c r="A25" t="s">
        <v>3766</v>
      </c>
      <c r="B25" t="s">
        <v>3766</v>
      </c>
      <c r="C25" t="s">
        <v>3684</v>
      </c>
      <c r="D25" t="s">
        <v>3130</v>
      </c>
      <c r="E25" t="s">
        <v>3131</v>
      </c>
      <c r="F25" t="s">
        <v>3767</v>
      </c>
      <c r="G25" t="s">
        <v>3141</v>
      </c>
      <c r="H25" t="s">
        <v>3102</v>
      </c>
      <c r="I25">
        <v>45.63</v>
      </c>
      <c r="J25">
        <v>27907.96</v>
      </c>
      <c r="K25">
        <v>1273440</v>
      </c>
      <c r="L25" s="2961">
        <v>42995</v>
      </c>
      <c r="M25" t="s">
        <v>3134</v>
      </c>
      <c r="N25" t="s">
        <v>3687</v>
      </c>
      <c r="O25" t="s">
        <v>3136</v>
      </c>
    </row>
    <row r="26" spans="1:15">
      <c r="A26" t="s">
        <v>3702</v>
      </c>
      <c r="B26" t="s">
        <v>3703</v>
      </c>
      <c r="C26" t="s">
        <v>3684</v>
      </c>
      <c r="D26" t="s">
        <v>3130</v>
      </c>
      <c r="E26" t="s">
        <v>3588</v>
      </c>
      <c r="F26" t="s">
        <v>3704</v>
      </c>
      <c r="G26" t="s">
        <v>3133</v>
      </c>
      <c r="H26" t="s">
        <v>3102</v>
      </c>
      <c r="I26">
        <v>54.36</v>
      </c>
      <c r="J26">
        <v>28601.18</v>
      </c>
      <c r="K26">
        <v>1554760</v>
      </c>
      <c r="L26" s="2961">
        <v>43002</v>
      </c>
      <c r="M26" t="s">
        <v>3134</v>
      </c>
      <c r="N26" t="s">
        <v>3687</v>
      </c>
      <c r="O26" t="s">
        <v>3136</v>
      </c>
    </row>
    <row r="27" spans="1:15">
      <c r="A27" t="s">
        <v>3705</v>
      </c>
      <c r="B27" t="s">
        <v>3706</v>
      </c>
      <c r="C27" t="s">
        <v>3684</v>
      </c>
      <c r="D27" t="s">
        <v>3130</v>
      </c>
      <c r="E27" t="s">
        <v>3573</v>
      </c>
      <c r="F27" t="s">
        <v>3707</v>
      </c>
      <c r="G27" t="s">
        <v>3133</v>
      </c>
      <c r="H27" t="s">
        <v>3102</v>
      </c>
      <c r="I27">
        <v>54.36</v>
      </c>
      <c r="J27">
        <v>31301.91</v>
      </c>
      <c r="K27">
        <v>1701572</v>
      </c>
      <c r="L27" s="2961">
        <v>43002</v>
      </c>
      <c r="M27" t="s">
        <v>3134</v>
      </c>
      <c r="N27" t="s">
        <v>3687</v>
      </c>
      <c r="O27" t="s">
        <v>3136</v>
      </c>
    </row>
    <row r="28" spans="1:15">
      <c r="A28" t="s">
        <v>3758</v>
      </c>
      <c r="B28" t="s">
        <v>3760</v>
      </c>
      <c r="C28" t="s">
        <v>3684</v>
      </c>
      <c r="D28" t="s">
        <v>3130</v>
      </c>
      <c r="E28" t="s">
        <v>3537</v>
      </c>
      <c r="F28" t="s">
        <v>3761</v>
      </c>
      <c r="G28" t="s">
        <v>3141</v>
      </c>
      <c r="H28" t="s">
        <v>3102</v>
      </c>
      <c r="I28">
        <v>52.73</v>
      </c>
      <c r="J28">
        <v>35319.360000000001</v>
      </c>
      <c r="K28">
        <v>1862390</v>
      </c>
      <c r="L28" s="2961">
        <v>42995</v>
      </c>
      <c r="M28" t="s">
        <v>3134</v>
      </c>
      <c r="N28" t="s">
        <v>3687</v>
      </c>
      <c r="O28" t="s">
        <v>3136</v>
      </c>
    </row>
    <row r="29" spans="1:15">
      <c r="A29" t="s">
        <v>3889</v>
      </c>
      <c r="B29" t="s">
        <v>3889</v>
      </c>
      <c r="C29" t="s">
        <v>3684</v>
      </c>
      <c r="D29" t="s">
        <v>3130</v>
      </c>
      <c r="E29" t="s">
        <v>3616</v>
      </c>
      <c r="F29" t="s">
        <v>3886</v>
      </c>
      <c r="G29" t="s">
        <v>3141</v>
      </c>
      <c r="H29" t="s">
        <v>3102</v>
      </c>
      <c r="I29">
        <v>38.58</v>
      </c>
      <c r="J29">
        <v>36849.949999999997</v>
      </c>
      <c r="K29">
        <v>1421671</v>
      </c>
      <c r="L29" s="2961">
        <v>42973</v>
      </c>
      <c r="M29" t="s">
        <v>3134</v>
      </c>
      <c r="N29" t="s">
        <v>3687</v>
      </c>
      <c r="O29" t="s">
        <v>3136</v>
      </c>
    </row>
    <row r="30" spans="1:15">
      <c r="A30" t="s">
        <v>3888</v>
      </c>
      <c r="B30" t="s">
        <v>3888</v>
      </c>
      <c r="C30" t="s">
        <v>3684</v>
      </c>
      <c r="D30" t="s">
        <v>3130</v>
      </c>
      <c r="E30" t="s">
        <v>3592</v>
      </c>
      <c r="F30" t="s">
        <v>3886</v>
      </c>
      <c r="G30" t="s">
        <v>3141</v>
      </c>
      <c r="H30" t="s">
        <v>3102</v>
      </c>
      <c r="I30">
        <v>20.47</v>
      </c>
      <c r="J30">
        <v>32465.9</v>
      </c>
      <c r="K30">
        <v>664577</v>
      </c>
      <c r="L30" s="2961">
        <v>42973</v>
      </c>
      <c r="M30" t="s">
        <v>3134</v>
      </c>
      <c r="N30" t="s">
        <v>3687</v>
      </c>
      <c r="O30" t="s">
        <v>3136</v>
      </c>
    </row>
    <row r="31" spans="1:15">
      <c r="A31" t="s">
        <v>3887</v>
      </c>
      <c r="B31" t="s">
        <v>3887</v>
      </c>
      <c r="C31" t="s">
        <v>3684</v>
      </c>
      <c r="D31" t="s">
        <v>3130</v>
      </c>
      <c r="E31" t="s">
        <v>3549</v>
      </c>
      <c r="F31" t="s">
        <v>3886</v>
      </c>
      <c r="G31" t="s">
        <v>3141</v>
      </c>
      <c r="H31" t="s">
        <v>3102</v>
      </c>
      <c r="I31">
        <v>19.22</v>
      </c>
      <c r="J31">
        <v>31898.39</v>
      </c>
      <c r="K31">
        <v>613087</v>
      </c>
      <c r="L31" s="2961">
        <v>42973</v>
      </c>
      <c r="M31" t="s">
        <v>3134</v>
      </c>
      <c r="N31" t="s">
        <v>3687</v>
      </c>
      <c r="O31" t="s">
        <v>3136</v>
      </c>
    </row>
    <row r="32" spans="1:15">
      <c r="A32" t="s">
        <v>3921</v>
      </c>
      <c r="B32" t="s">
        <v>3921</v>
      </c>
      <c r="C32" t="s">
        <v>3684</v>
      </c>
      <c r="D32" t="s">
        <v>3130</v>
      </c>
      <c r="E32" t="s">
        <v>3596</v>
      </c>
      <c r="F32" t="s">
        <v>3922</v>
      </c>
      <c r="G32" t="s">
        <v>3141</v>
      </c>
      <c r="H32" t="s">
        <v>3102</v>
      </c>
      <c r="I32">
        <v>56.71</v>
      </c>
      <c r="J32">
        <v>31273.57</v>
      </c>
      <c r="K32">
        <v>1773524</v>
      </c>
      <c r="L32" s="2961">
        <v>42973</v>
      </c>
      <c r="M32" t="s">
        <v>3134</v>
      </c>
      <c r="N32" t="s">
        <v>3687</v>
      </c>
      <c r="O32" t="s">
        <v>3136</v>
      </c>
    </row>
    <row r="33" spans="1:15">
      <c r="A33" t="s">
        <v>3859</v>
      </c>
      <c r="B33" t="s">
        <v>3860</v>
      </c>
      <c r="C33" t="s">
        <v>3684</v>
      </c>
      <c r="D33" t="s">
        <v>3130</v>
      </c>
      <c r="E33" t="s">
        <v>3640</v>
      </c>
      <c r="F33" t="s">
        <v>3861</v>
      </c>
      <c r="G33" t="s">
        <v>3141</v>
      </c>
      <c r="H33" t="s">
        <v>3102</v>
      </c>
      <c r="I33">
        <v>54.36</v>
      </c>
      <c r="J33">
        <v>27108.2</v>
      </c>
      <c r="K33">
        <v>1473602</v>
      </c>
      <c r="L33" s="2961">
        <v>42973</v>
      </c>
      <c r="M33" t="s">
        <v>3134</v>
      </c>
      <c r="N33" t="s">
        <v>3687</v>
      </c>
      <c r="O33" t="s">
        <v>3136</v>
      </c>
    </row>
    <row r="34" spans="1:15">
      <c r="A34" t="s">
        <v>3864</v>
      </c>
      <c r="B34" t="s">
        <v>3864</v>
      </c>
      <c r="C34" t="s">
        <v>3684</v>
      </c>
      <c r="D34" t="s">
        <v>3130</v>
      </c>
      <c r="E34" t="s">
        <v>3608</v>
      </c>
      <c r="F34" t="s">
        <v>3865</v>
      </c>
      <c r="G34" t="s">
        <v>3141</v>
      </c>
      <c r="H34" t="s">
        <v>3102</v>
      </c>
      <c r="I34">
        <v>50.11</v>
      </c>
      <c r="J34">
        <v>24957.83</v>
      </c>
      <c r="K34">
        <v>1250637</v>
      </c>
      <c r="L34" s="2961">
        <v>42973</v>
      </c>
      <c r="M34" t="s">
        <v>3134</v>
      </c>
      <c r="N34" t="s">
        <v>3687</v>
      </c>
      <c r="O34" t="s">
        <v>3136</v>
      </c>
    </row>
    <row r="35" spans="1:15">
      <c r="A35" t="s">
        <v>3856</v>
      </c>
      <c r="B35" t="s">
        <v>3856</v>
      </c>
      <c r="C35" t="s">
        <v>3684</v>
      </c>
      <c r="D35" t="s">
        <v>3130</v>
      </c>
      <c r="E35" t="s">
        <v>3565</v>
      </c>
      <c r="F35" t="s">
        <v>3857</v>
      </c>
      <c r="G35" t="s">
        <v>3141</v>
      </c>
      <c r="H35" t="s">
        <v>3102</v>
      </c>
      <c r="I35">
        <v>43.04</v>
      </c>
      <c r="J35">
        <v>21197.56</v>
      </c>
      <c r="K35">
        <v>912343</v>
      </c>
      <c r="L35" s="2961">
        <v>42973</v>
      </c>
      <c r="M35" t="s">
        <v>3134</v>
      </c>
      <c r="N35" t="s">
        <v>3687</v>
      </c>
      <c r="O35" t="s">
        <v>3136</v>
      </c>
    </row>
    <row r="36" spans="1:15">
      <c r="A36" t="s">
        <v>3853</v>
      </c>
      <c r="B36" t="s">
        <v>3854</v>
      </c>
      <c r="C36" t="s">
        <v>3684</v>
      </c>
      <c r="D36" t="s">
        <v>3130</v>
      </c>
      <c r="E36" t="s">
        <v>3525</v>
      </c>
      <c r="F36" t="s">
        <v>3855</v>
      </c>
      <c r="G36" t="s">
        <v>3141</v>
      </c>
      <c r="H36" t="s">
        <v>3102</v>
      </c>
      <c r="I36">
        <v>26.05</v>
      </c>
      <c r="J36">
        <v>29040.959999999999</v>
      </c>
      <c r="K36">
        <v>756517</v>
      </c>
      <c r="L36" s="2961">
        <v>42973</v>
      </c>
      <c r="M36" t="s">
        <v>3134</v>
      </c>
      <c r="N36" t="s">
        <v>3687</v>
      </c>
      <c r="O36" t="s">
        <v>3136</v>
      </c>
    </row>
    <row r="37" spans="1:15">
      <c r="A37" t="s">
        <v>3866</v>
      </c>
      <c r="B37" t="s">
        <v>3867</v>
      </c>
      <c r="C37" t="s">
        <v>3684</v>
      </c>
      <c r="D37" t="s">
        <v>3130</v>
      </c>
      <c r="E37" t="s">
        <v>3180</v>
      </c>
      <c r="F37" t="s">
        <v>3868</v>
      </c>
      <c r="G37" t="s">
        <v>3133</v>
      </c>
      <c r="H37" t="s">
        <v>3102</v>
      </c>
      <c r="I37">
        <v>52.43</v>
      </c>
      <c r="J37">
        <v>20408.13</v>
      </c>
      <c r="K37">
        <v>1069998</v>
      </c>
      <c r="L37" s="2961">
        <v>42973</v>
      </c>
      <c r="M37" t="s">
        <v>3134</v>
      </c>
      <c r="N37" t="s">
        <v>3687</v>
      </c>
      <c r="O37" t="s">
        <v>3136</v>
      </c>
    </row>
    <row r="38" spans="1:15">
      <c r="A38" t="s">
        <v>3875</v>
      </c>
      <c r="B38" t="s">
        <v>3876</v>
      </c>
      <c r="C38" t="s">
        <v>3684</v>
      </c>
      <c r="D38" t="s">
        <v>3130</v>
      </c>
      <c r="E38" t="s">
        <v>3176</v>
      </c>
      <c r="F38" t="s">
        <v>3877</v>
      </c>
      <c r="G38" t="s">
        <v>3141</v>
      </c>
      <c r="H38" t="s">
        <v>3102</v>
      </c>
      <c r="I38">
        <v>55.36</v>
      </c>
      <c r="J38">
        <v>24109.119999999999</v>
      </c>
      <c r="K38">
        <v>1334681</v>
      </c>
      <c r="L38" s="2961">
        <v>42973</v>
      </c>
      <c r="M38" t="s">
        <v>3134</v>
      </c>
      <c r="N38" t="s">
        <v>3687</v>
      </c>
      <c r="O38" t="s">
        <v>3136</v>
      </c>
    </row>
    <row r="39" spans="1:15">
      <c r="A39" t="s">
        <v>3688</v>
      </c>
      <c r="B39" t="s">
        <v>3689</v>
      </c>
      <c r="C39" t="s">
        <v>3684</v>
      </c>
      <c r="D39" t="s">
        <v>3130</v>
      </c>
      <c r="E39" t="s">
        <v>3553</v>
      </c>
      <c r="F39" t="s">
        <v>3690</v>
      </c>
      <c r="G39" t="s">
        <v>3133</v>
      </c>
      <c r="H39" t="s">
        <v>3102</v>
      </c>
      <c r="I39">
        <v>55.36</v>
      </c>
      <c r="J39">
        <v>26294.98</v>
      </c>
      <c r="K39">
        <v>1455690</v>
      </c>
      <c r="L39" s="2961">
        <v>43032</v>
      </c>
      <c r="M39" t="s">
        <v>3134</v>
      </c>
      <c r="N39" t="s">
        <v>3687</v>
      </c>
      <c r="O39" t="s">
        <v>3136</v>
      </c>
    </row>
    <row r="40" spans="1:15">
      <c r="A40" t="s">
        <v>3926</v>
      </c>
      <c r="B40" t="s">
        <v>3927</v>
      </c>
      <c r="C40" t="s">
        <v>3684</v>
      </c>
      <c r="D40" t="s">
        <v>3130</v>
      </c>
      <c r="E40" t="s">
        <v>3620</v>
      </c>
      <c r="F40" t="s">
        <v>3928</v>
      </c>
      <c r="G40" t="s">
        <v>3141</v>
      </c>
      <c r="H40" t="s">
        <v>3102</v>
      </c>
      <c r="I40">
        <v>43.04</v>
      </c>
      <c r="J40">
        <v>24321.58</v>
      </c>
      <c r="K40">
        <v>1046801</v>
      </c>
      <c r="L40" s="2961">
        <v>42973</v>
      </c>
      <c r="M40" t="s">
        <v>3134</v>
      </c>
      <c r="N40" t="s">
        <v>3687</v>
      </c>
      <c r="O40" t="s">
        <v>3136</v>
      </c>
    </row>
    <row r="41" spans="1:15">
      <c r="A41" t="s">
        <v>3825</v>
      </c>
      <c r="B41" t="s">
        <v>3826</v>
      </c>
      <c r="C41" t="s">
        <v>3684</v>
      </c>
      <c r="D41" t="s">
        <v>3130</v>
      </c>
      <c r="E41" t="s">
        <v>3437</v>
      </c>
      <c r="F41" t="s">
        <v>3827</v>
      </c>
      <c r="G41" t="s">
        <v>3141</v>
      </c>
      <c r="H41" t="s">
        <v>3102</v>
      </c>
      <c r="I41">
        <v>35.83</v>
      </c>
      <c r="J41">
        <v>37794.33</v>
      </c>
      <c r="K41">
        <v>1354171</v>
      </c>
      <c r="L41" s="2961">
        <v>42977</v>
      </c>
      <c r="M41" t="s">
        <v>3134</v>
      </c>
      <c r="N41" t="s">
        <v>3687</v>
      </c>
      <c r="O41" t="s">
        <v>3136</v>
      </c>
    </row>
    <row r="42" spans="1:15">
      <c r="A42" t="s">
        <v>3895</v>
      </c>
      <c r="B42" t="s">
        <v>3896</v>
      </c>
      <c r="C42" t="s">
        <v>3684</v>
      </c>
      <c r="D42" t="s">
        <v>3130</v>
      </c>
      <c r="E42" t="s">
        <v>3505</v>
      </c>
      <c r="F42" t="s">
        <v>3897</v>
      </c>
      <c r="G42" t="s">
        <v>3133</v>
      </c>
      <c r="H42" t="s">
        <v>3102</v>
      </c>
      <c r="I42">
        <v>51.55</v>
      </c>
      <c r="J42">
        <v>33433.31</v>
      </c>
      <c r="K42">
        <v>1723487</v>
      </c>
      <c r="L42" s="2961">
        <v>42973</v>
      </c>
      <c r="M42" t="s">
        <v>3134</v>
      </c>
      <c r="N42" t="s">
        <v>3687</v>
      </c>
      <c r="O42" t="s">
        <v>3136</v>
      </c>
    </row>
    <row r="43" spans="1:15">
      <c r="A43" t="s">
        <v>3828</v>
      </c>
      <c r="B43" t="s">
        <v>3828</v>
      </c>
      <c r="C43" t="s">
        <v>3684</v>
      </c>
      <c r="D43" t="s">
        <v>3130</v>
      </c>
      <c r="E43" t="s">
        <v>3281</v>
      </c>
      <c r="F43" t="s">
        <v>3829</v>
      </c>
      <c r="G43" t="s">
        <v>3141</v>
      </c>
      <c r="H43" t="s">
        <v>3102</v>
      </c>
      <c r="I43">
        <v>60.48</v>
      </c>
      <c r="J43">
        <v>21258.25</v>
      </c>
      <c r="K43">
        <v>1285699</v>
      </c>
      <c r="L43" s="2961">
        <v>42977</v>
      </c>
      <c r="M43" t="s">
        <v>3134</v>
      </c>
      <c r="N43" t="s">
        <v>3687</v>
      </c>
      <c r="O43" t="s">
        <v>3136</v>
      </c>
    </row>
    <row r="44" spans="1:15">
      <c r="A44" t="s">
        <v>3830</v>
      </c>
      <c r="B44" t="s">
        <v>3831</v>
      </c>
      <c r="C44" t="s">
        <v>3684</v>
      </c>
      <c r="D44" t="s">
        <v>3130</v>
      </c>
      <c r="E44" t="s">
        <v>3305</v>
      </c>
      <c r="F44" t="s">
        <v>3690</v>
      </c>
      <c r="G44" t="s">
        <v>3141</v>
      </c>
      <c r="H44" t="s">
        <v>3102</v>
      </c>
      <c r="I44">
        <v>32.549999999999997</v>
      </c>
      <c r="J44">
        <v>26596.37</v>
      </c>
      <c r="K44">
        <v>865712</v>
      </c>
      <c r="L44" s="2961">
        <v>42976</v>
      </c>
      <c r="M44" t="s">
        <v>3134</v>
      </c>
      <c r="N44" t="s">
        <v>3687</v>
      </c>
      <c r="O44" t="s">
        <v>3136</v>
      </c>
    </row>
    <row r="45" spans="1:15">
      <c r="A45" t="s">
        <v>3923</v>
      </c>
      <c r="B45" t="s">
        <v>3924</v>
      </c>
      <c r="C45" t="s">
        <v>3684</v>
      </c>
      <c r="D45" t="s">
        <v>3130</v>
      </c>
      <c r="E45" t="s">
        <v>3147</v>
      </c>
      <c r="F45" t="s">
        <v>3925</v>
      </c>
      <c r="G45" t="s">
        <v>3133</v>
      </c>
      <c r="H45" t="s">
        <v>3102</v>
      </c>
      <c r="I45">
        <v>55.36</v>
      </c>
      <c r="J45">
        <v>22483.439999999999</v>
      </c>
      <c r="K45">
        <v>1244683</v>
      </c>
      <c r="L45" s="2961">
        <v>42973</v>
      </c>
      <c r="M45" t="s">
        <v>3134</v>
      </c>
      <c r="N45" t="s">
        <v>3687</v>
      </c>
      <c r="O45" t="s">
        <v>3136</v>
      </c>
    </row>
    <row r="46" spans="1:15">
      <c r="A46" t="s">
        <v>3929</v>
      </c>
      <c r="B46" t="s">
        <v>3930</v>
      </c>
      <c r="C46" t="s">
        <v>3684</v>
      </c>
      <c r="D46" t="s">
        <v>3130</v>
      </c>
      <c r="E46" t="s">
        <v>3165</v>
      </c>
      <c r="F46" t="s">
        <v>3931</v>
      </c>
      <c r="G46" t="s">
        <v>3133</v>
      </c>
      <c r="H46" t="s">
        <v>3102</v>
      </c>
      <c r="I46">
        <v>55.36</v>
      </c>
      <c r="J46">
        <v>23503.74</v>
      </c>
      <c r="K46">
        <v>1301167</v>
      </c>
      <c r="L46" s="2961">
        <v>42973</v>
      </c>
      <c r="M46" t="s">
        <v>3134</v>
      </c>
      <c r="N46" t="s">
        <v>3687</v>
      </c>
      <c r="O46" t="s">
        <v>3136</v>
      </c>
    </row>
    <row r="47" spans="1:15">
      <c r="A47" t="s">
        <v>3908</v>
      </c>
      <c r="B47" t="s">
        <v>3909</v>
      </c>
      <c r="C47" t="s">
        <v>3684</v>
      </c>
      <c r="D47" t="s">
        <v>3130</v>
      </c>
      <c r="E47" t="s">
        <v>3289</v>
      </c>
      <c r="F47" t="s">
        <v>3910</v>
      </c>
      <c r="G47" t="s">
        <v>3133</v>
      </c>
      <c r="H47" t="s">
        <v>3102</v>
      </c>
      <c r="I47">
        <v>61.74</v>
      </c>
      <c r="J47">
        <v>21674.73</v>
      </c>
      <c r="K47">
        <v>1338198</v>
      </c>
      <c r="L47" s="2961">
        <v>42973</v>
      </c>
      <c r="M47" t="s">
        <v>3134</v>
      </c>
      <c r="N47" t="s">
        <v>3687</v>
      </c>
      <c r="O47" t="s">
        <v>3136</v>
      </c>
    </row>
    <row r="48" spans="1:15">
      <c r="A48" t="s">
        <v>3911</v>
      </c>
      <c r="B48" t="s">
        <v>3912</v>
      </c>
      <c r="C48" t="s">
        <v>3684</v>
      </c>
      <c r="D48" t="s">
        <v>3130</v>
      </c>
      <c r="E48" t="s">
        <v>3293</v>
      </c>
      <c r="F48" t="s">
        <v>3913</v>
      </c>
      <c r="G48" t="s">
        <v>3133</v>
      </c>
      <c r="H48" t="s">
        <v>3102</v>
      </c>
      <c r="I48">
        <v>29.04</v>
      </c>
      <c r="J48">
        <v>20769.28</v>
      </c>
      <c r="K48">
        <v>603140</v>
      </c>
      <c r="L48" s="2961">
        <v>42973</v>
      </c>
      <c r="M48" t="s">
        <v>3134</v>
      </c>
      <c r="N48" t="s">
        <v>3687</v>
      </c>
      <c r="O48" t="s">
        <v>3136</v>
      </c>
    </row>
    <row r="49" spans="1:15">
      <c r="A49" t="s">
        <v>3893</v>
      </c>
      <c r="B49" t="s">
        <v>3893</v>
      </c>
      <c r="C49" t="s">
        <v>3684</v>
      </c>
      <c r="D49" t="s">
        <v>3130</v>
      </c>
      <c r="E49" t="s">
        <v>3325</v>
      </c>
      <c r="F49" t="s">
        <v>3894</v>
      </c>
      <c r="G49" t="s">
        <v>3141</v>
      </c>
      <c r="H49" t="s">
        <v>3102</v>
      </c>
      <c r="I49">
        <v>55.36</v>
      </c>
      <c r="J49">
        <v>23957.1</v>
      </c>
      <c r="K49">
        <v>1326265</v>
      </c>
      <c r="L49" s="2961">
        <v>42973</v>
      </c>
      <c r="M49" t="s">
        <v>3134</v>
      </c>
      <c r="N49" t="s">
        <v>3687</v>
      </c>
      <c r="O49" t="s">
        <v>3136</v>
      </c>
    </row>
    <row r="50" spans="1:15">
      <c r="A50" t="s">
        <v>3872</v>
      </c>
      <c r="B50" t="s">
        <v>3873</v>
      </c>
      <c r="C50" t="s">
        <v>3684</v>
      </c>
      <c r="D50" t="s">
        <v>3130</v>
      </c>
      <c r="E50" t="s">
        <v>3285</v>
      </c>
      <c r="F50" t="s">
        <v>3874</v>
      </c>
      <c r="G50" t="s">
        <v>3133</v>
      </c>
      <c r="H50" t="s">
        <v>3102</v>
      </c>
      <c r="I50">
        <v>54.36</v>
      </c>
      <c r="J50">
        <v>25540.25</v>
      </c>
      <c r="K50">
        <v>1388368</v>
      </c>
      <c r="L50" s="2961">
        <v>42973</v>
      </c>
      <c r="M50" t="s">
        <v>3134</v>
      </c>
      <c r="N50" t="s">
        <v>3687</v>
      </c>
      <c r="O50" t="s">
        <v>3136</v>
      </c>
    </row>
    <row r="51" spans="1:15">
      <c r="A51" t="s">
        <v>3890</v>
      </c>
      <c r="B51" t="s">
        <v>3891</v>
      </c>
      <c r="C51" t="s">
        <v>3684</v>
      </c>
      <c r="D51" t="s">
        <v>3130</v>
      </c>
      <c r="E51" t="s">
        <v>3329</v>
      </c>
      <c r="F51" t="s">
        <v>3892</v>
      </c>
      <c r="G51" t="s">
        <v>3141</v>
      </c>
      <c r="H51" t="s">
        <v>3102</v>
      </c>
      <c r="I51">
        <v>56.71</v>
      </c>
      <c r="J51">
        <v>28149.53</v>
      </c>
      <c r="K51">
        <v>1596360</v>
      </c>
      <c r="L51" s="2961">
        <v>42973</v>
      </c>
      <c r="M51" t="s">
        <v>3134</v>
      </c>
      <c r="N51" t="s">
        <v>3687</v>
      </c>
      <c r="O51" t="s">
        <v>3136</v>
      </c>
    </row>
    <row r="52" spans="1:15">
      <c r="A52" t="s">
        <v>3858</v>
      </c>
      <c r="B52" t="s">
        <v>3858</v>
      </c>
      <c r="C52" t="s">
        <v>3684</v>
      </c>
      <c r="D52" t="s">
        <v>3130</v>
      </c>
      <c r="E52" t="s">
        <v>3261</v>
      </c>
      <c r="F52" t="s">
        <v>3857</v>
      </c>
      <c r="G52" t="s">
        <v>3141</v>
      </c>
      <c r="H52" t="s">
        <v>3102</v>
      </c>
      <c r="I52">
        <v>9.93</v>
      </c>
      <c r="J52">
        <v>31613.09</v>
      </c>
      <c r="K52">
        <v>313918</v>
      </c>
      <c r="L52" s="2961">
        <v>42973</v>
      </c>
      <c r="M52" t="s">
        <v>3134</v>
      </c>
      <c r="N52" t="s">
        <v>3687</v>
      </c>
      <c r="O52" t="s">
        <v>3136</v>
      </c>
    </row>
    <row r="53" spans="1:15">
      <c r="A53" t="s">
        <v>3862</v>
      </c>
      <c r="B53" t="s">
        <v>3863</v>
      </c>
      <c r="C53" t="s">
        <v>3684</v>
      </c>
      <c r="D53" t="s">
        <v>3130</v>
      </c>
      <c r="E53" t="s">
        <v>3389</v>
      </c>
      <c r="F53" t="s">
        <v>3845</v>
      </c>
      <c r="G53" t="s">
        <v>3141</v>
      </c>
      <c r="H53" t="s">
        <v>3102</v>
      </c>
      <c r="I53">
        <v>19.920000000000002</v>
      </c>
      <c r="J53">
        <v>37361.24</v>
      </c>
      <c r="K53">
        <v>744236</v>
      </c>
      <c r="L53" s="2961">
        <v>42973</v>
      </c>
      <c r="M53" t="s">
        <v>3134</v>
      </c>
      <c r="N53" t="s">
        <v>3687</v>
      </c>
      <c r="O53" t="s">
        <v>3136</v>
      </c>
    </row>
    <row r="54" spans="1:15">
      <c r="A54" t="s">
        <v>3885</v>
      </c>
      <c r="B54" t="s">
        <v>3885</v>
      </c>
      <c r="C54" t="s">
        <v>3684</v>
      </c>
      <c r="D54" t="s">
        <v>3130</v>
      </c>
      <c r="E54" t="s">
        <v>3401</v>
      </c>
      <c r="F54" t="s">
        <v>3886</v>
      </c>
      <c r="G54" t="s">
        <v>3141</v>
      </c>
      <c r="H54" t="s">
        <v>3102</v>
      </c>
      <c r="I54">
        <v>36.24</v>
      </c>
      <c r="J54">
        <v>35538.910000000003</v>
      </c>
      <c r="K54">
        <v>1287930</v>
      </c>
      <c r="L54" s="2961">
        <v>42973</v>
      </c>
      <c r="M54" t="s">
        <v>3134</v>
      </c>
      <c r="N54" t="s">
        <v>3687</v>
      </c>
      <c r="O54" t="s">
        <v>3136</v>
      </c>
    </row>
    <row r="55" spans="1:15">
      <c r="A55" t="s">
        <v>3776</v>
      </c>
      <c r="B55" t="s">
        <v>3777</v>
      </c>
      <c r="C55" t="s">
        <v>3684</v>
      </c>
      <c r="D55" t="s">
        <v>3130</v>
      </c>
      <c r="E55" t="s">
        <v>3151</v>
      </c>
      <c r="F55" t="s">
        <v>3778</v>
      </c>
      <c r="G55" t="s">
        <v>3133</v>
      </c>
      <c r="H55" t="s">
        <v>3102</v>
      </c>
      <c r="I55">
        <v>66.25</v>
      </c>
      <c r="J55">
        <v>12831.35</v>
      </c>
      <c r="K55">
        <v>850077</v>
      </c>
      <c r="L55" s="2961">
        <v>42995</v>
      </c>
      <c r="M55" t="s">
        <v>3134</v>
      </c>
      <c r="N55" t="s">
        <v>3687</v>
      </c>
      <c r="O55" t="s">
        <v>3136</v>
      </c>
    </row>
    <row r="56" spans="1:15">
      <c r="A56" t="s">
        <v>3694</v>
      </c>
      <c r="B56" t="s">
        <v>3694</v>
      </c>
      <c r="C56" t="s">
        <v>3684</v>
      </c>
      <c r="D56" t="s">
        <v>3130</v>
      </c>
      <c r="E56" t="s">
        <v>3155</v>
      </c>
      <c r="F56" t="s">
        <v>3695</v>
      </c>
      <c r="G56" t="s">
        <v>3141</v>
      </c>
      <c r="H56" t="s">
        <v>3102</v>
      </c>
      <c r="I56">
        <v>50.63</v>
      </c>
      <c r="J56">
        <v>17428.68</v>
      </c>
      <c r="K56">
        <v>882414</v>
      </c>
      <c r="L56" s="2961">
        <v>43007</v>
      </c>
      <c r="M56" t="s">
        <v>3134</v>
      </c>
      <c r="N56" t="s">
        <v>3687</v>
      </c>
      <c r="O56" t="s">
        <v>3136</v>
      </c>
    </row>
    <row r="57" spans="1:15">
      <c r="A57" t="s">
        <v>3712</v>
      </c>
      <c r="B57" t="s">
        <v>3713</v>
      </c>
      <c r="C57" t="s">
        <v>3684</v>
      </c>
      <c r="D57" t="s">
        <v>3130</v>
      </c>
      <c r="E57" t="s">
        <v>3158</v>
      </c>
      <c r="F57" t="s">
        <v>3714</v>
      </c>
      <c r="G57" t="s">
        <v>3133</v>
      </c>
      <c r="H57" t="s">
        <v>3102</v>
      </c>
      <c r="I57">
        <v>50.63</v>
      </c>
      <c r="J57">
        <v>16363.64</v>
      </c>
      <c r="K57">
        <v>828491</v>
      </c>
      <c r="L57" s="2961">
        <v>43003</v>
      </c>
      <c r="M57" t="s">
        <v>3134</v>
      </c>
      <c r="N57" t="s">
        <v>3687</v>
      </c>
      <c r="O57" t="s">
        <v>3136</v>
      </c>
    </row>
    <row r="58" spans="1:15">
      <c r="A58" t="s">
        <v>3804</v>
      </c>
      <c r="B58" t="s">
        <v>3805</v>
      </c>
      <c r="C58" t="s">
        <v>3684</v>
      </c>
      <c r="D58" t="s">
        <v>3130</v>
      </c>
      <c r="E58" t="s">
        <v>3806</v>
      </c>
      <c r="F58" t="s">
        <v>3807</v>
      </c>
      <c r="G58" t="s">
        <v>3133</v>
      </c>
      <c r="H58" t="s">
        <v>3102</v>
      </c>
      <c r="I58">
        <v>40.15</v>
      </c>
      <c r="J58">
        <v>13855.12</v>
      </c>
      <c r="K58">
        <v>556283</v>
      </c>
      <c r="L58" s="2961">
        <v>42995</v>
      </c>
      <c r="M58" t="s">
        <v>3134</v>
      </c>
      <c r="N58" t="s">
        <v>3687</v>
      </c>
      <c r="O58" t="s">
        <v>3136</v>
      </c>
    </row>
    <row r="59" spans="1:15">
      <c r="A59" t="s">
        <v>3798</v>
      </c>
      <c r="B59" t="s">
        <v>3799</v>
      </c>
      <c r="C59" t="s">
        <v>3684</v>
      </c>
      <c r="D59" t="s">
        <v>3130</v>
      </c>
      <c r="E59" t="s">
        <v>3800</v>
      </c>
      <c r="F59" t="s">
        <v>3801</v>
      </c>
      <c r="G59" t="s">
        <v>3133</v>
      </c>
      <c r="H59" t="s">
        <v>3102</v>
      </c>
      <c r="I59">
        <v>50.06</v>
      </c>
      <c r="J59">
        <v>15445.39</v>
      </c>
      <c r="K59">
        <v>773196</v>
      </c>
      <c r="L59" s="2961">
        <v>42995</v>
      </c>
      <c r="M59" t="s">
        <v>3134</v>
      </c>
      <c r="N59" t="s">
        <v>3687</v>
      </c>
      <c r="O59" t="s">
        <v>3136</v>
      </c>
    </row>
    <row r="60" spans="1:15">
      <c r="A60" t="s">
        <v>3744</v>
      </c>
      <c r="B60" t="s">
        <v>3744</v>
      </c>
      <c r="C60" t="s">
        <v>3684</v>
      </c>
      <c r="D60" t="s">
        <v>3130</v>
      </c>
      <c r="E60" t="s">
        <v>3745</v>
      </c>
      <c r="F60" t="s">
        <v>3746</v>
      </c>
      <c r="G60" t="s">
        <v>3141</v>
      </c>
      <c r="H60" t="s">
        <v>3102</v>
      </c>
      <c r="I60">
        <v>53.07</v>
      </c>
      <c r="J60">
        <v>15344.54</v>
      </c>
      <c r="K60">
        <v>814335</v>
      </c>
      <c r="L60" s="2961">
        <v>42996</v>
      </c>
      <c r="M60" t="s">
        <v>3134</v>
      </c>
      <c r="N60" t="s">
        <v>3687</v>
      </c>
      <c r="O60" t="s">
        <v>3136</v>
      </c>
    </row>
    <row r="61" spans="1:15">
      <c r="A61" t="s">
        <v>3788</v>
      </c>
      <c r="B61" t="s">
        <v>3789</v>
      </c>
      <c r="C61" t="s">
        <v>3684</v>
      </c>
      <c r="D61" t="s">
        <v>3130</v>
      </c>
      <c r="E61" t="s">
        <v>3790</v>
      </c>
      <c r="F61" t="s">
        <v>3791</v>
      </c>
      <c r="G61" t="s">
        <v>3141</v>
      </c>
      <c r="H61" t="s">
        <v>3102</v>
      </c>
      <c r="I61">
        <v>80.099999999999994</v>
      </c>
      <c r="J61">
        <v>12845.32</v>
      </c>
      <c r="K61">
        <v>1028910</v>
      </c>
      <c r="L61" s="2961">
        <v>42995</v>
      </c>
      <c r="M61" t="s">
        <v>3134</v>
      </c>
      <c r="N61" t="s">
        <v>3687</v>
      </c>
      <c r="O61" t="s">
        <v>3136</v>
      </c>
    </row>
    <row r="62" spans="1:15">
      <c r="A62" t="s">
        <v>3750</v>
      </c>
      <c r="B62" t="s">
        <v>3751</v>
      </c>
      <c r="C62" t="s">
        <v>3684</v>
      </c>
      <c r="D62" t="s">
        <v>3130</v>
      </c>
      <c r="E62" t="s">
        <v>3752</v>
      </c>
      <c r="F62" t="s">
        <v>3753</v>
      </c>
      <c r="G62" t="s">
        <v>3133</v>
      </c>
      <c r="H62" t="s">
        <v>3102</v>
      </c>
      <c r="I62">
        <v>55</v>
      </c>
      <c r="J62">
        <v>15826.96</v>
      </c>
      <c r="K62">
        <v>870483</v>
      </c>
      <c r="L62" s="2961">
        <v>42998</v>
      </c>
      <c r="M62" t="s">
        <v>3134</v>
      </c>
      <c r="N62" t="s">
        <v>3687</v>
      </c>
      <c r="O62" t="s">
        <v>3136</v>
      </c>
    </row>
    <row r="63" spans="1:15">
      <c r="A63" t="s">
        <v>3718</v>
      </c>
      <c r="B63" t="s">
        <v>3718</v>
      </c>
      <c r="C63" t="s">
        <v>3684</v>
      </c>
      <c r="D63" t="s">
        <v>3130</v>
      </c>
      <c r="E63" t="s">
        <v>3719</v>
      </c>
      <c r="F63" t="s">
        <v>3720</v>
      </c>
      <c r="G63" t="s">
        <v>3141</v>
      </c>
      <c r="H63" t="s">
        <v>3102</v>
      </c>
      <c r="I63">
        <v>52.5</v>
      </c>
      <c r="J63">
        <v>16316.46</v>
      </c>
      <c r="K63">
        <v>856614</v>
      </c>
      <c r="L63" s="2961">
        <v>43003</v>
      </c>
      <c r="M63" t="s">
        <v>3134</v>
      </c>
      <c r="N63" t="s">
        <v>3687</v>
      </c>
      <c r="O63" t="s">
        <v>3136</v>
      </c>
    </row>
    <row r="64" spans="1:15">
      <c r="A64" t="s">
        <v>3782</v>
      </c>
      <c r="B64" t="s">
        <v>3783</v>
      </c>
      <c r="C64" t="s">
        <v>3684</v>
      </c>
      <c r="D64" t="s">
        <v>3130</v>
      </c>
      <c r="E64" t="s">
        <v>3784</v>
      </c>
      <c r="F64" t="s">
        <v>3785</v>
      </c>
      <c r="G64" t="s">
        <v>3141</v>
      </c>
      <c r="H64" t="s">
        <v>3102</v>
      </c>
      <c r="I64">
        <v>50.63</v>
      </c>
      <c r="J64">
        <v>16000.91</v>
      </c>
      <c r="K64">
        <v>810126</v>
      </c>
      <c r="L64" s="2961">
        <v>42995</v>
      </c>
      <c r="M64" t="s">
        <v>3134</v>
      </c>
      <c r="N64" t="s">
        <v>3687</v>
      </c>
      <c r="O64" t="s">
        <v>3136</v>
      </c>
    </row>
    <row r="65" spans="1:15">
      <c r="A65" t="s">
        <v>3773</v>
      </c>
      <c r="B65" t="s">
        <v>3773</v>
      </c>
      <c r="C65" t="s">
        <v>3684</v>
      </c>
      <c r="D65" t="s">
        <v>3130</v>
      </c>
      <c r="E65" t="s">
        <v>3774</v>
      </c>
      <c r="F65" t="s">
        <v>3775</v>
      </c>
      <c r="G65" t="s">
        <v>3141</v>
      </c>
      <c r="H65" t="s">
        <v>3102</v>
      </c>
      <c r="I65">
        <v>50.63</v>
      </c>
      <c r="J65">
        <v>16049.28</v>
      </c>
      <c r="K65">
        <v>812575</v>
      </c>
      <c r="L65" s="2961">
        <v>42995</v>
      </c>
      <c r="M65" t="s">
        <v>3134</v>
      </c>
      <c r="N65" t="s">
        <v>3687</v>
      </c>
      <c r="O65" t="s">
        <v>3136</v>
      </c>
    </row>
    <row r="66" spans="1:15">
      <c r="A66" t="s">
        <v>3747</v>
      </c>
      <c r="B66" t="s">
        <v>3747</v>
      </c>
      <c r="C66" t="s">
        <v>3684</v>
      </c>
      <c r="D66" t="s">
        <v>3130</v>
      </c>
      <c r="E66" t="s">
        <v>3748</v>
      </c>
      <c r="F66" t="s">
        <v>3749</v>
      </c>
      <c r="G66" t="s">
        <v>3141</v>
      </c>
      <c r="H66" t="s">
        <v>3102</v>
      </c>
      <c r="I66">
        <v>50.63</v>
      </c>
      <c r="J66">
        <v>16049.28</v>
      </c>
      <c r="K66">
        <v>812575</v>
      </c>
      <c r="L66" s="2961">
        <v>42998</v>
      </c>
      <c r="M66" t="s">
        <v>3134</v>
      </c>
      <c r="N66" t="s">
        <v>3687</v>
      </c>
      <c r="O66" t="s">
        <v>3136</v>
      </c>
    </row>
    <row r="67" spans="1:15">
      <c r="A67" t="s">
        <v>3724</v>
      </c>
      <c r="B67" t="s">
        <v>3724</v>
      </c>
      <c r="C67" t="s">
        <v>3684</v>
      </c>
      <c r="D67" t="s">
        <v>3130</v>
      </c>
      <c r="E67" t="s">
        <v>3725</v>
      </c>
      <c r="F67" t="s">
        <v>3723</v>
      </c>
      <c r="G67" t="s">
        <v>3141</v>
      </c>
      <c r="H67" t="s">
        <v>3102</v>
      </c>
      <c r="I67">
        <v>50.63</v>
      </c>
      <c r="J67">
        <v>16427.89</v>
      </c>
      <c r="K67">
        <v>831744</v>
      </c>
      <c r="L67" s="2961">
        <v>43002</v>
      </c>
      <c r="M67" t="s">
        <v>3134</v>
      </c>
      <c r="N67" t="s">
        <v>3687</v>
      </c>
      <c r="O67" t="s">
        <v>3136</v>
      </c>
    </row>
    <row r="68" spans="1:15">
      <c r="A68" t="s">
        <v>3721</v>
      </c>
      <c r="B68" t="s">
        <v>3721</v>
      </c>
      <c r="C68" t="s">
        <v>3684</v>
      </c>
      <c r="D68" t="s">
        <v>3130</v>
      </c>
      <c r="E68" t="s">
        <v>3722</v>
      </c>
      <c r="F68" t="s">
        <v>3723</v>
      </c>
      <c r="G68" t="s">
        <v>3141</v>
      </c>
      <c r="H68" t="s">
        <v>3102</v>
      </c>
      <c r="I68">
        <v>50.63</v>
      </c>
      <c r="J68">
        <v>16953.88</v>
      </c>
      <c r="K68">
        <v>858375</v>
      </c>
      <c r="L68" s="2961">
        <v>43002</v>
      </c>
      <c r="M68" t="s">
        <v>3134</v>
      </c>
      <c r="N68" t="s">
        <v>3687</v>
      </c>
      <c r="O68" t="s">
        <v>3136</v>
      </c>
    </row>
    <row r="69" spans="1:15">
      <c r="A69" t="s">
        <v>3691</v>
      </c>
      <c r="B69" t="s">
        <v>3691</v>
      </c>
      <c r="C69" t="s">
        <v>3684</v>
      </c>
      <c r="D69" t="s">
        <v>3130</v>
      </c>
      <c r="E69" t="s">
        <v>3692</v>
      </c>
      <c r="F69" t="s">
        <v>3693</v>
      </c>
      <c r="G69" t="s">
        <v>3141</v>
      </c>
      <c r="H69" t="s">
        <v>3102</v>
      </c>
      <c r="I69">
        <v>60.63</v>
      </c>
      <c r="J69">
        <v>17185.29</v>
      </c>
      <c r="K69">
        <v>1041944</v>
      </c>
      <c r="L69" s="2961">
        <v>43006</v>
      </c>
      <c r="M69" t="s">
        <v>3134</v>
      </c>
      <c r="N69" t="s">
        <v>3687</v>
      </c>
      <c r="O69" t="s">
        <v>3136</v>
      </c>
    </row>
    <row r="70" spans="1:15">
      <c r="A70" t="s">
        <v>3762</v>
      </c>
      <c r="B70" t="s">
        <v>3763</v>
      </c>
      <c r="C70" t="s">
        <v>3684</v>
      </c>
      <c r="D70" t="s">
        <v>3130</v>
      </c>
      <c r="E70" t="s">
        <v>3764</v>
      </c>
      <c r="F70" t="s">
        <v>3765</v>
      </c>
      <c r="G70" t="s">
        <v>3133</v>
      </c>
      <c r="H70" t="s">
        <v>3102</v>
      </c>
      <c r="I70">
        <v>39.85</v>
      </c>
      <c r="J70">
        <v>12521.18</v>
      </c>
      <c r="K70">
        <v>498969</v>
      </c>
      <c r="L70" s="2961">
        <v>42996</v>
      </c>
      <c r="M70" t="s">
        <v>3134</v>
      </c>
      <c r="N70" t="s">
        <v>3687</v>
      </c>
      <c r="O70" t="s">
        <v>3136</v>
      </c>
    </row>
    <row r="71" spans="1:15">
      <c r="A71" t="s">
        <v>3792</v>
      </c>
      <c r="B71" t="s">
        <v>3793</v>
      </c>
      <c r="C71" t="s">
        <v>3684</v>
      </c>
      <c r="D71" t="s">
        <v>3130</v>
      </c>
      <c r="E71" t="s">
        <v>3794</v>
      </c>
      <c r="F71" t="s">
        <v>3795</v>
      </c>
      <c r="G71" t="s">
        <v>3133</v>
      </c>
      <c r="H71" t="s">
        <v>3102</v>
      </c>
      <c r="I71">
        <v>72.819999999999993</v>
      </c>
      <c r="J71">
        <v>11806.96</v>
      </c>
      <c r="K71">
        <v>859783</v>
      </c>
      <c r="L71" s="2961">
        <v>42995</v>
      </c>
      <c r="M71" t="s">
        <v>3134</v>
      </c>
      <c r="N71" t="s">
        <v>3687</v>
      </c>
      <c r="O71" t="s">
        <v>3136</v>
      </c>
    </row>
    <row r="72" spans="1:15">
      <c r="A72" t="s">
        <v>3901</v>
      </c>
      <c r="B72" t="s">
        <v>3902</v>
      </c>
      <c r="C72" t="s">
        <v>3684</v>
      </c>
      <c r="D72" t="s">
        <v>3130</v>
      </c>
      <c r="E72" t="s">
        <v>3903</v>
      </c>
      <c r="F72" t="s">
        <v>3904</v>
      </c>
      <c r="G72" t="s">
        <v>3133</v>
      </c>
      <c r="H72" t="s">
        <v>3102</v>
      </c>
      <c r="I72">
        <v>91.57</v>
      </c>
      <c r="J72">
        <v>11806.97</v>
      </c>
      <c r="K72">
        <v>1081164</v>
      </c>
      <c r="L72" s="2961">
        <v>42973</v>
      </c>
      <c r="M72" t="s">
        <v>3134</v>
      </c>
      <c r="N72" t="s">
        <v>3687</v>
      </c>
      <c r="O72" t="s">
        <v>3136</v>
      </c>
    </row>
    <row r="73" spans="1:15">
      <c r="A73" t="s">
        <v>3878</v>
      </c>
      <c r="B73" t="s">
        <v>3878</v>
      </c>
      <c r="C73" t="s">
        <v>3684</v>
      </c>
      <c r="D73" t="s">
        <v>3130</v>
      </c>
      <c r="E73" t="s">
        <v>3879</v>
      </c>
      <c r="F73" t="s">
        <v>3880</v>
      </c>
      <c r="G73" t="s">
        <v>3141</v>
      </c>
      <c r="H73" t="s">
        <v>3102</v>
      </c>
      <c r="I73">
        <v>85.5</v>
      </c>
      <c r="J73">
        <v>10977.82</v>
      </c>
      <c r="K73">
        <v>938604</v>
      </c>
      <c r="L73" s="2961">
        <v>42973</v>
      </c>
      <c r="M73" t="s">
        <v>3134</v>
      </c>
      <c r="N73" t="s">
        <v>3687</v>
      </c>
      <c r="O73" t="s">
        <v>3136</v>
      </c>
    </row>
    <row r="74" spans="1:15">
      <c r="A74" t="s">
        <v>3881</v>
      </c>
      <c r="B74" t="s">
        <v>3882</v>
      </c>
      <c r="C74" t="s">
        <v>3684</v>
      </c>
      <c r="D74" t="s">
        <v>3130</v>
      </c>
      <c r="E74" t="s">
        <v>3883</v>
      </c>
      <c r="F74" t="s">
        <v>3884</v>
      </c>
      <c r="G74" t="s">
        <v>3133</v>
      </c>
      <c r="H74" t="s">
        <v>3102</v>
      </c>
      <c r="I74">
        <v>65.64</v>
      </c>
      <c r="J74">
        <v>10756.06</v>
      </c>
      <c r="K74">
        <v>706028</v>
      </c>
      <c r="L74" s="2961">
        <v>42973</v>
      </c>
      <c r="M74" t="s">
        <v>3134</v>
      </c>
      <c r="N74" t="s">
        <v>3687</v>
      </c>
      <c r="O74" t="s">
        <v>3136</v>
      </c>
    </row>
    <row r="75" spans="1:15">
      <c r="A75" t="s">
        <v>3850</v>
      </c>
      <c r="B75" t="s">
        <v>3851</v>
      </c>
      <c r="C75" t="s">
        <v>3684</v>
      </c>
      <c r="D75" t="s">
        <v>3130</v>
      </c>
      <c r="E75" t="s">
        <v>3385</v>
      </c>
      <c r="F75" t="s">
        <v>3852</v>
      </c>
      <c r="G75" t="s">
        <v>3141</v>
      </c>
      <c r="H75" t="s">
        <v>3102</v>
      </c>
      <c r="I75">
        <v>50.63</v>
      </c>
      <c r="J75">
        <v>15840.88</v>
      </c>
      <c r="K75">
        <v>802024</v>
      </c>
      <c r="L75" s="2961">
        <v>42973</v>
      </c>
      <c r="M75" t="s">
        <v>3134</v>
      </c>
      <c r="N75" t="s">
        <v>3687</v>
      </c>
      <c r="O75" t="s">
        <v>3136</v>
      </c>
    </row>
    <row r="76" spans="1:15">
      <c r="A76" t="s">
        <v>3832</v>
      </c>
      <c r="B76" t="s">
        <v>3832</v>
      </c>
      <c r="C76" t="s">
        <v>3684</v>
      </c>
      <c r="D76" t="s">
        <v>3130</v>
      </c>
      <c r="E76" t="s">
        <v>3393</v>
      </c>
      <c r="F76" t="s">
        <v>3833</v>
      </c>
      <c r="G76" t="s">
        <v>3141</v>
      </c>
      <c r="H76" t="s">
        <v>3102</v>
      </c>
      <c r="I76">
        <v>52.5</v>
      </c>
      <c r="J76">
        <v>16482.93</v>
      </c>
      <c r="K76">
        <v>865354</v>
      </c>
      <c r="L76" s="2961">
        <v>42976</v>
      </c>
      <c r="M76" t="s">
        <v>3134</v>
      </c>
      <c r="N76" t="s">
        <v>3687</v>
      </c>
      <c r="O76" t="s">
        <v>3136</v>
      </c>
    </row>
    <row r="77" spans="1:15">
      <c r="A77" t="s">
        <v>3834</v>
      </c>
      <c r="B77" t="s">
        <v>3834</v>
      </c>
      <c r="C77" t="s">
        <v>3684</v>
      </c>
      <c r="D77" t="s">
        <v>3130</v>
      </c>
      <c r="E77" t="s">
        <v>3373</v>
      </c>
      <c r="F77" t="s">
        <v>3833</v>
      </c>
      <c r="G77" t="s">
        <v>3141</v>
      </c>
      <c r="H77" t="s">
        <v>3102</v>
      </c>
      <c r="I77">
        <v>55</v>
      </c>
      <c r="J77">
        <v>16525.45</v>
      </c>
      <c r="K77">
        <v>908900</v>
      </c>
      <c r="L77" s="2961">
        <v>42976</v>
      </c>
      <c r="M77" t="s">
        <v>3134</v>
      </c>
      <c r="N77" t="s">
        <v>3687</v>
      </c>
      <c r="O77" t="s">
        <v>3136</v>
      </c>
    </row>
    <row r="78" spans="1:15">
      <c r="A78" t="s">
        <v>3905</v>
      </c>
      <c r="B78" t="s">
        <v>3906</v>
      </c>
      <c r="C78" t="s">
        <v>3684</v>
      </c>
      <c r="D78" t="s">
        <v>3130</v>
      </c>
      <c r="E78" t="s">
        <v>3139</v>
      </c>
      <c r="F78" t="s">
        <v>3907</v>
      </c>
      <c r="G78" t="s">
        <v>3133</v>
      </c>
      <c r="H78" t="s">
        <v>3102</v>
      </c>
      <c r="I78">
        <v>80.319999999999993</v>
      </c>
      <c r="J78">
        <v>12419.15</v>
      </c>
      <c r="K78">
        <v>997506</v>
      </c>
      <c r="L78" s="2961">
        <v>42973</v>
      </c>
      <c r="M78" t="s">
        <v>3134</v>
      </c>
      <c r="N78" t="s">
        <v>3687</v>
      </c>
      <c r="O78" t="s">
        <v>3136</v>
      </c>
    </row>
    <row r="79" spans="1:15">
      <c r="A79" t="s">
        <v>3869</v>
      </c>
      <c r="B79" t="s">
        <v>3870</v>
      </c>
      <c r="C79" t="s">
        <v>3684</v>
      </c>
      <c r="D79" t="s">
        <v>3130</v>
      </c>
      <c r="E79" t="s">
        <v>3144</v>
      </c>
      <c r="F79" t="s">
        <v>3871</v>
      </c>
      <c r="G79" t="s">
        <v>3133</v>
      </c>
      <c r="H79" t="s">
        <v>3102</v>
      </c>
      <c r="I79">
        <v>46.4</v>
      </c>
      <c r="J79">
        <v>13439.44</v>
      </c>
      <c r="K79">
        <v>623590</v>
      </c>
      <c r="L79" s="2961">
        <v>42973</v>
      </c>
      <c r="M79" t="s">
        <v>3134</v>
      </c>
      <c r="N79" t="s">
        <v>3687</v>
      </c>
      <c r="O79" t="s">
        <v>3136</v>
      </c>
    </row>
    <row r="80" spans="1:15">
      <c r="A80" t="s">
        <v>3898</v>
      </c>
      <c r="B80" t="s">
        <v>3899</v>
      </c>
      <c r="C80" t="s">
        <v>3684</v>
      </c>
      <c r="D80" t="s">
        <v>3130</v>
      </c>
      <c r="E80" t="s">
        <v>3365</v>
      </c>
      <c r="F80" t="s">
        <v>3900</v>
      </c>
      <c r="G80" t="s">
        <v>3133</v>
      </c>
      <c r="H80" t="s">
        <v>3102</v>
      </c>
      <c r="I80">
        <v>50.63</v>
      </c>
      <c r="J80">
        <v>15445.37</v>
      </c>
      <c r="K80">
        <v>781999</v>
      </c>
      <c r="L80" s="2961">
        <v>42973</v>
      </c>
      <c r="M80" t="s">
        <v>3134</v>
      </c>
      <c r="N80" t="s">
        <v>3687</v>
      </c>
      <c r="O80" t="s">
        <v>3136</v>
      </c>
    </row>
    <row r="81" spans="1:15">
      <c r="A81" t="s">
        <v>3848</v>
      </c>
      <c r="B81" t="s">
        <v>3848</v>
      </c>
      <c r="C81" t="s">
        <v>3684</v>
      </c>
      <c r="D81" t="s">
        <v>3130</v>
      </c>
      <c r="E81" t="s">
        <v>3489</v>
      </c>
      <c r="F81" t="s">
        <v>3849</v>
      </c>
      <c r="G81" t="s">
        <v>3141</v>
      </c>
      <c r="H81" t="s">
        <v>3102</v>
      </c>
      <c r="I81">
        <v>50.63</v>
      </c>
      <c r="J81">
        <v>16284.5</v>
      </c>
      <c r="K81">
        <v>824484</v>
      </c>
      <c r="L81" s="2961">
        <v>42974</v>
      </c>
      <c r="M81" t="s">
        <v>3134</v>
      </c>
      <c r="N81" t="s">
        <v>3687</v>
      </c>
      <c r="O81" t="s">
        <v>3136</v>
      </c>
    </row>
    <row r="82" spans="1:15">
      <c r="A82" t="s">
        <v>3846</v>
      </c>
      <c r="B82" t="s">
        <v>3846</v>
      </c>
      <c r="C82" t="s">
        <v>3684</v>
      </c>
      <c r="D82" t="s">
        <v>3130</v>
      </c>
      <c r="E82" t="s">
        <v>3477</v>
      </c>
      <c r="F82" t="s">
        <v>3847</v>
      </c>
      <c r="G82" t="s">
        <v>3141</v>
      </c>
      <c r="H82" t="s">
        <v>3102</v>
      </c>
      <c r="I82">
        <v>50.63</v>
      </c>
      <c r="J82">
        <v>16805.169999999998</v>
      </c>
      <c r="K82">
        <v>850846</v>
      </c>
      <c r="L82" s="2961">
        <v>42974</v>
      </c>
      <c r="M82" t="s">
        <v>3134</v>
      </c>
      <c r="N82" t="s">
        <v>3687</v>
      </c>
      <c r="O82" t="s">
        <v>3136</v>
      </c>
    </row>
    <row r="83" spans="1:15">
      <c r="A83" t="s">
        <v>3918</v>
      </c>
      <c r="B83" t="s">
        <v>3918</v>
      </c>
      <c r="C83" t="s">
        <v>3684</v>
      </c>
      <c r="D83" t="s">
        <v>3130</v>
      </c>
      <c r="E83" t="s">
        <v>3919</v>
      </c>
      <c r="F83" t="s">
        <v>3920</v>
      </c>
      <c r="G83" t="s">
        <v>3141</v>
      </c>
      <c r="H83" t="s">
        <v>3102</v>
      </c>
      <c r="I83">
        <v>50.63</v>
      </c>
      <c r="J83">
        <v>17221.71</v>
      </c>
      <c r="K83">
        <v>871935</v>
      </c>
      <c r="L83" s="2961">
        <v>42973</v>
      </c>
      <c r="M83" t="s">
        <v>3134</v>
      </c>
      <c r="N83" t="s">
        <v>3687</v>
      </c>
      <c r="O83" t="s">
        <v>3136</v>
      </c>
    </row>
    <row r="84" spans="1:15">
      <c r="A84" t="s">
        <v>3914</v>
      </c>
      <c r="B84" t="s">
        <v>3915</v>
      </c>
      <c r="C84" t="s">
        <v>3684</v>
      </c>
      <c r="D84" t="s">
        <v>3130</v>
      </c>
      <c r="E84" t="s">
        <v>3916</v>
      </c>
      <c r="F84" t="s">
        <v>3917</v>
      </c>
      <c r="G84" t="s">
        <v>3141</v>
      </c>
      <c r="H84" t="s">
        <v>3102</v>
      </c>
      <c r="I84">
        <v>66.25</v>
      </c>
      <c r="J84">
        <v>13095.91</v>
      </c>
      <c r="K84">
        <v>867604</v>
      </c>
      <c r="L84" s="2961">
        <v>42973</v>
      </c>
      <c r="M84" t="s">
        <v>3134</v>
      </c>
      <c r="N84" t="s">
        <v>3687</v>
      </c>
      <c r="O84" t="s">
        <v>3136</v>
      </c>
    </row>
    <row r="85" spans="1:15">
      <c r="A85" t="s">
        <v>3839</v>
      </c>
      <c r="B85" t="s">
        <v>3840</v>
      </c>
      <c r="C85" t="s">
        <v>3684</v>
      </c>
      <c r="D85" t="s">
        <v>3130</v>
      </c>
      <c r="E85" t="s">
        <v>3841</v>
      </c>
      <c r="F85" t="s">
        <v>3838</v>
      </c>
      <c r="G85" t="s">
        <v>3133</v>
      </c>
      <c r="H85" t="s">
        <v>3102</v>
      </c>
      <c r="I85">
        <v>60.74</v>
      </c>
      <c r="J85">
        <v>15638.21</v>
      </c>
      <c r="K85">
        <v>949865</v>
      </c>
      <c r="L85" s="2961">
        <v>42975</v>
      </c>
      <c r="M85" t="s">
        <v>3134</v>
      </c>
      <c r="N85" t="s">
        <v>3687</v>
      </c>
      <c r="O85" t="s">
        <v>3136</v>
      </c>
    </row>
    <row r="86" spans="1:15">
      <c r="A86" t="s">
        <v>3835</v>
      </c>
      <c r="B86" t="s">
        <v>3836</v>
      </c>
      <c r="C86" t="s">
        <v>3684</v>
      </c>
      <c r="D86" t="s">
        <v>3130</v>
      </c>
      <c r="E86" t="s">
        <v>3837</v>
      </c>
      <c r="F86" t="s">
        <v>3838</v>
      </c>
      <c r="G86" t="s">
        <v>3133</v>
      </c>
      <c r="H86" t="s">
        <v>3102</v>
      </c>
      <c r="I86">
        <v>94.45</v>
      </c>
      <c r="J86">
        <v>17694.12</v>
      </c>
      <c r="K86">
        <v>1671210</v>
      </c>
      <c r="L86" s="2961">
        <v>42975</v>
      </c>
      <c r="M86" t="s">
        <v>3134</v>
      </c>
      <c r="N86" t="s">
        <v>3687</v>
      </c>
      <c r="O86" t="s">
        <v>3136</v>
      </c>
    </row>
    <row r="87" spans="1:15">
      <c r="A87" t="s">
        <v>3842</v>
      </c>
      <c r="B87" t="s">
        <v>3843</v>
      </c>
      <c r="C87" t="s">
        <v>3684</v>
      </c>
      <c r="D87" t="s">
        <v>3130</v>
      </c>
      <c r="E87" t="s">
        <v>3844</v>
      </c>
      <c r="F87" t="s">
        <v>3845</v>
      </c>
      <c r="G87" t="s">
        <v>3141</v>
      </c>
      <c r="H87" t="s">
        <v>3102</v>
      </c>
      <c r="I87">
        <v>61.6</v>
      </c>
      <c r="J87">
        <v>18108.72</v>
      </c>
      <c r="K87">
        <v>1115497</v>
      </c>
      <c r="L87" s="2961">
        <v>42975</v>
      </c>
      <c r="M87" t="s">
        <v>3134</v>
      </c>
      <c r="N87" t="s">
        <v>3687</v>
      </c>
      <c r="O87" t="s">
        <v>3136</v>
      </c>
    </row>
    <row r="88" spans="1:15">
      <c r="A88" t="s">
        <v>3715</v>
      </c>
      <c r="B88" t="s">
        <v>3715</v>
      </c>
      <c r="C88" t="s">
        <v>3684</v>
      </c>
      <c r="D88" t="s">
        <v>3130</v>
      </c>
      <c r="E88" t="s">
        <v>3716</v>
      </c>
      <c r="F88" t="s">
        <v>3717</v>
      </c>
      <c r="G88" t="s">
        <v>3141</v>
      </c>
      <c r="H88" t="s">
        <v>3102</v>
      </c>
      <c r="I88">
        <v>71.45</v>
      </c>
      <c r="J88">
        <v>17820.62</v>
      </c>
      <c r="K88">
        <v>1273283</v>
      </c>
      <c r="L88" s="2961">
        <v>43003</v>
      </c>
      <c r="M88" t="s">
        <v>3134</v>
      </c>
      <c r="N88" t="s">
        <v>3687</v>
      </c>
      <c r="O88" t="s">
        <v>3136</v>
      </c>
    </row>
    <row r="89" spans="1:15">
      <c r="A89" t="s">
        <v>3682</v>
      </c>
      <c r="B89" t="s">
        <v>3683</v>
      </c>
      <c r="C89" t="s">
        <v>3684</v>
      </c>
      <c r="D89" t="s">
        <v>3130</v>
      </c>
      <c r="E89" t="s">
        <v>3685</v>
      </c>
      <c r="F89" t="s">
        <v>3686</v>
      </c>
      <c r="G89" t="s">
        <v>3141</v>
      </c>
      <c r="H89" t="s">
        <v>3102</v>
      </c>
      <c r="I89">
        <v>88.7</v>
      </c>
      <c r="J89">
        <v>17820.62</v>
      </c>
      <c r="K89">
        <v>1580689</v>
      </c>
      <c r="L89" s="2961">
        <v>43047</v>
      </c>
      <c r="M89" t="s">
        <v>3134</v>
      </c>
      <c r="N89" t="s">
        <v>3687</v>
      </c>
      <c r="O89" t="s">
        <v>3136</v>
      </c>
    </row>
    <row r="90" spans="1:15">
      <c r="A90" t="s">
        <v>3816</v>
      </c>
      <c r="B90" t="s">
        <v>3817</v>
      </c>
      <c r="C90" t="s">
        <v>3684</v>
      </c>
      <c r="D90" t="s">
        <v>3130</v>
      </c>
      <c r="E90" t="s">
        <v>3818</v>
      </c>
      <c r="F90" t="s">
        <v>3819</v>
      </c>
      <c r="G90" t="s">
        <v>3133</v>
      </c>
      <c r="H90" t="s">
        <v>3102</v>
      </c>
      <c r="I90">
        <v>91.17</v>
      </c>
      <c r="J90">
        <v>16526.88</v>
      </c>
      <c r="K90">
        <v>1506756</v>
      </c>
      <c r="L90" s="2961">
        <v>42984</v>
      </c>
      <c r="M90" t="s">
        <v>3134</v>
      </c>
      <c r="N90" t="s">
        <v>3687</v>
      </c>
      <c r="O90" t="s">
        <v>3136</v>
      </c>
    </row>
  </sheetData>
  <autoFilter ref="A1:O1"/>
  <phoneticPr fontId="14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五矿信托有限责任公司：</v>
      </c>
    </row>
    <row r="4" spans="1:1" ht="36">
      <c r="A4" s="1950" t="str">
        <f>"受贵公司委托，我公司对"&amp;项目基本情况!S1&amp;"进行了预评估。"</f>
        <v>受贵公司委托，我公司对山东省济南市天桥区世茂天城房地产抵押价值进行了预评估。</v>
      </c>
    </row>
    <row r="5" spans="1:1" ht="18.75">
      <c r="A5" s="1951" t="s">
        <v>1612</v>
      </c>
    </row>
    <row r="6" spans="1:1" ht="18.75">
      <c r="A6" s="1952" t="s">
        <v>1613</v>
      </c>
    </row>
    <row r="7" spans="1:1" ht="72">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东省济南市天桥区世茂天城房地产，为济南世茂天城置业有限公司所有。根据《不动产权证书》[鲁（2018）济南市不动产权第0005486号]，估价对象（分摊）出让国有建设用地使用权面积为6332.52平方米，建筑面积为1380.28平方米。</v>
      </c>
    </row>
    <row r="8" spans="1:1" ht="57.75">
      <c r="A8" s="1953" t="s">
        <v>1614</v>
      </c>
    </row>
    <row r="9" spans="1:1" ht="18.75">
      <c r="A9" s="1952" t="s">
        <v>1615</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东省济南市天桥区世茂天城房地产,属济南世茂天城置业有限公司开发建设的商业项目，该项目尚在开发建设中。根据《不动产权证书》[鲁（2018）济南市不动产权第0005486号]，估价对象（分摊）出让国有建设用地使用权面积为6332.52平方米，规划建筑面积为1380.28平方米。</v>
      </c>
    </row>
    <row r="11" spans="1:1" ht="76.5">
      <c r="A11" s="1953" t="s">
        <v>1616</v>
      </c>
    </row>
    <row r="12" spans="1:1" ht="18.75">
      <c r="A12" s="1951" t="s">
        <v>1617</v>
      </c>
    </row>
    <row r="13" spans="1:1" ht="38.25" customHeight="1">
      <c r="A13" s="1954" t="str">
        <f>IF(项目基本情况!B8="抵押",IF(项目基本情况!B5=项目基本情况!B6,定义!C51,定义!B51),定义!D51)</f>
        <v>济南世茂天城置业有限公司拟使用山东省济南市天桥区世茂天城房地产作为抵押担保物，向五矿信托有限责任公司办理贷款手续。五矿信托有限责任公司特委托北京康正宏基房地产评估有限公司对上述抵押物进行评估。本次评估为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2018年8月9日（评估专业人员实地查勘之日）</v>
      </c>
    </row>
    <row r="16" spans="1:1" ht="18.75">
      <c r="A16" s="1955" t="s">
        <v>1619</v>
      </c>
    </row>
    <row r="17" spans="1:1" ht="75">
      <c r="A17" s="1950" t="s">
        <v>1620</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9日，估价对象规划用途为商业，土地取得方式为出让，出让国有建设用地使用权剩余土地使用年限为商业36.05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红线内场地平整条件下，剩余土地使用年限为商业36.05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1609</v>
      </c>
    </row>
    <row r="24" spans="1:1" ht="18">
      <c r="A24" s="1957" t="str">
        <f>"本次评估采用的主估价方法为"&amp;结果表!K4&amp;"和"&amp;结果表!L4&amp;"。"</f>
        <v>本次评估采用的主估价方法为比较法和收益法。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8"/>
  <sheetViews>
    <sheetView workbookViewId="0">
      <selection activeCell="J19" sqref="J19"/>
    </sheetView>
  </sheetViews>
  <sheetFormatPr defaultRowHeight="13.5"/>
  <cols>
    <col min="5" max="5" width="10.5" bestFit="1" customWidth="1"/>
    <col min="7" max="7" width="16.625" customWidth="1"/>
  </cols>
  <sheetData>
    <row r="1" spans="3:11">
      <c r="C1" s="2984" t="s">
        <v>3110</v>
      </c>
      <c r="D1" s="2955" t="s">
        <v>3934</v>
      </c>
      <c r="E1" s="2955" t="s">
        <v>3935</v>
      </c>
      <c r="G1" s="2983" t="s">
        <v>4028</v>
      </c>
      <c r="H1" s="2949" t="s">
        <v>3934</v>
      </c>
      <c r="I1" s="2949" t="s">
        <v>4029</v>
      </c>
      <c r="J1" s="2949" t="s">
        <v>3935</v>
      </c>
    </row>
    <row r="2" spans="3:11">
      <c r="C2" s="2955" t="s">
        <v>3933</v>
      </c>
      <c r="D2">
        <v>1</v>
      </c>
      <c r="E2" s="2954">
        <f>ROUND(SUM('5#'!K2:K85)/SUM('5#'!I2:I85),0)</f>
        <v>30320</v>
      </c>
      <c r="G2" s="2949" t="s">
        <v>4030</v>
      </c>
      <c r="H2" s="2948">
        <v>1</v>
      </c>
      <c r="I2" s="2949" t="s">
        <v>4031</v>
      </c>
      <c r="J2" s="2948">
        <f>ROUND(3000/30/45,2)</f>
        <v>2.2200000000000002</v>
      </c>
    </row>
    <row r="3" spans="3:11">
      <c r="D3">
        <v>2</v>
      </c>
      <c r="E3" s="2954">
        <f>ROUND(SUM('5#'!K86:K140)/SUM('5#'!I86:I140),0)</f>
        <v>14802</v>
      </c>
      <c r="G3" s="2949" t="s">
        <v>4034</v>
      </c>
      <c r="H3" s="2948">
        <v>1</v>
      </c>
      <c r="I3" s="2949" t="s">
        <v>4031</v>
      </c>
      <c r="J3" s="2948">
        <f>ROUND(45000/365/30,2)</f>
        <v>4.1100000000000003</v>
      </c>
      <c r="K3">
        <f>E3/E2</f>
        <v>0.48819261213720316</v>
      </c>
    </row>
    <row r="4" spans="3:11">
      <c r="C4" s="2955" t="s">
        <v>3932</v>
      </c>
      <c r="D4">
        <v>1</v>
      </c>
      <c r="E4" s="2954">
        <f>ROUND(SUM('2#'!K2:K54)/SUM('2#'!I2:I54),0)</f>
        <v>27289</v>
      </c>
      <c r="G4" s="2949" t="s">
        <v>4032</v>
      </c>
      <c r="H4" s="2948">
        <v>2</v>
      </c>
      <c r="I4" s="2949" t="s">
        <v>4031</v>
      </c>
      <c r="J4" s="2948">
        <f>ROUND(3300/30/52,2)</f>
        <v>2.12</v>
      </c>
    </row>
    <row r="5" spans="3:11">
      <c r="D5">
        <v>2</v>
      </c>
      <c r="E5" s="2954">
        <f>ROUND(SUM('2#'!K55:K90)/SUM('2#'!I55:I90),0)</f>
        <v>15167</v>
      </c>
      <c r="G5" s="2949" t="s">
        <v>4032</v>
      </c>
      <c r="H5" s="2948">
        <v>1</v>
      </c>
      <c r="I5" s="2949" t="s">
        <v>4031</v>
      </c>
      <c r="J5" s="2948">
        <f>ROUND(4.5,2)</f>
        <v>4.5</v>
      </c>
      <c r="K5">
        <f>E5/E4</f>
        <v>0.55579171094580238</v>
      </c>
    </row>
    <row r="6" spans="3:11">
      <c r="C6" s="2955" t="s">
        <v>4016</v>
      </c>
      <c r="G6" s="2949" t="s">
        <v>4033</v>
      </c>
      <c r="H6" s="2948">
        <v>1</v>
      </c>
      <c r="I6" s="2949" t="s">
        <v>4031</v>
      </c>
      <c r="J6" s="2948">
        <f t="shared" ref="J6" si="0">ROUND(45000/365/30,2)</f>
        <v>4.1100000000000003</v>
      </c>
    </row>
    <row r="7" spans="3:11">
      <c r="G7" s="2949" t="s">
        <v>4033</v>
      </c>
      <c r="H7" s="2948">
        <v>1</v>
      </c>
      <c r="I7" s="2949" t="s">
        <v>4031</v>
      </c>
      <c r="J7" s="2949" t="s">
        <v>4035</v>
      </c>
    </row>
    <row r="8" spans="3:11">
      <c r="G8" s="2949" t="s">
        <v>4033</v>
      </c>
      <c r="H8" s="2948">
        <v>1</v>
      </c>
      <c r="I8" s="2949" t="s">
        <v>4036</v>
      </c>
      <c r="J8" s="2948">
        <v>6.5</v>
      </c>
    </row>
  </sheetData>
  <phoneticPr fontId="144"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6" customWidth="1"/>
    <col min="3" max="3" width="11.875" style="706"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1"/>
      <c r="C1" s="1839"/>
      <c r="D1" s="1822"/>
      <c r="E1" s="1823" t="s">
        <v>1387</v>
      </c>
      <c r="F1" s="1285" t="b">
        <f>J53</f>
        <v>0</v>
      </c>
      <c r="G1" s="1838">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1590</v>
      </c>
      <c r="B2" s="1846" t="e">
        <f ca="1">ROUND(D2/10000,0)</f>
        <v>#DIV/0!</v>
      </c>
      <c r="C2" s="1847" t="s">
        <v>1591</v>
      </c>
      <c r="D2" s="1940" t="e">
        <f ca="1">C40+J29+L46</f>
        <v>#DIV/0!</v>
      </c>
      <c r="E2" s="1848" t="s">
        <v>1592</v>
      </c>
      <c r="F2" s="1849"/>
      <c r="G2" s="1850"/>
      <c r="H2" s="1842"/>
      <c r="I2" s="1842"/>
      <c r="J2" s="1842"/>
      <c r="K2" s="1843"/>
      <c r="L2" s="1842"/>
      <c r="M2" s="1842"/>
    </row>
    <row r="3" spans="1:37" ht="18" customHeight="1" thickBot="1">
      <c r="A3" s="1851" t="s">
        <v>1593</v>
      </c>
      <c r="B3" s="1852">
        <f ca="1">IF(ISERROR(D2/F43),0,ROUND(D2/F43,0))</f>
        <v>0</v>
      </c>
      <c r="C3" s="1847" t="s">
        <v>1594</v>
      </c>
      <c r="D3" s="1847"/>
      <c r="E3" s="1848"/>
      <c r="F3" s="1849"/>
      <c r="G3" s="1850"/>
      <c r="H3" s="743" t="s">
        <v>1588</v>
      </c>
      <c r="I3" s="1842"/>
      <c r="J3" s="1842"/>
      <c r="K3" s="1843"/>
      <c r="L3" s="1842"/>
      <c r="M3" s="1842"/>
    </row>
    <row r="4" spans="1:37" ht="18" customHeight="1">
      <c r="A4" s="340" t="s">
        <v>1595</v>
      </c>
      <c r="B4" s="341" t="s">
        <v>1596</v>
      </c>
      <c r="C4" s="341" t="s">
        <v>1597</v>
      </c>
      <c r="D4" s="341" t="s">
        <v>1598</v>
      </c>
      <c r="E4" s="342" t="s">
        <v>1599</v>
      </c>
      <c r="F4" s="343"/>
      <c r="G4" s="1853"/>
      <c r="H4" s="340" t="s">
        <v>1595</v>
      </c>
      <c r="I4" s="341" t="s">
        <v>1596</v>
      </c>
      <c r="J4" s="341" t="s">
        <v>1597</v>
      </c>
      <c r="K4" s="341" t="s">
        <v>1598</v>
      </c>
      <c r="L4" s="342" t="s">
        <v>1599</v>
      </c>
      <c r="M4" s="343"/>
    </row>
    <row r="5" spans="1:37" ht="18" customHeight="1">
      <c r="A5" s="344">
        <v>1</v>
      </c>
      <c r="B5" s="345" t="s">
        <v>1600</v>
      </c>
      <c r="C5" s="1294">
        <f ca="1">C6+C10+C12</f>
        <v>0</v>
      </c>
      <c r="D5" s="1824" t="s">
        <v>1601</v>
      </c>
      <c r="E5" s="1295"/>
      <c r="F5" s="1296"/>
      <c r="G5" s="1853"/>
      <c r="H5" s="344">
        <v>1</v>
      </c>
      <c r="I5" s="345" t="s">
        <v>1600</v>
      </c>
      <c r="J5" s="1294">
        <f ca="1">J6+J10+J12</f>
        <v>0</v>
      </c>
      <c r="K5" s="1824" t="s">
        <v>1601</v>
      </c>
      <c r="L5" s="1295"/>
      <c r="M5" s="1296"/>
    </row>
    <row r="6" spans="1:37" ht="18" customHeight="1">
      <c r="A6" s="1293" t="s">
        <v>1035</v>
      </c>
      <c r="B6" s="3231" t="s">
        <v>1403</v>
      </c>
      <c r="C6" s="1298">
        <f ca="1">ROUND(F6*F8*F7*(1-F9),0)</f>
        <v>0</v>
      </c>
      <c r="D6" s="164" t="s">
        <v>3022</v>
      </c>
      <c r="E6" s="347" t="s">
        <v>1405</v>
      </c>
      <c r="F6" s="348">
        <f ca="1">INDIRECT("'数据-取费表'!u"&amp;$G$1)</f>
        <v>0</v>
      </c>
      <c r="G6" s="1853"/>
      <c r="H6" s="1293" t="s">
        <v>1035</v>
      </c>
      <c r="I6" s="3231" t="s">
        <v>1403</v>
      </c>
      <c r="J6" s="346">
        <f ca="1">ROUND(M6*M8*M7*(1-M9),0)</f>
        <v>0</v>
      </c>
      <c r="K6" s="1836" t="s">
        <v>3023</v>
      </c>
      <c r="L6" s="347" t="s">
        <v>1405</v>
      </c>
      <c r="M6" s="348">
        <f ca="1">INDIRECT("'数据-取费表'!z"&amp;$G$1)</f>
        <v>0</v>
      </c>
    </row>
    <row r="7" spans="1:37" ht="18" customHeight="1">
      <c r="A7" s="1297"/>
      <c r="B7" s="3232"/>
      <c r="C7" s="1299"/>
      <c r="D7" s="352"/>
      <c r="E7" s="1300" t="s">
        <v>1406</v>
      </c>
      <c r="F7" s="348">
        <f ca="1">IF(INDIRECT("'数据-取费表'!ah"&amp;$G$1)="",INDIRECT("'数据-取费表'!k"&amp;$G$1),INDIRECT("'数据-取费表'!ah"&amp;$G$1))</f>
        <v>0</v>
      </c>
      <c r="G7" s="1853"/>
      <c r="H7" s="349"/>
      <c r="I7" s="3232"/>
      <c r="J7" s="351"/>
      <c r="K7" s="352"/>
      <c r="L7" s="347" t="s">
        <v>1406</v>
      </c>
      <c r="M7" s="348">
        <f ca="1">F7</f>
        <v>0</v>
      </c>
    </row>
    <row r="8" spans="1:37" ht="18" customHeight="1">
      <c r="A8" s="349"/>
      <c r="B8" s="3232"/>
      <c r="C8" s="351"/>
      <c r="D8" s="352"/>
      <c r="E8" s="347" t="s">
        <v>1407</v>
      </c>
      <c r="F8" s="348">
        <f ca="1">INDIRECT("'数据-取费表'!ai"&amp;$G$1)</f>
        <v>0</v>
      </c>
      <c r="G8" s="1853"/>
      <c r="H8" s="349"/>
      <c r="I8" s="3232"/>
      <c r="J8" s="351"/>
      <c r="K8" s="352"/>
      <c r="L8" s="347" t="s">
        <v>1407</v>
      </c>
      <c r="M8" s="348">
        <f ca="1">INDIRECT("'数据-取费表'!ai"&amp;$G$1)</f>
        <v>0</v>
      </c>
    </row>
    <row r="9" spans="1:37" ht="18" customHeight="1">
      <c r="A9" s="349"/>
      <c r="B9" s="3233"/>
      <c r="C9" s="351"/>
      <c r="D9" s="352"/>
      <c r="E9" s="347" t="s">
        <v>1408</v>
      </c>
      <c r="F9" s="357">
        <f ca="1">INDIRECT("'数据-取费表'!w"&amp;$G$1)</f>
        <v>0</v>
      </c>
      <c r="G9" s="1853"/>
      <c r="H9" s="349"/>
      <c r="I9" s="3233"/>
      <c r="J9" s="351"/>
      <c r="K9" s="352"/>
      <c r="L9" s="358" t="s">
        <v>1408</v>
      </c>
      <c r="M9" s="359">
        <f ca="1">INDIRECT("'数据-取费表'!ab"&amp;$G$1)</f>
        <v>0</v>
      </c>
    </row>
    <row r="10" spans="1:37" ht="18" customHeight="1">
      <c r="A10" s="1293" t="s">
        <v>1039</v>
      </c>
      <c r="B10" s="1825" t="s">
        <v>1409</v>
      </c>
      <c r="C10" s="361">
        <f ca="1">ROUND(IF(F10="押一",C6/12*F11,IF(F10="押二",C6/12*2*F11,IF(F10="押三",C6/12*3*F11,C11*F11))),0)</f>
        <v>0</v>
      </c>
      <c r="D10" s="1826" t="s">
        <v>3033</v>
      </c>
      <c r="E10" s="358" t="s">
        <v>1410</v>
      </c>
      <c r="F10" s="1368"/>
      <c r="G10" s="1853"/>
      <c r="H10" s="1293" t="s">
        <v>1039</v>
      </c>
      <c r="I10" s="1825" t="s">
        <v>1409</v>
      </c>
      <c r="J10" s="346">
        <f ca="1">ROUND(IF(M10="押一",J6/12*M11,IF(M10="押二",J6/12*2*M11,IF(M10="押三",J6/12*3*M11,J11*M11))),0)</f>
        <v>0</v>
      </c>
      <c r="K10" s="1837" t="s">
        <v>3035</v>
      </c>
      <c r="L10" s="358" t="s">
        <v>1410</v>
      </c>
      <c r="M10" s="1368"/>
    </row>
    <row r="11" spans="1:37" ht="18" customHeight="1">
      <c r="A11" s="353"/>
      <c r="B11" s="1827" t="s">
        <v>1602</v>
      </c>
      <c r="C11" s="1180"/>
      <c r="D11" s="352"/>
      <c r="E11" s="358" t="s">
        <v>1412</v>
      </c>
      <c r="F11" s="359">
        <f ca="1">'数据-取费表'!B39</f>
        <v>1.4999999999999999E-2</v>
      </c>
      <c r="G11" s="1853"/>
      <c r="H11" s="1301"/>
      <c r="I11" s="1827" t="s">
        <v>1603</v>
      </c>
      <c r="J11" s="1180"/>
      <c r="K11" s="747"/>
      <c r="L11" s="358"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5">
        <f ca="1">ROUND(C29*F13,0)</f>
        <v>0</v>
      </c>
      <c r="D13" s="1333" t="s">
        <v>1415</v>
      </c>
      <c r="E13" s="1333" t="s">
        <v>1416</v>
      </c>
      <c r="F13" s="1334">
        <f ca="1">INDIRECT("'数据-取费表'!y"&amp;$G$1)</f>
        <v>0</v>
      </c>
      <c r="G13" s="1853"/>
      <c r="H13" s="1331">
        <v>2</v>
      </c>
      <c r="I13" s="1332" t="s">
        <v>1414</v>
      </c>
      <c r="J13" s="1292">
        <f ca="1">ROUND(J14*J15,0)</f>
        <v>0</v>
      </c>
      <c r="K13" s="1339" t="s">
        <v>1415</v>
      </c>
      <c r="L13" s="1854"/>
      <c r="M13" s="1855"/>
    </row>
    <row r="14" spans="1:37" ht="18" customHeight="1">
      <c r="A14" s="1203" t="s">
        <v>1034</v>
      </c>
      <c r="B14" s="347" t="s">
        <v>1417</v>
      </c>
      <c r="C14" s="363">
        <f ca="1">ROUND(INDIRECT("'数据-取费表'!l"&amp;$G$1)*F43+'数据-取费表'!L14*INDIRECT("'数据-取费表'!S"&amp;$G$1),0)</f>
        <v>0</v>
      </c>
      <c r="D14" s="1802" t="s">
        <v>1418</v>
      </c>
      <c r="E14" s="1796"/>
      <c r="F14" s="364"/>
      <c r="G14" s="1853"/>
      <c r="H14" s="1203" t="s">
        <v>1035</v>
      </c>
      <c r="I14" s="347" t="s">
        <v>1419</v>
      </c>
      <c r="J14" s="24">
        <f ca="1">C29</f>
        <v>0</v>
      </c>
      <c r="K14" s="15"/>
      <c r="L14" s="981"/>
      <c r="M14" s="982"/>
    </row>
    <row r="15" spans="1:37" s="1860" customFormat="1" ht="18" customHeight="1" thickBot="1">
      <c r="A15" s="1203" t="s">
        <v>1036</v>
      </c>
      <c r="B15" s="347" t="s">
        <v>1420</v>
      </c>
      <c r="C15" s="24">
        <f ca="1">ROUND(C14*F15,0)</f>
        <v>0</v>
      </c>
      <c r="D15" s="365" t="s">
        <v>1421</v>
      </c>
      <c r="E15" s="365" t="s">
        <v>1422</v>
      </c>
      <c r="F15" s="366">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7" t="s">
        <v>1423</v>
      </c>
      <c r="C16" s="24">
        <f ca="1">ROUND(INDIRECT("'数据-取费表'!l"&amp;$G$1)*F43*F16,0)</f>
        <v>0</v>
      </c>
      <c r="D16" s="347" t="s">
        <v>1421</v>
      </c>
      <c r="E16" s="347" t="s">
        <v>1422</v>
      </c>
      <c r="F16" s="367">
        <f ca="1">IF(INDIRECT("'数据-取费表'!c"&amp;$G$1)="住宅",'数据-取费表'!B34,0)</f>
        <v>0</v>
      </c>
      <c r="G16" s="1853"/>
      <c r="H16" s="1331" t="s">
        <v>1030</v>
      </c>
      <c r="I16" s="1332" t="s">
        <v>1424</v>
      </c>
      <c r="J16" s="355">
        <f ca="1">ROUND(J17+J22+J23+J24,0)</f>
        <v>0</v>
      </c>
      <c r="K16" s="1339" t="s">
        <v>1425</v>
      </c>
      <c r="L16" s="1340"/>
      <c r="M16" s="1296"/>
    </row>
    <row r="17" spans="1:37" s="1860" customFormat="1" ht="18" customHeight="1">
      <c r="A17" s="1203" t="s">
        <v>1390</v>
      </c>
      <c r="B17" s="347" t="s">
        <v>1426</v>
      </c>
      <c r="C17" s="24">
        <f ca="1">ROUND(F17*(F43+INDIRECT("'数据-取费表'!S"&amp;$G$1)),0)</f>
        <v>0</v>
      </c>
      <c r="D17" s="347" t="s">
        <v>1427</v>
      </c>
      <c r="E17" s="347" t="s">
        <v>1428</v>
      </c>
      <c r="F17" s="26">
        <f>'数据-取费表'!B35</f>
        <v>200</v>
      </c>
      <c r="G17" s="1856"/>
      <c r="H17" s="1203" t="s">
        <v>1035</v>
      </c>
      <c r="I17" s="347" t="s">
        <v>1429</v>
      </c>
      <c r="J17" s="24">
        <f ca="1">ROUND(IF(项目基本情况!B11="自然人",J5*M17,J18+J19+J20),0)</f>
        <v>0</v>
      </c>
      <c r="K17" s="1802" t="s">
        <v>1430</v>
      </c>
      <c r="L17" s="1800" t="s">
        <v>1431</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7" t="s">
        <v>1432</v>
      </c>
      <c r="C18" s="24">
        <f ca="1">ROUND(C14*F18,0)</f>
        <v>0</v>
      </c>
      <c r="D18" s="347" t="s">
        <v>1421</v>
      </c>
      <c r="E18" s="347" t="s">
        <v>1422</v>
      </c>
      <c r="F18" s="367">
        <f>'数据-取费表'!B36</f>
        <v>1.4999999999999999E-2</v>
      </c>
      <c r="G18" s="1856"/>
      <c r="H18" s="1203" t="s">
        <v>1034</v>
      </c>
      <c r="I18" s="347" t="s">
        <v>1433</v>
      </c>
      <c r="J18" s="24">
        <f ca="1">ROUND(J5*M18/(1+'数据-取费表'!C42),0)</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7" t="s">
        <v>1435</v>
      </c>
      <c r="C19" s="24">
        <f ca="1">SUM(C14:C18)</f>
        <v>0</v>
      </c>
      <c r="D19" s="140" t="s">
        <v>1436</v>
      </c>
      <c r="E19" s="1820"/>
      <c r="F19" s="26"/>
      <c r="G19" s="1853"/>
      <c r="H19" s="1203" t="s">
        <v>1036</v>
      </c>
      <c r="I19" s="347" t="s">
        <v>1437</v>
      </c>
      <c r="J19" s="24">
        <f ca="1">IF(K19="按租金收入计税",ROUND(J5*M19,0),ROUND(C29*M19*0.7,0))</f>
        <v>0</v>
      </c>
      <c r="K19" s="1830" t="s">
        <v>1438</v>
      </c>
      <c r="L19" s="347" t="s">
        <v>1422</v>
      </c>
      <c r="M19" s="367">
        <f>IF(K19="按租金收入计税",'数据-取费表'!B51,'数据-取费表'!B50)</f>
        <v>1.2E-2</v>
      </c>
    </row>
    <row r="20" spans="1:37" s="1860" customFormat="1" ht="18" customHeight="1">
      <c r="A20" s="1203" t="s">
        <v>1039</v>
      </c>
      <c r="B20" s="347" t="s">
        <v>1439</v>
      </c>
      <c r="C20" s="24">
        <f ca="1">ROUND(C19*F20,0)</f>
        <v>0</v>
      </c>
      <c r="D20" s="369" t="s">
        <v>1440</v>
      </c>
      <c r="E20" s="347" t="s">
        <v>1422</v>
      </c>
      <c r="F20" s="367">
        <f>'数据-取费表'!B37</f>
        <v>0.02</v>
      </c>
      <c r="G20" s="1856"/>
      <c r="H20" s="1203" t="s">
        <v>1389</v>
      </c>
      <c r="I20" s="164" t="s">
        <v>1441</v>
      </c>
      <c r="J20" s="25">
        <f ca="1">ROUND(M20*M21,0)</f>
        <v>0</v>
      </c>
      <c r="K20" s="370" t="s">
        <v>1442</v>
      </c>
      <c r="L20" s="347" t="s">
        <v>1443</v>
      </c>
      <c r="M20" s="371">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7" t="s">
        <v>1444</v>
      </c>
      <c r="C21" s="24" t="s">
        <v>1</v>
      </c>
      <c r="D21" s="369" t="s">
        <v>1445</v>
      </c>
      <c r="E21" s="347" t="s">
        <v>1446</v>
      </c>
      <c r="F21" s="367">
        <f>'数据-取费表'!B38</f>
        <v>0.02</v>
      </c>
      <c r="G21" s="1856"/>
      <c r="H21" s="372"/>
      <c r="I21" s="356"/>
      <c r="J21" s="29"/>
      <c r="K21" s="373"/>
      <c r="L21" s="347" t="s">
        <v>1447</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7" t="s">
        <v>1448</v>
      </c>
      <c r="C22" s="24"/>
      <c r="D22" s="140" t="str">
        <f>IF(F23&lt;=1,"单利计息。","复利计息。")&amp;"建造成本、管理费用、销售费用产生的利息。"</f>
        <v>单利计息。建造成本、管理费用、销售费用产生的利息。</v>
      </c>
      <c r="E22" s="1820"/>
      <c r="F22" s="26"/>
      <c r="G22" s="1853"/>
      <c r="H22" s="1203" t="s">
        <v>1039</v>
      </c>
      <c r="I22" s="347" t="s">
        <v>1449</v>
      </c>
      <c r="J22" s="24">
        <f ca="1">ROUND(J14*M22,0)</f>
        <v>0</v>
      </c>
      <c r="K22" s="1800" t="s">
        <v>1450</v>
      </c>
      <c r="L22" s="347" t="s">
        <v>1422</v>
      </c>
      <c r="M22" s="374">
        <f ca="1">INDIRECT("'数据-取费表'!Ak"&amp;$G$1)</f>
        <v>0</v>
      </c>
    </row>
    <row r="23" spans="1:37" s="1860" customFormat="1" ht="18" customHeight="1">
      <c r="A23" s="1203"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6"/>
      <c r="H23" s="1203" t="s">
        <v>1075</v>
      </c>
      <c r="I23" s="347" t="s">
        <v>1453</v>
      </c>
      <c r="J23" s="24">
        <f ca="1">ROUND(J13*M23,0)</f>
        <v>0</v>
      </c>
      <c r="K23" s="1800" t="s">
        <v>1454</v>
      </c>
      <c r="L23" s="347" t="s">
        <v>1455</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6"/>
      <c r="H24" s="1341" t="s">
        <v>1393</v>
      </c>
      <c r="I24" s="1342" t="s">
        <v>1439</v>
      </c>
      <c r="J24" s="1343">
        <f ca="1">ROUND(J5*M24,0)</f>
        <v>0</v>
      </c>
      <c r="K24" s="1344" t="s">
        <v>1459</v>
      </c>
      <c r="L24" s="1342" t="s">
        <v>1455</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1460</v>
      </c>
      <c r="B25" s="347" t="s">
        <v>1461</v>
      </c>
      <c r="C25" s="24"/>
      <c r="D25" s="140" t="s">
        <v>1462</v>
      </c>
      <c r="E25" s="1820"/>
      <c r="F25" s="26"/>
      <c r="G25" s="1853"/>
      <c r="H25" s="1331" t="s">
        <v>1031</v>
      </c>
      <c r="I25" s="1346" t="s">
        <v>1463</v>
      </c>
      <c r="J25" s="355">
        <f ca="1">J5-J16</f>
        <v>0</v>
      </c>
      <c r="K25" s="1347" t="s">
        <v>1464</v>
      </c>
      <c r="L25" s="1348"/>
      <c r="M25" s="1349"/>
    </row>
    <row r="26" spans="1:37" ht="18" customHeight="1">
      <c r="A26" s="1203" t="s">
        <v>1034</v>
      </c>
      <c r="B26" s="347" t="s">
        <v>1465</v>
      </c>
      <c r="C26" s="24">
        <f ca="1">ROUND((C19+C20)*F26,0)</f>
        <v>0</v>
      </c>
      <c r="D26" s="369" t="s">
        <v>1466</v>
      </c>
      <c r="E26" s="358" t="s">
        <v>1467</v>
      </c>
      <c r="F26" s="357">
        <f ca="1">INDIRECT("'数据-取费表'!q"&amp;$G$1)</f>
        <v>0</v>
      </c>
      <c r="G26" s="1853"/>
      <c r="H26" s="344" t="s">
        <v>1032</v>
      </c>
      <c r="I26" s="345" t="s">
        <v>1468</v>
      </c>
      <c r="J26" s="346">
        <f ca="1">IF(J5&lt;&gt;0,ROUND(J25*(1-((1+M28)/(1+M26))^M27)/(M26-M28),0),0)</f>
        <v>0</v>
      </c>
      <c r="K26" s="370" t="s">
        <v>1469</v>
      </c>
      <c r="L26" s="347" t="s">
        <v>1470</v>
      </c>
      <c r="M26" s="357">
        <f ca="1">INDIRECT("'数据-取费表'!I"&amp;$G$1)</f>
        <v>0</v>
      </c>
    </row>
    <row r="27" spans="1:37" ht="18" customHeight="1">
      <c r="A27" s="1203" t="s">
        <v>1036</v>
      </c>
      <c r="B27" s="347" t="s">
        <v>1471</v>
      </c>
      <c r="C27" s="24">
        <f ca="1">ROUND(F21*F26,4)</f>
        <v>0</v>
      </c>
      <c r="D27" s="369" t="s">
        <v>1472</v>
      </c>
      <c r="E27" s="365"/>
      <c r="F27" s="366"/>
      <c r="G27" s="1853"/>
      <c r="H27" s="349"/>
      <c r="I27" s="350"/>
      <c r="J27" s="351"/>
      <c r="K27" s="378" t="s">
        <v>1473</v>
      </c>
      <c r="L27" s="347" t="s">
        <v>1474</v>
      </c>
      <c r="M27" s="379">
        <f ca="1">INDIRECT("'数据-取费表'!ag"&amp;$G$1)</f>
        <v>0</v>
      </c>
    </row>
    <row r="28" spans="1:37" s="1860" customFormat="1" ht="18" customHeight="1">
      <c r="A28" s="1203"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0</v>
      </c>
      <c r="D29" s="1344"/>
      <c r="E29" s="1342"/>
      <c r="F29" s="1345"/>
      <c r="G29" s="1856"/>
      <c r="H29" s="380" t="s">
        <v>1033</v>
      </c>
      <c r="I29" s="381" t="s">
        <v>1479</v>
      </c>
      <c r="J29" s="382">
        <f ca="1">ROUND(J26/(1+F40)^F41,0)</f>
        <v>0</v>
      </c>
      <c r="K29" s="383" t="s">
        <v>1480</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5">
        <f ca="1">ROUND(C31+C36+C37+C38,0)</f>
        <v>0</v>
      </c>
      <c r="D30" s="1339" t="s">
        <v>1425</v>
      </c>
      <c r="E30" s="1340"/>
      <c r="F30" s="1296"/>
      <c r="G30" s="1853"/>
      <c r="H30" s="744"/>
      <c r="I30" s="745"/>
      <c r="J30" s="746"/>
      <c r="K30" s="747"/>
      <c r="L30" s="748"/>
      <c r="M30" s="749"/>
    </row>
    <row r="31" spans="1:37" ht="18" customHeight="1">
      <c r="A31" s="1203" t="s">
        <v>1035</v>
      </c>
      <c r="B31" s="347" t="s">
        <v>1429</v>
      </c>
      <c r="C31" s="24">
        <f ca="1">ROUND(IF(项目基本情况!B11="自然人",C5*F31,C32+C33+C34),0)</f>
        <v>0</v>
      </c>
      <c r="D31" s="1802" t="s">
        <v>1430</v>
      </c>
      <c r="E31" s="1800" t="s">
        <v>1481</v>
      </c>
      <c r="F31" s="368"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7" t="s">
        <v>1433</v>
      </c>
      <c r="C32" s="24">
        <f ca="1">IF(项目基本情况!B11="自然人","——",ROUND(C5*F32/(1+'数据-取费表'!C42),0))</f>
        <v>0</v>
      </c>
      <c r="D32" s="1800" t="s">
        <v>1434</v>
      </c>
      <c r="E32" s="347" t="s">
        <v>1422</v>
      </c>
      <c r="F32" s="377">
        <f>'数据-取费表'!B41</f>
        <v>5.6000000000000001E-2</v>
      </c>
      <c r="G32" s="1853"/>
      <c r="H32" s="744"/>
      <c r="I32" s="745"/>
      <c r="J32" s="746"/>
      <c r="K32" s="747"/>
      <c r="L32" s="748"/>
      <c r="M32" s="749"/>
    </row>
    <row r="33" spans="1:18" ht="18" customHeight="1">
      <c r="A33" s="1203" t="s">
        <v>1036</v>
      </c>
      <c r="B33" s="347" t="s">
        <v>1437</v>
      </c>
      <c r="C33" s="24">
        <f ca="1">IF(项目基本情况!B11="自然人","——",IF(D33="按租金收入计税",ROUND(C5*F33,0),IF(D33="按房产原值计税",ROUND(C29*F33*0.7,0),INDIRECT("'数据-取费表'!Aj"&amp;$G$1))))</f>
        <v>0</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3" t="s">
        <v>1389</v>
      </c>
      <c r="B34" s="164" t="s">
        <v>1441</v>
      </c>
      <c r="C34" s="25">
        <f ca="1">IF(项目基本情况!B11="自然人","——",ROUND(F34*F35,))</f>
        <v>0</v>
      </c>
      <c r="D34" s="370" t="s">
        <v>1442</v>
      </c>
      <c r="E34" s="347" t="s">
        <v>1443</v>
      </c>
      <c r="F34" s="371">
        <f>'数据-取费表'!B52</f>
        <v>15</v>
      </c>
      <c r="G34" s="1853"/>
      <c r="H34" s="744"/>
      <c r="I34" s="1862"/>
      <c r="J34" s="1863"/>
      <c r="K34" s="1865"/>
      <c r="L34" s="1866"/>
      <c r="M34" s="1866"/>
    </row>
    <row r="35" spans="1:18" ht="18" customHeight="1">
      <c r="A35" s="1355"/>
      <c r="B35" s="1353"/>
      <c r="C35" s="29"/>
      <c r="D35" s="373"/>
      <c r="E35" s="347" t="s">
        <v>1447</v>
      </c>
      <c r="F35" s="348">
        <f ca="1">INDIRECT("'数据-取费表'!r"&amp;$G$1)</f>
        <v>0</v>
      </c>
      <c r="G35" s="1853"/>
      <c r="H35" s="744"/>
      <c r="I35" s="1862"/>
      <c r="J35" s="1863"/>
      <c r="K35" s="1864"/>
      <c r="L35" s="1861"/>
      <c r="M35" s="1861"/>
    </row>
    <row r="36" spans="1:18" ht="18" customHeight="1">
      <c r="A36" s="1354" t="s">
        <v>1039</v>
      </c>
      <c r="B36" s="347" t="s">
        <v>1449</v>
      </c>
      <c r="C36" s="24">
        <f ca="1">ROUND(C29*F36,0)</f>
        <v>0</v>
      </c>
      <c r="D36" s="1800" t="s">
        <v>1482</v>
      </c>
      <c r="E36" s="347" t="s">
        <v>1422</v>
      </c>
      <c r="F36" s="374">
        <f ca="1">INDIRECT("'数据-取费表'!Ak"&amp;$G$1)</f>
        <v>0</v>
      </c>
      <c r="G36" s="1853"/>
      <c r="H36" s="1861"/>
      <c r="I36" s="1862"/>
      <c r="J36" s="1863"/>
      <c r="K36" s="750"/>
      <c r="L36" s="1861"/>
      <c r="M36" s="1861"/>
    </row>
    <row r="37" spans="1:18" ht="18" customHeight="1">
      <c r="A37" s="1203" t="s">
        <v>1075</v>
      </c>
      <c r="B37" s="347" t="s">
        <v>1453</v>
      </c>
      <c r="C37" s="24">
        <f ca="1">ROUND(C13*F37,0)</f>
        <v>0</v>
      </c>
      <c r="D37" s="1800" t="s">
        <v>1454</v>
      </c>
      <c r="E37" s="347" t="s">
        <v>1455</v>
      </c>
      <c r="F37" s="376">
        <f ca="1">INDIRECT("'数据-取费表'!Al"&amp;$G$1)</f>
        <v>0</v>
      </c>
      <c r="G37" s="1853"/>
      <c r="H37" s="1861"/>
      <c r="I37" s="1862"/>
      <c r="J37" s="1863"/>
      <c r="K37" s="750"/>
      <c r="L37" s="1861"/>
      <c r="M37" s="1861"/>
    </row>
    <row r="38" spans="1:18" ht="18" customHeight="1" thickBot="1">
      <c r="A38" s="1341" t="s">
        <v>1393</v>
      </c>
      <c r="B38" s="1342" t="s">
        <v>1439</v>
      </c>
      <c r="C38" s="1343">
        <f ca="1">ROUND(C5*F38,1)</f>
        <v>0</v>
      </c>
      <c r="D38" s="1344" t="s">
        <v>1459</v>
      </c>
      <c r="E38" s="1342" t="s">
        <v>1455</v>
      </c>
      <c r="F38" s="1338">
        <f ca="1">INDIRECT("'数据-取费表'!Am"&amp;$G$1)</f>
        <v>0</v>
      </c>
      <c r="G38" s="1853"/>
      <c r="H38" s="1861"/>
      <c r="I38" s="1862"/>
      <c r="J38" s="1863"/>
      <c r="K38" s="1867"/>
      <c r="L38" s="1861"/>
      <c r="M38" s="1861"/>
    </row>
    <row r="39" spans="1:18" ht="24.6" customHeight="1" thickTop="1">
      <c r="A39" s="1331" t="s">
        <v>1031</v>
      </c>
      <c r="B39" s="1346" t="s">
        <v>1483</v>
      </c>
      <c r="C39" s="355">
        <f ca="1">C5-C30</f>
        <v>0</v>
      </c>
      <c r="D39" s="1347" t="s">
        <v>1484</v>
      </c>
      <c r="E39" s="1348"/>
      <c r="F39" s="1349"/>
      <c r="G39" s="1853"/>
      <c r="H39" s="1861"/>
      <c r="I39" s="1862"/>
      <c r="J39" s="1863"/>
      <c r="K39" s="1867"/>
      <c r="L39" s="1861"/>
      <c r="M39" s="1861"/>
    </row>
    <row r="40" spans="1:18" ht="18" customHeight="1">
      <c r="A40" s="344" t="s">
        <v>1032</v>
      </c>
      <c r="B40" s="345" t="s">
        <v>1485</v>
      </c>
      <c r="C40" s="346" t="e">
        <f ca="1">ROUND(C39*(1-((1+F42)/(1+F40))^F41)/(F40-F42),0)</f>
        <v>#DIV/0!</v>
      </c>
      <c r="D40" s="370" t="s">
        <v>1469</v>
      </c>
      <c r="E40" s="347" t="s">
        <v>1470</v>
      </c>
      <c r="F40" s="357">
        <f ca="1">INDIRECT("'数据-取费表'!I"&amp;$G$1)</f>
        <v>0</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0</v>
      </c>
      <c r="G41" s="1853"/>
      <c r="H41" s="731"/>
      <c r="I41" s="1862"/>
      <c r="J41" s="1863"/>
      <c r="K41" s="750"/>
      <c r="L41" s="731"/>
      <c r="M41" s="731"/>
    </row>
    <row r="42" spans="1:18" ht="18" customHeight="1">
      <c r="A42" s="353"/>
      <c r="B42" s="354"/>
      <c r="C42" s="355"/>
      <c r="D42" s="373"/>
      <c r="E42" s="347" t="s">
        <v>1477</v>
      </c>
      <c r="F42" s="357">
        <f ca="1">INDIRECT("'数据-取费表'!v"&amp;$G$1)</f>
        <v>0</v>
      </c>
      <c r="G42" s="1853"/>
      <c r="H42" s="731"/>
      <c r="I42" s="1862"/>
      <c r="J42" s="1863"/>
      <c r="K42" s="750"/>
      <c r="L42" s="731"/>
      <c r="M42" s="731"/>
    </row>
    <row r="43" spans="1:18" ht="18" customHeight="1" thickBot="1">
      <c r="A43" s="380" t="s">
        <v>1033</v>
      </c>
      <c r="B43" s="381" t="s">
        <v>1487</v>
      </c>
      <c r="C43" s="382" t="e">
        <f ca="1">ROUND(C40/F43,0)</f>
        <v>#DIV/0!</v>
      </c>
      <c r="D43" s="383" t="s">
        <v>1488</v>
      </c>
      <c r="E43" s="384" t="s">
        <v>1489</v>
      </c>
      <c r="F43" s="385">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1604</v>
      </c>
      <c r="E45" s="1868"/>
      <c r="F45" s="1868"/>
      <c r="O45" s="1871" t="s">
        <v>1519</v>
      </c>
      <c r="P45" s="1841"/>
      <c r="Q45" s="1841"/>
      <c r="R45" s="1841"/>
    </row>
    <row r="46" spans="1:18" s="1844" customFormat="1" ht="13.5" thickBot="1">
      <c r="A46" s="1872" t="s">
        <v>1520</v>
      </c>
      <c r="C46" s="1873" t="e">
        <f ca="1">ROUND(C45/10000,0)</f>
        <v>#DIV/0!</v>
      </c>
      <c r="D46" s="1874" t="str">
        <f>C2</f>
        <v>万元</v>
      </c>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7" t="s">
        <v>1396</v>
      </c>
      <c r="B47" s="1199" t="s">
        <v>1397</v>
      </c>
      <c r="C47" s="1199" t="s">
        <v>1398</v>
      </c>
      <c r="D47" s="1199" t="s">
        <v>1399</v>
      </c>
      <c r="E47" s="1281" t="s">
        <v>1400</v>
      </c>
      <c r="F47" s="1282"/>
      <c r="G47" s="791"/>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2" t="s">
        <v>1135</v>
      </c>
      <c r="B48" s="345" t="s">
        <v>1401</v>
      </c>
      <c r="C48" s="1819">
        <f ca="1">C49+C53+C55</f>
        <v>0</v>
      </c>
      <c r="D48" s="1364"/>
      <c r="E48" s="1365"/>
      <c r="F48" s="1183"/>
      <c r="G48" s="791"/>
      <c r="H48" s="792"/>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6" t="s">
        <v>1136</v>
      </c>
      <c r="B49" s="1831" t="s">
        <v>1490</v>
      </c>
      <c r="C49" s="1366">
        <f ca="1">ROUND(F49*F51*F50*(1-F52),0)</f>
        <v>0</v>
      </c>
      <c r="D49" s="1278" t="s">
        <v>1404</v>
      </c>
      <c r="E49" s="1832" t="s">
        <v>1491</v>
      </c>
      <c r="F49" s="1283"/>
      <c r="G49" s="1893"/>
      <c r="H49" s="792"/>
      <c r="I49" s="1889" t="s">
        <v>1534</v>
      </c>
      <c r="J49" s="1894"/>
      <c r="K49" s="1891" t="s">
        <v>1535</v>
      </c>
      <c r="L49" s="1895"/>
      <c r="O49" s="1896" t="s">
        <v>1042</v>
      </c>
      <c r="P49" s="1887" t="s">
        <v>1536</v>
      </c>
      <c r="Q49" s="1888">
        <f ca="1">C29</f>
        <v>0</v>
      </c>
      <c r="R49" s="1888" t="s">
        <v>1529</v>
      </c>
    </row>
    <row r="50" spans="1:18" s="1844" customFormat="1" ht="13.5" thickBot="1">
      <c r="A50" s="1197"/>
      <c r="B50" s="1200"/>
      <c r="C50" s="1201"/>
      <c r="D50" s="1174"/>
      <c r="E50" s="1279" t="s">
        <v>1406</v>
      </c>
      <c r="F50" s="1280">
        <f ca="1">F7</f>
        <v>0</v>
      </c>
      <c r="H50" s="792"/>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8"/>
      <c r="B51" s="1200"/>
      <c r="C51" s="1201"/>
      <c r="D51" s="1174"/>
      <c r="E51" s="1202" t="s">
        <v>1407</v>
      </c>
      <c r="F51" s="348">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b">
        <f>J53</f>
        <v>0</v>
      </c>
      <c r="R52" s="1888" t="s">
        <v>1546</v>
      </c>
    </row>
    <row r="53" spans="1:18" s="1844" customFormat="1" ht="30.75" customHeight="1" thickBot="1">
      <c r="A53" s="1363" t="s">
        <v>1137</v>
      </c>
      <c r="B53" s="369" t="s">
        <v>1409</v>
      </c>
      <c r="C53" s="361">
        <f ca="1">ROUND(IF(F53="押一",C49/12*F11,IF(F53="押二",C49/12*2*F11,IF(F53="押三",C49/12*3*F11,C54*F11))),0)</f>
        <v>0</v>
      </c>
      <c r="D53" s="1826" t="s">
        <v>3036</v>
      </c>
      <c r="E53" s="358" t="s">
        <v>1410</v>
      </c>
      <c r="F53" s="1368"/>
      <c r="I53" s="1907" t="s">
        <v>1547</v>
      </c>
      <c r="J53" s="1908" t="b">
        <f>IF(M47="住宅",IF(D1="——",MAX(J51,L48),IF(D1="在建（套用方法）",MAX(J51,L48-'数据-取费表'!B24),MAX(J51,L48-'数据-取费表'!B20))),IF(D1="——",MIN(J51,L48),IF(D1="在建（套用方法）",MIN(J51,L48-'数据-取费表'!B24),IF(D1="土地（套用方法）",MIN(J51,L48-'数据-取费表'!B20)))))</f>
        <v>0</v>
      </c>
      <c r="K53" s="3229" t="s">
        <v>1548</v>
      </c>
      <c r="L53" s="3230"/>
      <c r="O53" s="1886" t="s">
        <v>1046</v>
      </c>
      <c r="P53" s="1887" t="s">
        <v>1549</v>
      </c>
      <c r="Q53" s="1888" t="e">
        <f ca="1">Q47+Q48</f>
        <v>#DIV/0!</v>
      </c>
      <c r="R53" s="1888" t="s">
        <v>1047</v>
      </c>
    </row>
    <row r="54" spans="1:18" s="1844" customFormat="1" ht="13.5" thickBot="1">
      <c r="A54" s="1196"/>
      <c r="B54" s="1943" t="s">
        <v>1603</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#DIV/0!</v>
      </c>
      <c r="K55" s="1914" t="s">
        <v>1552</v>
      </c>
      <c r="L55" s="1915"/>
      <c r="O55" s="1879" t="s">
        <v>1522</v>
      </c>
      <c r="P55" s="1880" t="s">
        <v>1523</v>
      </c>
      <c r="Q55" s="1881" t="s">
        <v>1524</v>
      </c>
      <c r="R55" s="1881" t="s">
        <v>1525</v>
      </c>
    </row>
    <row r="56" spans="1:18" s="1844" customFormat="1" ht="36" customHeight="1" thickTop="1" thickBot="1">
      <c r="A56" s="1178">
        <v>2</v>
      </c>
      <c r="B56" s="1179" t="s">
        <v>1414</v>
      </c>
      <c r="C56" s="276">
        <f ca="1">C13</f>
        <v>0</v>
      </c>
      <c r="D56" s="1916"/>
      <c r="E56" s="1917"/>
      <c r="F56" s="1909"/>
      <c r="I56" s="1918" t="s">
        <v>1554</v>
      </c>
      <c r="J56" s="1919"/>
      <c r="K56" s="1889" t="s">
        <v>1555</v>
      </c>
      <c r="L56" s="1892">
        <f ca="1">IF(L48&lt;J51,"——",L48-J51)</f>
        <v>0</v>
      </c>
      <c r="O56" s="1886" t="s">
        <v>1040</v>
      </c>
      <c r="P56" s="1887" t="s">
        <v>1528</v>
      </c>
      <c r="Q56" s="1888" t="e">
        <f ca="1">C40+J29</f>
        <v>#DIV/0!</v>
      </c>
      <c r="R56" s="1888" t="s">
        <v>1529</v>
      </c>
    </row>
    <row r="57" spans="1:18" s="1844" customFormat="1" ht="24.75" thickBot="1">
      <c r="A57" s="1920"/>
      <c r="B57" s="1171" t="s">
        <v>1478</v>
      </c>
      <c r="C57" s="282">
        <f ca="1">C29</f>
        <v>0</v>
      </c>
      <c r="D57" s="1921"/>
      <c r="E57" s="1922"/>
      <c r="F57" s="1923"/>
      <c r="I57" s="1924" t="s">
        <v>1556</v>
      </c>
      <c r="J57" s="1925">
        <f ca="1">IF(OR(M47="住宅",J51&lt;L48,J56="是"),"——",J51-L48)</f>
        <v>0</v>
      </c>
      <c r="K57" s="1889" t="s">
        <v>1605</v>
      </c>
      <c r="L57" s="1892">
        <f ca="1">IF(L48&lt;J51,"——",IF(L55="比较法",L49,IF(L55="基准地价",L50,L51)))</f>
        <v>0</v>
      </c>
      <c r="O57" s="1886" t="s">
        <v>1041</v>
      </c>
      <c r="P57" s="1887" t="s">
        <v>1606</v>
      </c>
      <c r="Q57" s="1888" t="e">
        <f ca="1">L60</f>
        <v>#DIV/0!</v>
      </c>
      <c r="R57" s="1888" t="s">
        <v>1607</v>
      </c>
    </row>
    <row r="58" spans="1:18" s="1844" customFormat="1" ht="24.75" thickBot="1">
      <c r="A58" s="360" t="s">
        <v>1030</v>
      </c>
      <c r="B58" s="1179" t="s">
        <v>1424</v>
      </c>
      <c r="C58" s="361">
        <f ca="1">ROUND(C59+C64+C65+C66,0)</f>
        <v>0</v>
      </c>
      <c r="D58" s="1181" t="s">
        <v>1425</v>
      </c>
      <c r="E58" s="1182"/>
      <c r="F58" s="1183"/>
      <c r="I58" s="1924" t="s">
        <v>1560</v>
      </c>
      <c r="J58" s="1926" t="e">
        <f ca="1">IF(J55&lt;0.4,0.4,J55)</f>
        <v>#DIV/0!</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4">
        <f ca="1">ROUND(IF(项目基本情况!B11="自然人",C48*F59,C60+C61+C62),0)</f>
        <v>0</v>
      </c>
      <c r="D59" s="1184" t="s">
        <v>1430</v>
      </c>
      <c r="E59" s="1185" t="s">
        <v>1431</v>
      </c>
      <c r="F59" s="368" t="str">
        <f ca="1">IF(项目基本情况!B11="企业","",IF(INDIRECT("'数据-取费表'!c"&amp;$G$1)="住宅",5%,IF(F49*F50*F51/12/(1+'数据-取费表'!C42)&gt;20000,12%,7%)))</f>
        <v/>
      </c>
      <c r="I59" s="1924" t="s">
        <v>1563</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4">
        <f ca="1">IF(项目基本情况!B11="自然人","——",ROUND(C48*F60/(1+'数据-取费表'!C42),0))</f>
        <v>0</v>
      </c>
      <c r="D60" s="1185" t="s">
        <v>1434</v>
      </c>
      <c r="E60" s="1171" t="s">
        <v>1422</v>
      </c>
      <c r="F60" s="377">
        <f t="shared" ref="F60:F66" si="0">F32</f>
        <v>5.6000000000000001E-2</v>
      </c>
      <c r="I60" s="1927" t="s">
        <v>1565</v>
      </c>
      <c r="J60" s="1928" t="e">
        <f ca="1">IF(OR(M47="住宅",J51&lt;L48,J56="是"),"0",ROUND(J59/(1+J52)^J53,0))</f>
        <v>#DIV/0!</v>
      </c>
      <c r="K60" s="1929" t="s">
        <v>1566</v>
      </c>
      <c r="L60" s="1928" t="e">
        <f ca="1">IF(OR(M47="住宅",L48&lt;J51),0,ROUND(L57*(L58/L59-1),0))</f>
        <v>#DIV/0!</v>
      </c>
      <c r="O60" s="1896" t="s">
        <v>1044</v>
      </c>
      <c r="P60" s="1887" t="s">
        <v>1567</v>
      </c>
      <c r="Q60" s="1888" t="e">
        <f ca="1">L58</f>
        <v>#DIV/0!</v>
      </c>
      <c r="R60" s="1888" t="s">
        <v>1568</v>
      </c>
    </row>
    <row r="61" spans="1:18" s="1844" customFormat="1" ht="13.5" thickBot="1">
      <c r="A61" s="1203" t="s">
        <v>1492</v>
      </c>
      <c r="B61" s="1171" t="s">
        <v>1493</v>
      </c>
      <c r="C61" s="24">
        <f ca="1">IF(项目基本情况!B11="自然人","——",IF(D61="按租金收入计税",ROUND(C48*F61,0),IF(D61="按房产原值计税",ROUND(C57*F61*0.7,0),INDIRECT("'数据-取费表'!Aj"&amp;$G$1))))</f>
        <v>0</v>
      </c>
      <c r="D61" s="1830" t="s">
        <v>1438</v>
      </c>
      <c r="E61" s="1171" t="s">
        <v>1494</v>
      </c>
      <c r="F61" s="367">
        <f t="shared" si="0"/>
        <v>1.2E-2</v>
      </c>
      <c r="I61" s="1930"/>
      <c r="J61" s="1930"/>
      <c r="K61" s="1930"/>
      <c r="L61" s="1930"/>
      <c r="O61" s="1896" t="s">
        <v>1045</v>
      </c>
      <c r="P61" s="1887" t="str">
        <f>K59</f>
        <v>建设期及建筑物耐用年限下的土地年期修正系数Kn</v>
      </c>
      <c r="Q61" s="1888" t="e">
        <f ca="1">L59</f>
        <v>#DIV/0!</v>
      </c>
      <c r="R61" s="1888" t="s">
        <v>1569</v>
      </c>
    </row>
    <row r="62" spans="1:18" s="1844" customFormat="1" ht="13.5" thickBot="1">
      <c r="A62" s="1203" t="s">
        <v>1495</v>
      </c>
      <c r="B62" s="1170" t="s">
        <v>1496</v>
      </c>
      <c r="C62" s="25">
        <f ca="1">IF(项目基本情况!B11="自然人","——",ROUND(F62*F63,0))</f>
        <v>0</v>
      </c>
      <c r="D62" s="1186" t="s">
        <v>1497</v>
      </c>
      <c r="E62" s="1171" t="s">
        <v>1498</v>
      </c>
      <c r="F62" s="371">
        <f t="shared" si="0"/>
        <v>15</v>
      </c>
      <c r="I62" s="1931" t="s">
        <v>1570</v>
      </c>
      <c r="J62" s="1932" t="s">
        <v>1571</v>
      </c>
      <c r="K62" s="1932" t="s">
        <v>1572</v>
      </c>
      <c r="L62" s="1932" t="s">
        <v>1573</v>
      </c>
      <c r="M62" s="1933" t="s">
        <v>1574</v>
      </c>
      <c r="O62" s="1886" t="s">
        <v>1046</v>
      </c>
      <c r="P62" s="1887" t="s">
        <v>1575</v>
      </c>
      <c r="Q62" s="1888" t="e">
        <f ca="1">Q56+Q57</f>
        <v>#DIV/0!</v>
      </c>
      <c r="R62" s="1888" t="s">
        <v>1047</v>
      </c>
    </row>
    <row r="63" spans="1:18" s="1844" customFormat="1" ht="13.5" thickBot="1">
      <c r="A63" s="372"/>
      <c r="B63" s="1177"/>
      <c r="C63" s="29"/>
      <c r="D63" s="1187"/>
      <c r="E63" s="1171" t="s">
        <v>1499</v>
      </c>
      <c r="F63" s="348">
        <f t="shared" ca="1" si="0"/>
        <v>0</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4">
        <f ca="1">ROUND(C57*F64,0)</f>
        <v>0</v>
      </c>
      <c r="D64" s="1185" t="s">
        <v>1502</v>
      </c>
      <c r="E64" s="1171" t="s">
        <v>1494</v>
      </c>
      <c r="F64" s="374">
        <f t="shared" ca="1" si="0"/>
        <v>0</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4">
        <f ca="1">ROUND(C56*F65,0)</f>
        <v>0</v>
      </c>
      <c r="D65" s="1185" t="s">
        <v>1454</v>
      </c>
      <c r="E65" s="1171" t="s">
        <v>1455</v>
      </c>
      <c r="F65" s="376">
        <f t="shared" ca="1" si="0"/>
        <v>0</v>
      </c>
      <c r="I65" s="1931" t="s">
        <v>1579</v>
      </c>
      <c r="J65" s="1932">
        <v>40</v>
      </c>
      <c r="K65" s="1932">
        <v>30</v>
      </c>
      <c r="L65" s="1932">
        <v>50</v>
      </c>
      <c r="M65" s="1934">
        <v>0.02</v>
      </c>
      <c r="O65" s="1886" t="s">
        <v>1040</v>
      </c>
      <c r="P65" s="1887" t="s">
        <v>1580</v>
      </c>
      <c r="Q65" s="1888" t="e">
        <f ca="1">C40+J29</f>
        <v>#DIV/0!</v>
      </c>
      <c r="R65" s="1888" t="s">
        <v>1529</v>
      </c>
    </row>
    <row r="66" spans="1:18" s="1844" customFormat="1" ht="16.5" thickBot="1">
      <c r="A66" s="1203" t="s">
        <v>1504</v>
      </c>
      <c r="B66" s="1171" t="s">
        <v>1439</v>
      </c>
      <c r="C66" s="24">
        <f ca="1">ROUND(C48*F66,0)</f>
        <v>0</v>
      </c>
      <c r="D66" s="1185" t="s">
        <v>1505</v>
      </c>
      <c r="E66" s="1171" t="s">
        <v>1422</v>
      </c>
      <c r="F66" s="357">
        <f t="shared" ca="1" si="0"/>
        <v>0</v>
      </c>
      <c r="O66" s="1886" t="s">
        <v>1041</v>
      </c>
      <c r="P66" s="1887" t="s">
        <v>1558</v>
      </c>
      <c r="Q66" s="1888" t="e">
        <f ca="1">L60</f>
        <v>#DIV/0!</v>
      </c>
      <c r="R66" s="1888" t="s">
        <v>1581</v>
      </c>
    </row>
    <row r="67" spans="1:18" s="1844" customFormat="1" ht="16.5" thickBot="1">
      <c r="A67" s="1178" t="s">
        <v>1031</v>
      </c>
      <c r="B67" s="1188" t="s">
        <v>1463</v>
      </c>
      <c r="C67" s="361">
        <f ca="1">C48-C58</f>
        <v>0</v>
      </c>
      <c r="D67" s="1184" t="s">
        <v>1464</v>
      </c>
      <c r="E67" s="1189"/>
      <c r="F67" s="1190"/>
      <c r="O67" s="1896" t="s">
        <v>1042</v>
      </c>
      <c r="P67" s="1887" t="s">
        <v>1562</v>
      </c>
      <c r="Q67" s="1935">
        <f ca="1">L51</f>
        <v>0</v>
      </c>
      <c r="R67" s="1888" t="s">
        <v>1582</v>
      </c>
    </row>
    <row r="68" spans="1:18" s="1844" customFormat="1" ht="16.5" thickBot="1">
      <c r="A68" s="1168" t="s">
        <v>1032</v>
      </c>
      <c r="B68" s="1169" t="s">
        <v>1485</v>
      </c>
      <c r="C68" s="346" t="e">
        <f ca="1">ROUND(C67*(1-((1+F70)/(1+F68))^F69)/(F68-F70),0)</f>
        <v>#DIV/0!</v>
      </c>
      <c r="D68" s="1186" t="s">
        <v>1469</v>
      </c>
      <c r="E68" s="1171" t="s">
        <v>1470</v>
      </c>
      <c r="F68" s="357">
        <f ca="1">F40</f>
        <v>0</v>
      </c>
      <c r="O68" s="1896" t="s">
        <v>1043</v>
      </c>
      <c r="P68" s="1936" t="s">
        <v>1583</v>
      </c>
      <c r="Q68" s="1888">
        <f ca="1">ROUND(Q69-Q70*Q71,0)</f>
        <v>0</v>
      </c>
      <c r="R68" s="1888" t="s">
        <v>1051</v>
      </c>
    </row>
    <row r="69" spans="1:18" s="1844" customFormat="1" ht="13.5" thickBot="1">
      <c r="A69" s="1172"/>
      <c r="B69" s="1173"/>
      <c r="C69" s="351"/>
      <c r="D69" s="1191" t="s">
        <v>1473</v>
      </c>
      <c r="E69" s="1171" t="s">
        <v>1474</v>
      </c>
      <c r="F69" s="379">
        <f ca="1">F41</f>
        <v>0</v>
      </c>
      <c r="O69" s="1896" t="s">
        <v>1048</v>
      </c>
      <c r="P69" s="1936" t="s">
        <v>1584</v>
      </c>
      <c r="Q69" s="1888">
        <f ca="1">C39</f>
        <v>0</v>
      </c>
      <c r="R69" s="1888" t="s">
        <v>1529</v>
      </c>
    </row>
    <row r="70" spans="1:18" s="1844" customFormat="1" ht="13.5" thickBot="1">
      <c r="A70" s="1175"/>
      <c r="B70" s="1176"/>
      <c r="C70" s="355"/>
      <c r="D70" s="1187"/>
      <c r="E70" s="1171" t="s">
        <v>1477</v>
      </c>
      <c r="F70" s="1277">
        <f ca="1">F42</f>
        <v>0</v>
      </c>
      <c r="O70" s="1896" t="s">
        <v>1049</v>
      </c>
      <c r="P70" s="1936" t="s">
        <v>1585</v>
      </c>
      <c r="Q70" s="1888">
        <f ca="1">C13</f>
        <v>0</v>
      </c>
      <c r="R70" s="1888" t="s">
        <v>1529</v>
      </c>
    </row>
    <row r="71" spans="1:18" s="1844" customFormat="1" ht="13.5" thickBot="1">
      <c r="A71" s="1192" t="s">
        <v>1033</v>
      </c>
      <c r="B71" s="1193" t="s">
        <v>1487</v>
      </c>
      <c r="C71" s="382" t="e">
        <f ca="1">ROUND(C68/F71,0)</f>
        <v>#DIV/0!</v>
      </c>
      <c r="D71" s="1194" t="s">
        <v>1488</v>
      </c>
      <c r="E71" s="1195" t="s">
        <v>1489</v>
      </c>
      <c r="F71" s="385">
        <f ca="1">F43</f>
        <v>0</v>
      </c>
      <c r="O71" s="1896" t="s">
        <v>1050</v>
      </c>
      <c r="P71" s="1936" t="s">
        <v>1586</v>
      </c>
      <c r="Q71" s="1899">
        <f ca="1">C76</f>
        <v>0</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建设期及建筑物耐用年限下的土地年期修正系数Kn</v>
      </c>
      <c r="Q74" s="1888" t="e">
        <f ca="1">L59</f>
        <v>#DIV/0!</v>
      </c>
      <c r="R74" s="1888" t="s">
        <v>1569</v>
      </c>
    </row>
    <row r="75" spans="1:18" ht="13.5" thickBot="1">
      <c r="A75" s="1844"/>
      <c r="B75" s="386" t="s">
        <v>1506</v>
      </c>
      <c r="C75" s="387">
        <f ca="1">ROUND(C13*C76,0)</f>
        <v>0</v>
      </c>
      <c r="D75" s="1844"/>
      <c r="E75" s="1844"/>
      <c r="F75" s="1844"/>
      <c r="K75" s="1870"/>
      <c r="L75" s="1844"/>
      <c r="O75" s="1886" t="s">
        <v>1046</v>
      </c>
      <c r="P75" s="1887" t="s">
        <v>1549</v>
      </c>
      <c r="Q75" s="1888" t="e">
        <f ca="1">Q65+Q66</f>
        <v>#DIV/0!</v>
      </c>
      <c r="R75" s="1888" t="s">
        <v>1047</v>
      </c>
    </row>
    <row r="76" spans="1:18">
      <c r="B76" s="388" t="s">
        <v>1507</v>
      </c>
      <c r="C76" s="389">
        <f ca="1">INDIRECT("'数据-取费表'!j"&amp;$G$1)</f>
        <v>0</v>
      </c>
      <c r="I76" s="1844"/>
      <c r="J76" s="1844"/>
      <c r="K76" s="1870"/>
      <c r="L76" s="1844"/>
    </row>
    <row r="77" spans="1:18">
      <c r="B77" s="390" t="s">
        <v>1508</v>
      </c>
      <c r="C77" s="391"/>
      <c r="I77" s="1844"/>
      <c r="J77" s="1844"/>
      <c r="K77" s="1870"/>
      <c r="L77" s="1844"/>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53" sqref="J53"/>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3" t="s">
        <v>2520</v>
      </c>
      <c r="B1" s="2564"/>
      <c r="C1" s="2564"/>
      <c r="D1" s="2564"/>
      <c r="E1" s="2565"/>
    </row>
    <row r="2" spans="1:6" ht="15.75">
      <c r="A2" s="2566" t="s">
        <v>2321</v>
      </c>
      <c r="B2" s="2567">
        <f ca="1">SUMIF(B6:B13,"&lt;&gt;#ref!",B6:B13)</f>
        <v>3151</v>
      </c>
      <c r="C2" s="2568" t="s">
        <v>2513</v>
      </c>
      <c r="D2" s="2569" t="s">
        <v>2514</v>
      </c>
      <c r="E2" s="2570">
        <f>SUM(E6:E13)</f>
        <v>1380.28</v>
      </c>
    </row>
    <row r="3" spans="1:6" ht="15.75">
      <c r="A3" s="2566" t="s">
        <v>1395</v>
      </c>
      <c r="B3" s="2567">
        <f ca="1">ROUND(B2*10000/E2,0)</f>
        <v>22829</v>
      </c>
      <c r="C3" s="2568" t="s">
        <v>2521</v>
      </c>
      <c r="D3" s="2571"/>
      <c r="E3" s="2572"/>
    </row>
    <row r="4" spans="1:6" ht="15.75">
      <c r="A4" s="2573"/>
      <c r="B4" s="2571"/>
      <c r="C4" s="2571"/>
      <c r="D4" s="2571"/>
      <c r="E4" s="2572"/>
    </row>
    <row r="5" spans="1:6" ht="15">
      <c r="A5" s="2574" t="s">
        <v>2515</v>
      </c>
      <c r="B5" s="3238" t="s">
        <v>2516</v>
      </c>
      <c r="C5" s="3238"/>
      <c r="D5" s="2575"/>
      <c r="E5" s="2576" t="s">
        <v>2517</v>
      </c>
      <c r="F5" s="2577" t="s">
        <v>2518</v>
      </c>
    </row>
    <row r="6" spans="1:6">
      <c r="A6" s="2578" t="str">
        <f>'数据-取费表'!AN6</f>
        <v>收益法</v>
      </c>
      <c r="B6" s="2577">
        <f ca="1">IF(F6="是",'数据-取费表'!AO6,0)</f>
        <v>3151</v>
      </c>
      <c r="C6" s="2568" t="s">
        <v>2513</v>
      </c>
      <c r="D6" s="2571"/>
      <c r="E6" s="2579">
        <f>IF(OR(A6=0,F6="否"),0,'数据-取费表'!K6+'数据-取费表'!S6)</f>
        <v>1380.28</v>
      </c>
      <c r="F6" s="2580" t="s">
        <v>2519</v>
      </c>
    </row>
    <row r="7" spans="1:6">
      <c r="A7" s="2578">
        <f>'数据-取费表'!AN7</f>
        <v>0</v>
      </c>
      <c r="B7" s="2577" t="e">
        <f ca="1">IF(F7="是",'数据-取费表'!AO7,0)</f>
        <v>#REF!</v>
      </c>
      <c r="C7" s="2568" t="s">
        <v>2513</v>
      </c>
      <c r="D7" s="2571"/>
      <c r="E7" s="2579">
        <f>IF(OR(A7=0,F7="否"),0,'数据-取费表'!K7+'数据-取费表'!S7)</f>
        <v>0</v>
      </c>
      <c r="F7" s="2580" t="s">
        <v>2519</v>
      </c>
    </row>
    <row r="8" spans="1:6">
      <c r="A8" s="2578">
        <f>'数据-取费表'!AN8</f>
        <v>0</v>
      </c>
      <c r="B8" s="2577" t="e">
        <f ca="1">IF(F8="是",'数据-取费表'!AO8,0)</f>
        <v>#REF!</v>
      </c>
      <c r="C8" s="2568" t="s">
        <v>2513</v>
      </c>
      <c r="D8" s="2571"/>
      <c r="E8" s="2579">
        <f>IF(OR(A8=0,F8="否"),0,'数据-取费表'!K8+'数据-取费表'!S8)</f>
        <v>0</v>
      </c>
      <c r="F8" s="2580" t="s">
        <v>2519</v>
      </c>
    </row>
    <row r="9" spans="1:6">
      <c r="A9" s="2578">
        <f>'数据-取费表'!AN9</f>
        <v>0</v>
      </c>
      <c r="B9" s="2577" t="e">
        <f ca="1">IF(F9="是",'数据-取费表'!AO9,0)</f>
        <v>#REF!</v>
      </c>
      <c r="C9" s="2568" t="s">
        <v>2513</v>
      </c>
      <c r="D9" s="2571"/>
      <c r="E9" s="2579">
        <f>IF(OR(A9=0,F9="否"),0,'数据-取费表'!K9+'数据-取费表'!S9)</f>
        <v>0</v>
      </c>
      <c r="F9" s="2580" t="s">
        <v>2519</v>
      </c>
    </row>
    <row r="10" spans="1:6">
      <c r="A10" s="2578">
        <f>'数据-取费表'!AN10</f>
        <v>0</v>
      </c>
      <c r="B10" s="2577" t="e">
        <f ca="1">IF(F10="是",'数据-取费表'!AO10,0)</f>
        <v>#REF!</v>
      </c>
      <c r="C10" s="2568" t="s">
        <v>2513</v>
      </c>
      <c r="D10" s="2571"/>
      <c r="E10" s="2579">
        <f>IF(OR(A10=0,F10="否"),0,'数据-取费表'!K10+'数据-取费表'!S10)</f>
        <v>0</v>
      </c>
      <c r="F10" s="2580" t="s">
        <v>2519</v>
      </c>
    </row>
    <row r="11" spans="1:6">
      <c r="A11" s="2578">
        <f>'数据-取费表'!AN11</f>
        <v>0</v>
      </c>
      <c r="B11" s="2577" t="e">
        <f ca="1">IF(F11="是",'数据-取费表'!AO11,0)</f>
        <v>#REF!</v>
      </c>
      <c r="C11" s="2568" t="s">
        <v>2513</v>
      </c>
      <c r="D11" s="2571"/>
      <c r="E11" s="2579">
        <f>IF(OR(A11=0,F11="否"),0,'数据-取费表'!K11+'数据-取费表'!S11)</f>
        <v>0</v>
      </c>
      <c r="F11" s="2580" t="s">
        <v>2519</v>
      </c>
    </row>
    <row r="12" spans="1:6">
      <c r="A12" s="2578">
        <f>'数据-取费表'!AN12</f>
        <v>0</v>
      </c>
      <c r="B12" s="2577" t="e">
        <f ca="1">IF(F12="是",'数据-取费表'!AO12,0)</f>
        <v>#REF!</v>
      </c>
      <c r="C12" s="2568" t="s">
        <v>2513</v>
      </c>
      <c r="D12" s="2571"/>
      <c r="E12" s="2579">
        <f>IF(OR(A12=0,F12="否"),0,'数据-取费表'!K12+'数据-取费表'!S12)</f>
        <v>0</v>
      </c>
      <c r="F12" s="2580" t="s">
        <v>2519</v>
      </c>
    </row>
    <row r="13" spans="1:6" ht="15" thickBot="1">
      <c r="A13" s="2581">
        <f>'数据-取费表'!AN13</f>
        <v>0</v>
      </c>
      <c r="B13" s="2577" t="e">
        <f ca="1">IF(F13="是",'数据-取费表'!AO13,0)</f>
        <v>#REF!</v>
      </c>
      <c r="C13" s="2582" t="s">
        <v>2513</v>
      </c>
      <c r="D13" s="2583"/>
      <c r="E13" s="2579">
        <f>IF(OR(A13=0,F13="否"),0,'数据-取费表'!K13+'数据-取费表'!S13)</f>
        <v>0</v>
      </c>
      <c r="F13" s="2580" t="s">
        <v>2519</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239" t="s">
        <v>1076</v>
      </c>
      <c r="B1" s="3240"/>
      <c r="C1" s="3241"/>
      <c r="D1" s="3242">
        <f>SUM(I10,I15,I20,I21,I23)</f>
        <v>0</v>
      </c>
      <c r="E1" s="3242"/>
      <c r="F1" s="3242"/>
      <c r="G1" s="3242"/>
      <c r="H1" s="3242"/>
      <c r="I1" s="3243"/>
    </row>
    <row r="2" spans="1:9">
      <c r="A2" s="3244" t="s">
        <v>1077</v>
      </c>
      <c r="B2" s="3245" t="s">
        <v>1078</v>
      </c>
      <c r="C2" s="3245"/>
      <c r="D2" s="1303" t="s">
        <v>1079</v>
      </c>
      <c r="E2" s="1303" t="s">
        <v>1080</v>
      </c>
      <c r="F2" s="1303" t="s">
        <v>1081</v>
      </c>
      <c r="G2" s="1303" t="s">
        <v>1082</v>
      </c>
      <c r="H2" s="1303" t="s">
        <v>1083</v>
      </c>
      <c r="I2" s="1304" t="s">
        <v>1084</v>
      </c>
    </row>
    <row r="3" spans="1:9">
      <c r="A3" s="3244"/>
      <c r="B3" s="3245" t="s">
        <v>1085</v>
      </c>
      <c r="C3" s="3245"/>
      <c r="D3" s="1305"/>
      <c r="E3" s="1303"/>
      <c r="F3" s="1306"/>
      <c r="G3" s="1306"/>
      <c r="H3" s="1307"/>
      <c r="I3" s="1308">
        <f>ROUND(D3*E3*F3*G3*H3/10000,0)</f>
        <v>0</v>
      </c>
    </row>
    <row r="4" spans="1:9">
      <c r="A4" s="3244"/>
      <c r="B4" s="3245" t="s">
        <v>1086</v>
      </c>
      <c r="C4" s="3245"/>
      <c r="D4" s="1305"/>
      <c r="E4" s="1303"/>
      <c r="F4" s="1306"/>
      <c r="G4" s="1306"/>
      <c r="H4" s="1307"/>
      <c r="I4" s="1308">
        <f t="shared" ref="I4:I9" si="0">ROUND(D4*E4*F4*G4*H4/10000,0)</f>
        <v>0</v>
      </c>
    </row>
    <row r="5" spans="1:9">
      <c r="A5" s="3244"/>
      <c r="B5" s="3245" t="s">
        <v>1087</v>
      </c>
      <c r="C5" s="3245"/>
      <c r="D5" s="1305"/>
      <c r="E5" s="1303"/>
      <c r="F5" s="1306"/>
      <c r="G5" s="1306"/>
      <c r="H5" s="1307"/>
      <c r="I5" s="1308">
        <f t="shared" si="0"/>
        <v>0</v>
      </c>
    </row>
    <row r="6" spans="1:9">
      <c r="A6" s="3244"/>
      <c r="B6" s="3245" t="s">
        <v>1088</v>
      </c>
      <c r="C6" s="3245"/>
      <c r="D6" s="1305"/>
      <c r="E6" s="1303"/>
      <c r="F6" s="1306"/>
      <c r="G6" s="1306"/>
      <c r="H6" s="1307"/>
      <c r="I6" s="1308">
        <f t="shared" si="0"/>
        <v>0</v>
      </c>
    </row>
    <row r="7" spans="1:9">
      <c r="A7" s="3244"/>
      <c r="B7" s="3245" t="s">
        <v>1089</v>
      </c>
      <c r="C7" s="3245"/>
      <c r="D7" s="1305"/>
      <c r="E7" s="1303"/>
      <c r="F7" s="1306"/>
      <c r="G7" s="1306"/>
      <c r="H7" s="1307"/>
      <c r="I7" s="1308">
        <f t="shared" si="0"/>
        <v>0</v>
      </c>
    </row>
    <row r="8" spans="1:9">
      <c r="A8" s="3244"/>
      <c r="B8" s="3245" t="s">
        <v>1090</v>
      </c>
      <c r="C8" s="3245"/>
      <c r="D8" s="1305"/>
      <c r="E8" s="1303"/>
      <c r="F8" s="1306"/>
      <c r="G8" s="1306"/>
      <c r="H8" s="1307"/>
      <c r="I8" s="1308">
        <f t="shared" si="0"/>
        <v>0</v>
      </c>
    </row>
    <row r="9" spans="1:9">
      <c r="A9" s="3244"/>
      <c r="B9" s="3245" t="s">
        <v>1091</v>
      </c>
      <c r="C9" s="3245"/>
      <c r="D9" s="1305"/>
      <c r="E9" s="1303"/>
      <c r="F9" s="1306"/>
      <c r="G9" s="1306"/>
      <c r="H9" s="1307"/>
      <c r="I9" s="1308">
        <f t="shared" si="0"/>
        <v>0</v>
      </c>
    </row>
    <row r="10" spans="1:9">
      <c r="A10" s="3244"/>
      <c r="B10" s="3246" t="s">
        <v>1092</v>
      </c>
      <c r="C10" s="3246"/>
      <c r="D10" s="1309"/>
      <c r="E10" s="1309" t="e">
        <f>ROUND(D1*10000/D10/H9,0)</f>
        <v>#DIV/0!</v>
      </c>
      <c r="F10" s="1310"/>
      <c r="G10" s="1310"/>
      <c r="H10" s="1311"/>
      <c r="I10" s="1312">
        <f>SUM(I3:I9)</f>
        <v>0</v>
      </c>
    </row>
    <row r="11" spans="1:9" ht="14.25">
      <c r="A11" s="3244" t="s">
        <v>1093</v>
      </c>
      <c r="B11" s="3245" t="s">
        <v>1094</v>
      </c>
      <c r="C11" s="3245"/>
      <c r="D11" s="1305" t="s">
        <v>1095</v>
      </c>
      <c r="E11" s="1305" t="s">
        <v>1096</v>
      </c>
      <c r="F11" s="1306" t="s">
        <v>1097</v>
      </c>
      <c r="G11" s="1306" t="s">
        <v>1083</v>
      </c>
      <c r="H11" s="1313" t="s">
        <v>1098</v>
      </c>
      <c r="I11" s="1304" t="s">
        <v>1084</v>
      </c>
    </row>
    <row r="12" spans="1:9">
      <c r="A12" s="3244"/>
      <c r="B12" s="3245" t="s">
        <v>1099</v>
      </c>
      <c r="C12" s="3245"/>
      <c r="D12" s="1305"/>
      <c r="E12" s="1305"/>
      <c r="F12" s="1306"/>
      <c r="G12" s="1307"/>
      <c r="H12" s="1314"/>
      <c r="I12" s="1304">
        <f>ROUND(D12*E12*F12*G12/10000,0)</f>
        <v>0</v>
      </c>
    </row>
    <row r="13" spans="1:9">
      <c r="A13" s="3244"/>
      <c r="B13" s="3245" t="s">
        <v>1100</v>
      </c>
      <c r="C13" s="3245"/>
      <c r="D13" s="1305"/>
      <c r="E13" s="1305"/>
      <c r="F13" s="1306"/>
      <c r="G13" s="1307"/>
      <c r="H13" s="1314"/>
      <c r="I13" s="1304">
        <f>ROUND(D13*E13*F13*G13/10000,0)</f>
        <v>0</v>
      </c>
    </row>
    <row r="14" spans="1:9">
      <c r="A14" s="3244"/>
      <c r="B14" s="3245" t="s">
        <v>1101</v>
      </c>
      <c r="C14" s="3245"/>
      <c r="D14" s="1305"/>
      <c r="E14" s="1305"/>
      <c r="F14" s="1306"/>
      <c r="G14" s="1307"/>
      <c r="H14" s="1314"/>
      <c r="I14" s="1304">
        <f>ROUND(D14*E14*F14*G14/10000,0)</f>
        <v>0</v>
      </c>
    </row>
    <row r="15" spans="1:9">
      <c r="A15" s="3244"/>
      <c r="B15" s="3246" t="s">
        <v>1092</v>
      </c>
      <c r="C15" s="3246"/>
      <c r="D15" s="1309"/>
      <c r="E15" s="1309">
        <f>SUM(E12:E14)</f>
        <v>0</v>
      </c>
      <c r="F15" s="1310"/>
      <c r="G15" s="1307"/>
      <c r="H15" s="1314"/>
      <c r="I15" s="1315">
        <f>SUM(I12:I14)</f>
        <v>0</v>
      </c>
    </row>
    <row r="16" spans="1:9" ht="24">
      <c r="A16" s="3244" t="s">
        <v>1102</v>
      </c>
      <c r="B16" s="3245" t="s">
        <v>1103</v>
      </c>
      <c r="C16" s="3245"/>
      <c r="D16" s="1305" t="s">
        <v>1079</v>
      </c>
      <c r="E16" s="1316" t="s">
        <v>1104</v>
      </c>
      <c r="F16" s="1306" t="s">
        <v>1105</v>
      </c>
      <c r="G16" s="1307" t="s">
        <v>1083</v>
      </c>
      <c r="H16" s="1313" t="s">
        <v>1098</v>
      </c>
      <c r="I16" s="1304" t="s">
        <v>1084</v>
      </c>
    </row>
    <row r="17" spans="1:9" ht="14.25">
      <c r="A17" s="3244"/>
      <c r="B17" s="3245" t="s">
        <v>1106</v>
      </c>
      <c r="C17" s="3245"/>
      <c r="D17" s="1305"/>
      <c r="E17" s="1305"/>
      <c r="F17" s="1306"/>
      <c r="G17" s="1307"/>
      <c r="H17" s="1317"/>
      <c r="I17" s="1318">
        <f>ROUND(D17*E17*F17*G17/10000,0)</f>
        <v>0</v>
      </c>
    </row>
    <row r="18" spans="1:9" ht="14.25">
      <c r="A18" s="3244"/>
      <c r="B18" s="3245" t="s">
        <v>1107</v>
      </c>
      <c r="C18" s="3245"/>
      <c r="D18" s="1305"/>
      <c r="E18" s="1305"/>
      <c r="F18" s="1306"/>
      <c r="G18" s="1307"/>
      <c r="H18" s="1317"/>
      <c r="I18" s="1318">
        <f>ROUND(D18*E18*F18*G18/10000,0)</f>
        <v>0</v>
      </c>
    </row>
    <row r="19" spans="1:9" ht="14.25">
      <c r="A19" s="3244"/>
      <c r="B19" s="3245" t="s">
        <v>1108</v>
      </c>
      <c r="C19" s="3245"/>
      <c r="D19" s="1305"/>
      <c r="E19" s="1305"/>
      <c r="F19" s="1306"/>
      <c r="G19" s="1307"/>
      <c r="H19" s="1317"/>
      <c r="I19" s="1318">
        <f>ROUND(D19*E19*F19*G19/10000,0)</f>
        <v>0</v>
      </c>
    </row>
    <row r="20" spans="1:9">
      <c r="A20" s="3244"/>
      <c r="B20" s="3246" t="s">
        <v>1092</v>
      </c>
      <c r="C20" s="3246"/>
      <c r="D20" s="1309">
        <f>SUM(D17:D19)</f>
        <v>0</v>
      </c>
      <c r="E20" s="1309"/>
      <c r="F20" s="1310"/>
      <c r="G20" s="1307"/>
      <c r="H20" s="1314"/>
      <c r="I20" s="1315">
        <f>SUM(I17:I19)</f>
        <v>0</v>
      </c>
    </row>
    <row r="21" spans="1:9">
      <c r="A21" s="3244" t="s">
        <v>1109</v>
      </c>
      <c r="B21" s="3248"/>
      <c r="C21" s="3248"/>
      <c r="D21" s="3248"/>
      <c r="E21" s="3248"/>
      <c r="F21" s="3248"/>
      <c r="G21" s="3248"/>
      <c r="H21" s="1767">
        <v>0.1</v>
      </c>
      <c r="I21" s="1312">
        <f>ROUND(I10*H21,0)</f>
        <v>0</v>
      </c>
    </row>
    <row r="22" spans="1:9" ht="14.25">
      <c r="A22" s="3249" t="s">
        <v>1110</v>
      </c>
      <c r="B22" s="3250"/>
      <c r="C22" s="3251"/>
      <c r="D22" s="1319" t="s">
        <v>1111</v>
      </c>
      <c r="E22" s="1319" t="s">
        <v>1112</v>
      </c>
      <c r="F22" s="1320" t="s">
        <v>1113</v>
      </c>
      <c r="G22" s="1320" t="s">
        <v>1114</v>
      </c>
      <c r="H22" s="1313" t="s">
        <v>1115</v>
      </c>
      <c r="I22" s="1304" t="s">
        <v>1116</v>
      </c>
    </row>
    <row r="23" spans="1:9" ht="14.25" thickBot="1">
      <c r="A23" s="3252"/>
      <c r="B23" s="3253"/>
      <c r="C23" s="3254"/>
      <c r="D23" s="1321"/>
      <c r="E23" s="1321"/>
      <c r="F23" s="1321"/>
      <c r="G23" s="1322"/>
      <c r="H23" s="1323"/>
      <c r="I23" s="1324">
        <f>ROUND(E23*D23*F23*(1-G23)/10000,0)</f>
        <v>0</v>
      </c>
    </row>
    <row r="26" spans="1:9">
      <c r="A26" s="1325" t="s">
        <v>1117</v>
      </c>
      <c r="B26" s="1325"/>
      <c r="C26" s="1325"/>
      <c r="D26" s="1325"/>
      <c r="E26" s="3255">
        <f>C27-C30-C31-C32</f>
        <v>0</v>
      </c>
      <c r="F26" s="3255"/>
      <c r="G26" s="3255"/>
      <c r="H26" s="1739" t="s">
        <v>1340</v>
      </c>
    </row>
    <row r="27" spans="1:9">
      <c r="A27" s="1326">
        <v>1</v>
      </c>
      <c r="B27" s="1327" t="s">
        <v>1118</v>
      </c>
      <c r="C27" s="1327">
        <f>C28+C29</f>
        <v>0</v>
      </c>
      <c r="D27" s="1327"/>
      <c r="E27" s="3256"/>
      <c r="F27" s="3256"/>
      <c r="G27" s="3256"/>
    </row>
    <row r="28" spans="1:9">
      <c r="A28" s="1328" t="s">
        <v>1119</v>
      </c>
      <c r="B28" s="1327" t="s">
        <v>1120</v>
      </c>
      <c r="C28" s="1327"/>
      <c r="D28" s="1327"/>
      <c r="E28" s="3256"/>
      <c r="F28" s="3256"/>
      <c r="G28" s="3256"/>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247"/>
      <c r="F32" s="3247"/>
      <c r="G32" s="3247"/>
    </row>
    <row r="33" spans="1:7" hidden="1">
      <c r="A33" s="3257" t="s">
        <v>1129</v>
      </c>
      <c r="B33" s="3258"/>
      <c r="C33" s="3258"/>
      <c r="D33" s="3259"/>
      <c r="E33" s="3255"/>
      <c r="F33" s="3255"/>
      <c r="G33" s="3255"/>
    </row>
    <row r="34" spans="1:7" hidden="1">
      <c r="A34" s="1330">
        <v>1</v>
      </c>
      <c r="B34" s="1327" t="s">
        <v>1130</v>
      </c>
      <c r="C34" s="1327"/>
      <c r="D34" s="1327"/>
      <c r="E34" s="3256"/>
      <c r="F34" s="3256"/>
      <c r="G34" s="3256"/>
    </row>
    <row r="35" spans="1:7" hidden="1">
      <c r="A35" s="1330">
        <v>2</v>
      </c>
      <c r="B35" s="1327" t="s">
        <v>1131</v>
      </c>
      <c r="C35" s="1327"/>
      <c r="D35" s="1327"/>
      <c r="E35" s="3256"/>
      <c r="F35" s="3256"/>
      <c r="G35" s="3256"/>
    </row>
    <row r="36" spans="1:7" hidden="1">
      <c r="A36" s="1330">
        <v>3</v>
      </c>
      <c r="B36" s="1327" t="s">
        <v>1132</v>
      </c>
      <c r="C36" s="1327"/>
      <c r="D36" s="1327"/>
      <c r="E36" s="3256"/>
      <c r="F36" s="3256"/>
      <c r="G36" s="3256"/>
    </row>
    <row r="37" spans="1:7" hidden="1">
      <c r="A37" s="1330">
        <v>4</v>
      </c>
      <c r="B37" s="1327" t="s">
        <v>1133</v>
      </c>
      <c r="C37" s="1327"/>
      <c r="D37" s="1327"/>
      <c r="E37" s="3256"/>
      <c r="F37" s="3256"/>
      <c r="G37" s="3256"/>
    </row>
    <row r="38" spans="1:7" hidden="1">
      <c r="A38" s="3257" t="s">
        <v>1134</v>
      </c>
      <c r="B38" s="3258"/>
      <c r="C38" s="3258"/>
      <c r="D38" s="3259"/>
      <c r="E38" s="3255"/>
      <c r="F38" s="3255"/>
      <c r="G38" s="325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2522</v>
      </c>
      <c r="B1" s="2584" t="s">
        <v>2523</v>
      </c>
      <c r="C1" s="1636" t="s">
        <v>2524</v>
      </c>
      <c r="D1" s="1623"/>
      <c r="E1" s="2585"/>
      <c r="F1" s="2586" t="s">
        <v>2525</v>
      </c>
      <c r="G1" s="1633" t="s">
        <v>2526</v>
      </c>
      <c r="H1" s="1632"/>
      <c r="I1" s="1632"/>
      <c r="J1" s="1632"/>
      <c r="K1" s="1634"/>
      <c r="L1" s="1635"/>
      <c r="M1" s="1636"/>
      <c r="N1" s="1636"/>
      <c r="O1" s="1636"/>
      <c r="P1" s="2587"/>
      <c r="Q1" s="1622"/>
      <c r="R1" s="1622"/>
      <c r="S1" s="1622"/>
      <c r="T1" s="1622"/>
      <c r="U1" s="1622"/>
      <c r="V1" s="1622"/>
      <c r="W1" s="1622"/>
      <c r="X1" s="1622"/>
      <c r="Y1" s="1622"/>
      <c r="Z1" s="1622"/>
      <c r="AA1" s="1622"/>
      <c r="AB1" s="1622"/>
      <c r="AC1" s="1630"/>
    </row>
    <row r="2" spans="1:29" s="393" customFormat="1" ht="28.5" customHeight="1" thickTop="1">
      <c r="A2" s="1619" t="s">
        <v>1394</v>
      </c>
      <c r="B2" s="1420" t="e">
        <f ca="1">IF(C2="——",ROUND(C49*D3/10000,0),ROUND(C49*D3/10000,0)-D2)</f>
        <v>#DIV/0!</v>
      </c>
      <c r="C2" s="2588"/>
      <c r="D2" s="1367" t="e">
        <f ca="1">SUMIF(INDIRECT("'"&amp;F2&amp;"'"&amp;"!A:A"),"承租人权益价值",INDIRECT("'"&amp;F2&amp;"'"&amp;"!c:c"))</f>
        <v>#REF!</v>
      </c>
      <c r="E2" s="2589" t="s">
        <v>2527</v>
      </c>
      <c r="F2" s="2590"/>
      <c r="G2" s="1126"/>
      <c r="H2" s="1126"/>
      <c r="I2" s="1126"/>
      <c r="J2" s="1126"/>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2528</v>
      </c>
      <c r="D3" s="399">
        <f>IF(D1="",'数据-汇总表'!E3,SUMIF('数据-汇总表'!$C19:$C33,D1,'数据-汇总表'!$E19:$E33))</f>
        <v>1380.28</v>
      </c>
      <c r="E3" s="1126"/>
      <c r="F3" s="2597"/>
      <c r="G3" s="1126"/>
      <c r="H3" s="1126"/>
      <c r="I3" s="1126"/>
      <c r="J3" s="1126"/>
      <c r="K3" s="2591"/>
      <c r="L3" s="2592"/>
      <c r="M3" s="2593"/>
      <c r="N3" s="2593"/>
      <c r="O3" s="2593"/>
      <c r="P3" s="2594"/>
      <c r="Q3" s="2595"/>
      <c r="R3" s="2595"/>
      <c r="S3" s="2595"/>
      <c r="T3" s="2595"/>
      <c r="U3" s="2595"/>
      <c r="V3" s="2595"/>
      <c r="W3" s="2595"/>
      <c r="X3" s="2595"/>
      <c r="Y3" s="2595"/>
      <c r="Z3" s="2595"/>
      <c r="AA3" s="2595"/>
      <c r="AB3" s="2595"/>
      <c r="AC3" s="1284"/>
    </row>
    <row r="4" spans="1:29" ht="15">
      <c r="A4" s="401" t="s">
        <v>2529</v>
      </c>
      <c r="B4" s="402"/>
      <c r="C4" s="3202" t="s">
        <v>2530</v>
      </c>
      <c r="D4" s="3203"/>
      <c r="E4" s="3204" t="s">
        <v>2531</v>
      </c>
      <c r="F4" s="3205"/>
      <c r="G4" s="3202" t="s">
        <v>2532</v>
      </c>
      <c r="H4" s="3203"/>
      <c r="I4" s="3202" t="s">
        <v>2533</v>
      </c>
      <c r="J4" s="3203"/>
      <c r="K4" s="2598" t="s">
        <v>2534</v>
      </c>
      <c r="L4" s="1132"/>
      <c r="M4" s="1133"/>
      <c r="N4" s="1133"/>
      <c r="O4" s="1133"/>
      <c r="P4" s="3206" t="s">
        <v>2535</v>
      </c>
      <c r="Q4" s="3207"/>
      <c r="R4" s="3186" t="s">
        <v>2531</v>
      </c>
      <c r="S4" s="3187"/>
      <c r="T4" s="3186" t="s">
        <v>2532</v>
      </c>
      <c r="U4" s="3187"/>
      <c r="V4" s="3183" t="s">
        <v>2533</v>
      </c>
      <c r="W4" s="3183"/>
      <c r="X4" s="1815"/>
      <c r="Y4" s="3186" t="s">
        <v>2535</v>
      </c>
      <c r="Z4" s="3187"/>
      <c r="AA4" s="3180" t="s">
        <v>2531</v>
      </c>
      <c r="AB4" s="3180" t="s">
        <v>2532</v>
      </c>
      <c r="AC4" s="3180" t="s">
        <v>2533</v>
      </c>
    </row>
    <row r="5" spans="1:29" ht="15">
      <c r="A5" s="404"/>
      <c r="B5" s="405"/>
      <c r="C5" s="3192" t="s">
        <v>2536</v>
      </c>
      <c r="D5" s="3193"/>
      <c r="E5" s="3260" t="s">
        <v>2537</v>
      </c>
      <c r="F5" s="3191"/>
      <c r="G5" s="3192" t="s">
        <v>2538</v>
      </c>
      <c r="H5" s="3193"/>
      <c r="I5" s="3192" t="s">
        <v>2539</v>
      </c>
      <c r="J5" s="3193"/>
      <c r="K5" s="2599"/>
      <c r="L5" s="1132"/>
      <c r="M5" s="1133"/>
      <c r="N5" s="1133"/>
      <c r="O5" s="1133"/>
      <c r="P5" s="3208"/>
      <c r="Q5" s="3209"/>
      <c r="R5" s="3188"/>
      <c r="S5" s="3189"/>
      <c r="T5" s="3188"/>
      <c r="U5" s="3189"/>
      <c r="V5" s="3183"/>
      <c r="W5" s="3183"/>
      <c r="X5" s="1815"/>
      <c r="Y5" s="3188"/>
      <c r="Z5" s="3189"/>
      <c r="AA5" s="3181"/>
      <c r="AB5" s="3181"/>
      <c r="AC5" s="3181"/>
    </row>
    <row r="6" spans="1:29" ht="15.75" thickBot="1">
      <c r="A6" s="406"/>
      <c r="B6" s="407"/>
      <c r="C6" s="3194" t="s">
        <v>2540</v>
      </c>
      <c r="D6" s="3195"/>
      <c r="E6" s="3197" t="s">
        <v>2540</v>
      </c>
      <c r="F6" s="3198"/>
      <c r="G6" s="3194" t="s">
        <v>2540</v>
      </c>
      <c r="H6" s="3195"/>
      <c r="I6" s="3194" t="s">
        <v>2540</v>
      </c>
      <c r="J6" s="3195"/>
      <c r="K6" s="2599" t="s">
        <v>2541</v>
      </c>
      <c r="L6" s="1132"/>
      <c r="M6" s="1133"/>
      <c r="N6" s="1133"/>
      <c r="O6" s="1133"/>
      <c r="P6" s="3210"/>
      <c r="Q6" s="3211"/>
      <c r="R6" s="3188"/>
      <c r="S6" s="3189"/>
      <c r="T6" s="3212"/>
      <c r="U6" s="3213"/>
      <c r="V6" s="3183"/>
      <c r="W6" s="3183"/>
      <c r="X6" s="1815"/>
      <c r="Y6" s="3212"/>
      <c r="Z6" s="3213"/>
      <c r="AA6" s="3182"/>
      <c r="AB6" s="3182"/>
      <c r="AC6" s="3182"/>
    </row>
    <row r="7" spans="1:29" s="117" customFormat="1" ht="15.75" thickBot="1">
      <c r="A7" s="408" t="s">
        <v>2542</v>
      </c>
      <c r="B7" s="409"/>
      <c r="C7" s="410">
        <f>'数据-取费表'!B2</f>
        <v>43321</v>
      </c>
      <c r="D7" s="411">
        <v>100</v>
      </c>
      <c r="E7" s="412"/>
      <c r="F7" s="413">
        <f>SUMIF(58:58,YEAR(E7)&amp;"-"&amp;MONTH(E7),59:59)</f>
        <v>0</v>
      </c>
      <c r="G7" s="412"/>
      <c r="H7" s="411">
        <f>SUMIF(58:58,YEAR(G7)&amp;"-"&amp;MONTH(G7),59:59)</f>
        <v>0</v>
      </c>
      <c r="I7" s="412"/>
      <c r="J7" s="411">
        <f>SUMIF(58:58,YEAR(I7)&amp;"-"&amp;MONTH(I7),59:59)</f>
        <v>0</v>
      </c>
      <c r="K7" s="2600"/>
      <c r="L7" s="1134"/>
      <c r="M7" s="1135"/>
      <c r="N7" s="1135"/>
      <c r="O7" s="1135"/>
      <c r="P7" s="3184" t="s">
        <v>2543</v>
      </c>
      <c r="Q7" s="3214"/>
      <c r="R7" s="769" t="s">
        <v>23</v>
      </c>
      <c r="S7" s="770">
        <f t="shared" ref="S7:S15" si="0">F7</f>
        <v>0</v>
      </c>
      <c r="T7" s="769" t="s">
        <v>23</v>
      </c>
      <c r="U7" s="770">
        <f t="shared" ref="U7:U15" si="1">H7</f>
        <v>0</v>
      </c>
      <c r="V7" s="769" t="s">
        <v>23</v>
      </c>
      <c r="W7" s="770">
        <f t="shared" ref="W7:W15" si="2">J7</f>
        <v>0</v>
      </c>
      <c r="X7" s="771"/>
      <c r="Y7" s="3184" t="s">
        <v>2543</v>
      </c>
      <c r="Z7" s="3185"/>
      <c r="AA7" s="772" t="e">
        <f>D7/F7</f>
        <v>#DIV/0!</v>
      </c>
      <c r="AB7" s="772" t="e">
        <f>D7/H7</f>
        <v>#DIV/0!</v>
      </c>
      <c r="AC7" s="772" t="e">
        <f>D7/J7</f>
        <v>#DIV/0!</v>
      </c>
    </row>
    <row r="8" spans="1:29" s="117" customFormat="1" ht="15.75" thickBot="1">
      <c r="A8" s="408" t="s">
        <v>2544</v>
      </c>
      <c r="B8" s="409"/>
      <c r="C8" s="414" t="s">
        <v>2545</v>
      </c>
      <c r="D8" s="411">
        <v>100</v>
      </c>
      <c r="E8" s="2601"/>
      <c r="F8" s="413">
        <f>SUMIF(61:61,E8,62:62)-SUMIF(61:61,C8,62:62)+100</f>
        <v>0</v>
      </c>
      <c r="G8" s="414"/>
      <c r="H8" s="411">
        <f>SUMIF(61:61,G8,62:62)-SUMIF(61:61,C8,62:62)+100</f>
        <v>0</v>
      </c>
      <c r="I8" s="2601"/>
      <c r="J8" s="411">
        <f>SUMIF(61:61,I8,62:62)-SUMIF(61:61,C8,62:62)+100</f>
        <v>0</v>
      </c>
      <c r="K8" s="2600"/>
      <c r="L8" s="1134"/>
      <c r="M8" s="1135"/>
      <c r="N8" s="1135"/>
      <c r="O8" s="1135"/>
      <c r="P8" s="3184" t="s">
        <v>2546</v>
      </c>
      <c r="Q8" s="3185"/>
      <c r="R8" s="769" t="s">
        <v>23</v>
      </c>
      <c r="S8" s="770">
        <f t="shared" si="0"/>
        <v>0</v>
      </c>
      <c r="T8" s="769" t="s">
        <v>23</v>
      </c>
      <c r="U8" s="770">
        <f t="shared" si="1"/>
        <v>0</v>
      </c>
      <c r="V8" s="769" t="s">
        <v>23</v>
      </c>
      <c r="W8" s="770">
        <f t="shared" si="2"/>
        <v>0</v>
      </c>
      <c r="X8" s="771"/>
      <c r="Y8" s="3184" t="s">
        <v>2546</v>
      </c>
      <c r="Z8" s="3185"/>
      <c r="AA8" s="772" t="e">
        <f t="shared" ref="AA8:AA19" si="3">D8/F8</f>
        <v>#DIV/0!</v>
      </c>
      <c r="AB8" s="772" t="e">
        <f t="shared" ref="AB8:AB19" si="4">D8/H8</f>
        <v>#DIV/0!</v>
      </c>
      <c r="AC8" s="772" t="e">
        <f t="shared" ref="AC8:AC19" si="5">D8/J8</f>
        <v>#DIV/0!</v>
      </c>
    </row>
    <row r="9" spans="1:29" s="117" customFormat="1">
      <c r="A9" s="415" t="s">
        <v>2547</v>
      </c>
      <c r="B9" s="71" t="s">
        <v>2548</v>
      </c>
      <c r="C9" s="416"/>
      <c r="D9" s="135">
        <v>100</v>
      </c>
      <c r="E9" s="417"/>
      <c r="F9" s="418">
        <f>SUMIF(63:63,E9,64:64)-SUMIF(63:63,C9,64:64)+100</f>
        <v>100</v>
      </c>
      <c r="G9" s="419"/>
      <c r="H9" s="135">
        <f>SUMIF(63:63,G9,64:64)-SUMIF(63:63,C9,64:64)+100</f>
        <v>100</v>
      </c>
      <c r="I9" s="419"/>
      <c r="J9" s="135">
        <f>SUMIF(63:63,I9,64:64)-SUMIF(63:63,C9,64:64)+100</f>
        <v>100</v>
      </c>
      <c r="K9" s="2600"/>
      <c r="L9" s="1134"/>
      <c r="M9" s="1135"/>
      <c r="N9" s="1135"/>
      <c r="O9" s="1135"/>
      <c r="P9" s="3201"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772">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426"/>
      <c r="L10" s="1137"/>
      <c r="M10" s="1138"/>
      <c r="N10" s="1138"/>
      <c r="O10" s="1138"/>
      <c r="P10" s="3201"/>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0"/>
      <c r="M11" s="1133"/>
      <c r="N11" s="1133"/>
      <c r="O11" s="1133"/>
      <c r="P11" s="3201"/>
      <c r="Q11" s="1797" t="str">
        <f t="shared" si="6"/>
        <v>容积率</v>
      </c>
      <c r="R11" s="769" t="s">
        <v>21</v>
      </c>
      <c r="S11" s="770" t="e">
        <f t="shared" si="0"/>
        <v>#N/A</v>
      </c>
      <c r="T11" s="769" t="s">
        <v>21</v>
      </c>
      <c r="U11" s="770" t="e">
        <f t="shared" si="1"/>
        <v>#N/A</v>
      </c>
      <c r="V11" s="769" t="s">
        <v>21</v>
      </c>
      <c r="W11" s="770" t="e">
        <f t="shared" si="2"/>
        <v>#N/A</v>
      </c>
      <c r="X11" s="771"/>
      <c r="Y11" s="3057"/>
      <c r="Z11" s="55" t="str">
        <f t="shared" si="7"/>
        <v>容积率</v>
      </c>
      <c r="AA11" s="772" t="e">
        <f t="shared" si="3"/>
        <v>#N/A</v>
      </c>
      <c r="AB11" s="772" t="e">
        <f t="shared" si="4"/>
        <v>#N/A</v>
      </c>
      <c r="AC11" s="772"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4"/>
      <c r="M12" s="1135"/>
      <c r="N12" s="1135"/>
      <c r="O12" s="1135"/>
      <c r="P12" s="3201"/>
      <c r="Q12" s="1797">
        <f t="shared" si="6"/>
        <v>111</v>
      </c>
      <c r="R12" s="769" t="s">
        <v>21</v>
      </c>
      <c r="S12" s="770">
        <f t="shared" si="0"/>
        <v>100</v>
      </c>
      <c r="T12" s="769" t="s">
        <v>21</v>
      </c>
      <c r="U12" s="770">
        <f t="shared" si="1"/>
        <v>100</v>
      </c>
      <c r="V12" s="769" t="s">
        <v>21</v>
      </c>
      <c r="W12" s="770">
        <f t="shared" si="2"/>
        <v>100</v>
      </c>
      <c r="X12" s="771"/>
      <c r="Y12" s="3057"/>
      <c r="Z12" s="55">
        <f t="shared" si="7"/>
        <v>111</v>
      </c>
      <c r="AA12" s="772">
        <f>D12/F12</f>
        <v>1</v>
      </c>
      <c r="AB12" s="772">
        <f>D12/H12</f>
        <v>1</v>
      </c>
      <c r="AC12" s="772">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2"/>
      <c r="M13" s="1133"/>
      <c r="N13" s="1133"/>
      <c r="O13" s="1133"/>
      <c r="P13" s="3201"/>
      <c r="Q13" s="1797">
        <f t="shared" si="6"/>
        <v>111</v>
      </c>
      <c r="R13" s="769" t="s">
        <v>21</v>
      </c>
      <c r="S13" s="770">
        <f t="shared" si="0"/>
        <v>100</v>
      </c>
      <c r="T13" s="769" t="s">
        <v>21</v>
      </c>
      <c r="U13" s="770">
        <f t="shared" si="1"/>
        <v>100</v>
      </c>
      <c r="V13" s="769" t="s">
        <v>21</v>
      </c>
      <c r="W13" s="770">
        <f t="shared" si="2"/>
        <v>100</v>
      </c>
      <c r="X13" s="771"/>
      <c r="Y13" s="3057"/>
      <c r="Z13" s="55">
        <f t="shared" si="7"/>
        <v>111</v>
      </c>
      <c r="AA13" s="772">
        <f t="shared" si="3"/>
        <v>1</v>
      </c>
      <c r="AB13" s="772">
        <f t="shared" si="4"/>
        <v>1</v>
      </c>
      <c r="AC13" s="772">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2"/>
      <c r="M14" s="1133"/>
      <c r="N14" s="1133"/>
      <c r="O14" s="1133"/>
      <c r="P14" s="3201"/>
      <c r="Q14" s="1797">
        <f t="shared" si="6"/>
        <v>111</v>
      </c>
      <c r="R14" s="769" t="s">
        <v>21</v>
      </c>
      <c r="S14" s="770">
        <f t="shared" si="0"/>
        <v>100</v>
      </c>
      <c r="T14" s="769" t="s">
        <v>21</v>
      </c>
      <c r="U14" s="770">
        <f t="shared" si="1"/>
        <v>100</v>
      </c>
      <c r="V14" s="769" t="s">
        <v>21</v>
      </c>
      <c r="W14" s="770">
        <f t="shared" si="2"/>
        <v>100</v>
      </c>
      <c r="X14" s="771"/>
      <c r="Y14" s="3057"/>
      <c r="Z14" s="55">
        <f t="shared" si="7"/>
        <v>111</v>
      </c>
      <c r="AA14" s="772">
        <f t="shared" si="3"/>
        <v>1</v>
      </c>
      <c r="AB14" s="772">
        <f t="shared" si="4"/>
        <v>1</v>
      </c>
      <c r="AC14" s="772">
        <f t="shared" si="5"/>
        <v>1</v>
      </c>
    </row>
    <row r="15" spans="1:29" ht="99.75">
      <c r="A15" s="440" t="s">
        <v>2553</v>
      </c>
      <c r="B15" s="69" t="s">
        <v>2083</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2"/>
      <c r="M15" s="1133"/>
      <c r="N15" s="1133"/>
      <c r="O15" s="1133"/>
      <c r="P15" s="3215" t="s">
        <v>2554</v>
      </c>
      <c r="Q15" s="1812" t="str">
        <f t="shared" si="6"/>
        <v>居住社区成熟度</v>
      </c>
      <c r="R15" s="773" t="s">
        <v>21</v>
      </c>
      <c r="S15" s="774">
        <f t="shared" si="0"/>
        <v>100</v>
      </c>
      <c r="T15" s="773" t="s">
        <v>21</v>
      </c>
      <c r="U15" s="774">
        <f t="shared" si="1"/>
        <v>100</v>
      </c>
      <c r="V15" s="773" t="s">
        <v>21</v>
      </c>
      <c r="W15" s="774">
        <f t="shared" si="2"/>
        <v>100</v>
      </c>
      <c r="X15" s="1815"/>
      <c r="Y15" s="3217" t="s">
        <v>2554</v>
      </c>
      <c r="Z15" s="1816" t="str">
        <f t="shared" si="7"/>
        <v>居住社区成熟度</v>
      </c>
      <c r="AA15" s="1813">
        <f t="shared" si="3"/>
        <v>1</v>
      </c>
      <c r="AB15" s="1813">
        <f t="shared" si="4"/>
        <v>1</v>
      </c>
      <c r="AC15" s="1813">
        <f t="shared" si="5"/>
        <v>1</v>
      </c>
    </row>
    <row r="16" spans="1:29" ht="15">
      <c r="A16" s="428"/>
      <c r="B16" s="446"/>
      <c r="C16" s="447"/>
      <c r="D16" s="448"/>
      <c r="E16" s="2606"/>
      <c r="F16" s="448"/>
      <c r="G16" s="2607"/>
      <c r="H16" s="450"/>
      <c r="I16" s="2607"/>
      <c r="J16" s="448"/>
      <c r="K16" s="2608"/>
      <c r="L16" s="1142"/>
      <c r="M16" s="1133"/>
      <c r="N16" s="1133"/>
      <c r="O16" s="1133"/>
      <c r="P16" s="3216"/>
      <c r="Q16" s="1812"/>
      <c r="R16" s="773"/>
      <c r="S16" s="774"/>
      <c r="T16" s="773"/>
      <c r="U16" s="774"/>
      <c r="V16" s="773"/>
      <c r="W16" s="774"/>
      <c r="X16" s="1815"/>
      <c r="Y16" s="3218"/>
      <c r="Z16" s="1816"/>
      <c r="AA16" s="1813">
        <v>1</v>
      </c>
      <c r="AB16" s="1813">
        <v>1</v>
      </c>
      <c r="AC16" s="1813">
        <v>1</v>
      </c>
    </row>
    <row r="17" spans="1:29" ht="85.5">
      <c r="A17" s="428"/>
      <c r="B17" s="451" t="s">
        <v>2095</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2"/>
      <c r="M17" s="1133"/>
      <c r="N17" s="1133"/>
      <c r="O17" s="1133"/>
      <c r="P17" s="3216"/>
      <c r="Q17" s="1812" t="str">
        <f>B17</f>
        <v>交通便捷度</v>
      </c>
      <c r="R17" s="773" t="s">
        <v>21</v>
      </c>
      <c r="S17" s="774">
        <f>F17</f>
        <v>100</v>
      </c>
      <c r="T17" s="773" t="s">
        <v>21</v>
      </c>
      <c r="U17" s="774">
        <f>H17</f>
        <v>100</v>
      </c>
      <c r="V17" s="773" t="s">
        <v>21</v>
      </c>
      <c r="W17" s="774">
        <f>J17</f>
        <v>100</v>
      </c>
      <c r="X17" s="1815"/>
      <c r="Y17" s="3218"/>
      <c r="Z17" s="1816" t="str">
        <f>Q17</f>
        <v>交通便捷度</v>
      </c>
      <c r="AA17" s="1813">
        <f t="shared" si="3"/>
        <v>1</v>
      </c>
      <c r="AB17" s="1813">
        <f t="shared" si="4"/>
        <v>1</v>
      </c>
      <c r="AC17" s="1813">
        <f t="shared" si="5"/>
        <v>1</v>
      </c>
    </row>
    <row r="18" spans="1:29" ht="15">
      <c r="A18" s="428"/>
      <c r="B18" s="456"/>
      <c r="C18" s="2610"/>
      <c r="D18" s="450"/>
      <c r="E18" s="2611"/>
      <c r="F18" s="450"/>
      <c r="G18" s="2612"/>
      <c r="H18" s="448"/>
      <c r="I18" s="2612"/>
      <c r="J18" s="448"/>
      <c r="K18" s="2608"/>
      <c r="L18" s="1142"/>
      <c r="M18" s="1133"/>
      <c r="N18" s="1133"/>
      <c r="O18" s="1133"/>
      <c r="P18" s="3216"/>
      <c r="Q18" s="1812"/>
      <c r="R18" s="773"/>
      <c r="S18" s="774"/>
      <c r="T18" s="773"/>
      <c r="U18" s="774"/>
      <c r="V18" s="773"/>
      <c r="W18" s="774"/>
      <c r="X18" s="1815"/>
      <c r="Y18" s="3218"/>
      <c r="Z18" s="1816"/>
      <c r="AA18" s="1813">
        <v>1</v>
      </c>
      <c r="AB18" s="1813">
        <v>1</v>
      </c>
      <c r="AC18" s="1813">
        <v>1</v>
      </c>
    </row>
    <row r="19" spans="1:29" ht="42.75">
      <c r="A19" s="428"/>
      <c r="B19" s="451" t="s">
        <v>2093</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2"/>
      <c r="M19" s="1133"/>
      <c r="N19" s="1133"/>
      <c r="O19" s="1133"/>
      <c r="P19" s="3216"/>
      <c r="Q19" s="1812" t="str">
        <f>B19</f>
        <v>公共配套设施</v>
      </c>
      <c r="R19" s="773" t="s">
        <v>21</v>
      </c>
      <c r="S19" s="774">
        <f>F19</f>
        <v>100</v>
      </c>
      <c r="T19" s="773" t="s">
        <v>21</v>
      </c>
      <c r="U19" s="774">
        <f>H19</f>
        <v>100</v>
      </c>
      <c r="V19" s="773" t="s">
        <v>21</v>
      </c>
      <c r="W19" s="774">
        <f>J19</f>
        <v>100</v>
      </c>
      <c r="X19" s="1815"/>
      <c r="Y19" s="3218"/>
      <c r="Z19" s="1816" t="str">
        <f>Q19</f>
        <v>公共配套设施</v>
      </c>
      <c r="AA19" s="1813">
        <f t="shared" si="3"/>
        <v>1</v>
      </c>
      <c r="AB19" s="1813">
        <f t="shared" si="4"/>
        <v>1</v>
      </c>
      <c r="AC19" s="1813">
        <f t="shared" si="5"/>
        <v>1</v>
      </c>
    </row>
    <row r="20" spans="1:29" ht="15">
      <c r="A20" s="428"/>
      <c r="B20" s="456"/>
      <c r="C20" s="447"/>
      <c r="D20" s="448"/>
      <c r="E20" s="2606"/>
      <c r="F20" s="448"/>
      <c r="G20" s="2607"/>
      <c r="H20" s="448"/>
      <c r="I20" s="2607"/>
      <c r="J20" s="448"/>
      <c r="K20" s="2608"/>
      <c r="L20" s="1142"/>
      <c r="M20" s="1133"/>
      <c r="N20" s="1133"/>
      <c r="O20" s="1133"/>
      <c r="P20" s="3216"/>
      <c r="Q20" s="1812"/>
      <c r="R20" s="773"/>
      <c r="S20" s="774"/>
      <c r="T20" s="773"/>
      <c r="U20" s="774"/>
      <c r="V20" s="773"/>
      <c r="W20" s="774"/>
      <c r="X20" s="1815"/>
      <c r="Y20" s="3218"/>
      <c r="Z20" s="1816"/>
      <c r="AA20" s="1813">
        <v>1</v>
      </c>
      <c r="AB20" s="1813">
        <v>1</v>
      </c>
      <c r="AC20" s="1813">
        <v>1</v>
      </c>
    </row>
    <row r="21" spans="1:29" ht="28.5">
      <c r="A21" s="428"/>
      <c r="B21" s="1386" t="s">
        <v>2096</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2"/>
      <c r="M21" s="1133"/>
      <c r="N21" s="1133"/>
      <c r="O21" s="1133"/>
      <c r="P21" s="3216"/>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10"/>
      <c r="D22" s="448"/>
      <c r="E22" s="447"/>
      <c r="F22" s="448"/>
      <c r="G22" s="2613"/>
      <c r="H22" s="448"/>
      <c r="I22" s="447"/>
      <c r="J22" s="448"/>
      <c r="K22" s="2614"/>
      <c r="L22" s="1142"/>
      <c r="M22" s="1133"/>
      <c r="N22" s="1133"/>
      <c r="O22" s="1133"/>
      <c r="P22" s="3216"/>
      <c r="Q22" s="1812"/>
      <c r="R22" s="773"/>
      <c r="S22" s="774"/>
      <c r="T22" s="773"/>
      <c r="U22" s="774"/>
      <c r="V22" s="773"/>
      <c r="W22" s="774"/>
      <c r="X22" s="1815"/>
      <c r="Y22" s="3218"/>
      <c r="Z22" s="1816"/>
      <c r="AA22" s="1813">
        <v>1</v>
      </c>
      <c r="AB22" s="1813">
        <v>1</v>
      </c>
      <c r="AC22" s="1813">
        <v>1</v>
      </c>
    </row>
    <row r="23" spans="1:29" ht="57">
      <c r="A23" s="428"/>
      <c r="B23" s="451" t="s">
        <v>2100</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2"/>
      <c r="M23" s="1133"/>
      <c r="N23" s="1133"/>
      <c r="O23" s="1133"/>
      <c r="P23" s="3216"/>
      <c r="Q23" s="1812" t="str">
        <f>B23</f>
        <v>自然及人文环境</v>
      </c>
      <c r="R23" s="773" t="s">
        <v>21</v>
      </c>
      <c r="S23" s="774">
        <f>F23</f>
        <v>100</v>
      </c>
      <c r="T23" s="773" t="s">
        <v>21</v>
      </c>
      <c r="U23" s="774">
        <f>H23</f>
        <v>100</v>
      </c>
      <c r="V23" s="773" t="s">
        <v>21</v>
      </c>
      <c r="W23" s="774">
        <f>J23</f>
        <v>100</v>
      </c>
      <c r="X23" s="1815"/>
      <c r="Y23" s="3218"/>
      <c r="Z23" s="1816" t="str">
        <f>Q23</f>
        <v>自然及人文环境</v>
      </c>
      <c r="AA23" s="1813">
        <f>D23/F23</f>
        <v>1</v>
      </c>
      <c r="AB23" s="1813">
        <f>D23/H23</f>
        <v>1</v>
      </c>
      <c r="AC23" s="1813">
        <f>D23/J23</f>
        <v>1</v>
      </c>
    </row>
    <row r="24" spans="1:29" ht="15">
      <c r="A24" s="428"/>
      <c r="B24" s="456"/>
      <c r="C24" s="447"/>
      <c r="D24" s="448"/>
      <c r="E24" s="2606"/>
      <c r="F24" s="448"/>
      <c r="G24" s="2607"/>
      <c r="H24" s="448"/>
      <c r="I24" s="2607"/>
      <c r="J24" s="448"/>
      <c r="K24" s="2608"/>
      <c r="L24" s="1142"/>
      <c r="M24" s="1133"/>
      <c r="N24" s="1133"/>
      <c r="O24" s="1133"/>
      <c r="P24" s="3216"/>
      <c r="Q24" s="1812"/>
      <c r="R24" s="773"/>
      <c r="S24" s="774"/>
      <c r="T24" s="773"/>
      <c r="U24" s="774"/>
      <c r="V24" s="773"/>
      <c r="W24" s="774"/>
      <c r="X24" s="1815"/>
      <c r="Y24" s="3218"/>
      <c r="Z24" s="1816"/>
      <c r="AA24" s="1813">
        <v>1</v>
      </c>
      <c r="AB24" s="1813">
        <v>1</v>
      </c>
      <c r="AC24" s="1813">
        <v>1</v>
      </c>
    </row>
    <row r="25" spans="1:29" ht="15">
      <c r="A25" s="428"/>
      <c r="B25" s="422" t="s">
        <v>2555</v>
      </c>
      <c r="C25" s="460"/>
      <c r="D25" s="435">
        <v>100</v>
      </c>
      <c r="E25" s="2615"/>
      <c r="F25" s="435">
        <f>SUMIF(86:86,E25,87:87)-SUMIF(86:86,C25,87:87)+100</f>
        <v>100</v>
      </c>
      <c r="G25" s="2616"/>
      <c r="H25" s="435">
        <f>SUMIF(86:86,G25,87:87)-SUMIF(86:86,C25,87:87)+100</f>
        <v>100</v>
      </c>
      <c r="I25" s="2616"/>
      <c r="J25" s="435">
        <f>SUMIF(86:86,I25,87:87)-SUMIF(86:86,C25,87:87)+100</f>
        <v>100</v>
      </c>
      <c r="K25" s="426"/>
      <c r="L25" s="1142"/>
      <c r="M25" s="1133"/>
      <c r="N25" s="1133"/>
      <c r="O25" s="1133"/>
      <c r="P25" s="3216"/>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218"/>
      <c r="Z25" s="1816" t="str">
        <f>Q25</f>
        <v>楼层-1</v>
      </c>
      <c r="AA25" s="1813">
        <f t="shared" ref="AA25:AA46" si="15">D25/F25</f>
        <v>1</v>
      </c>
      <c r="AB25" s="1813">
        <f t="shared" ref="AB25:AB46" si="16">D25/H25</f>
        <v>1</v>
      </c>
      <c r="AC25" s="1813">
        <f t="shared" ref="AC25:AC46" si="17">D25/J25</f>
        <v>1</v>
      </c>
    </row>
    <row r="26" spans="1:29" ht="15">
      <c r="A26" s="428"/>
      <c r="B26" s="422" t="s">
        <v>2556</v>
      </c>
      <c r="C26" s="460"/>
      <c r="D26" s="435">
        <v>100</v>
      </c>
      <c r="E26" s="2615"/>
      <c r="F26" s="435">
        <f>SUMIF(88:88,E26,89:89)-SUMIF(88:88,C26,89:89)+100</f>
        <v>100</v>
      </c>
      <c r="G26" s="2616"/>
      <c r="H26" s="435">
        <f>SUMIF(88:88,G26,89:89)-SUMIF(88:88,C26,89:89)+100</f>
        <v>100</v>
      </c>
      <c r="I26" s="2616"/>
      <c r="J26" s="435">
        <f>SUMIF(88:88,I26,89:89)-SUMIF(88:88,C26,89:89)+100</f>
        <v>100</v>
      </c>
      <c r="K26" s="426"/>
      <c r="L26" s="1142"/>
      <c r="M26" s="1133"/>
      <c r="N26" s="1133"/>
      <c r="O26" s="1133"/>
      <c r="P26" s="3216"/>
      <c r="Q26" s="1812" t="str">
        <f t="shared" si="11"/>
        <v>朝向</v>
      </c>
      <c r="R26" s="773" t="s">
        <v>21</v>
      </c>
      <c r="S26" s="774">
        <f t="shared" si="12"/>
        <v>100</v>
      </c>
      <c r="T26" s="773" t="s">
        <v>21</v>
      </c>
      <c r="U26" s="774">
        <f t="shared" si="13"/>
        <v>100</v>
      </c>
      <c r="V26" s="773" t="s">
        <v>21</v>
      </c>
      <c r="W26" s="774">
        <f t="shared" si="14"/>
        <v>100</v>
      </c>
      <c r="X26" s="1815"/>
      <c r="Y26" s="3218"/>
      <c r="Z26" s="1816" t="str">
        <f>Q26</f>
        <v>朝向</v>
      </c>
      <c r="AA26" s="1813">
        <f t="shared" si="15"/>
        <v>1</v>
      </c>
      <c r="AB26" s="1813">
        <f t="shared" si="16"/>
        <v>1</v>
      </c>
      <c r="AC26" s="1813">
        <f t="shared" si="17"/>
        <v>1</v>
      </c>
    </row>
    <row r="27" spans="1:29" s="117" customFormat="1" ht="15">
      <c r="A27" s="431"/>
      <c r="B27" s="1388">
        <v>111</v>
      </c>
      <c r="C27" s="432"/>
      <c r="D27" s="462">
        <v>100</v>
      </c>
      <c r="E27" s="465"/>
      <c r="F27" s="462">
        <f>SUMIF(90:90,E27,91:91)-SUMIF(90:90,C27,91:91)+100</f>
        <v>100</v>
      </c>
      <c r="G27" s="463"/>
      <c r="H27" s="462">
        <f>SUMIF(90:90,G27,91:91)-SUMIF(90:90,C27,91:91)+100</f>
        <v>100</v>
      </c>
      <c r="I27" s="463"/>
      <c r="J27" s="462">
        <f>SUMIF(90:90,I27,91:91)-SUMIF(90:90,C27,91:91)+100</f>
        <v>100</v>
      </c>
      <c r="K27" s="2603"/>
      <c r="L27" s="1134"/>
      <c r="M27" s="1135"/>
      <c r="N27" s="1135"/>
      <c r="O27" s="1135"/>
      <c r="P27" s="3216"/>
      <c r="Q27" s="1797">
        <f t="shared" si="11"/>
        <v>111</v>
      </c>
      <c r="R27" s="769" t="s">
        <v>21</v>
      </c>
      <c r="S27" s="770">
        <f t="shared" si="12"/>
        <v>100</v>
      </c>
      <c r="T27" s="769" t="s">
        <v>21</v>
      </c>
      <c r="U27" s="770">
        <f t="shared" si="13"/>
        <v>100</v>
      </c>
      <c r="V27" s="769" t="s">
        <v>21</v>
      </c>
      <c r="W27" s="770">
        <f t="shared" si="14"/>
        <v>100</v>
      </c>
      <c r="X27" s="771"/>
      <c r="Y27" s="3218"/>
      <c r="Z27" s="55">
        <f>Q27</f>
        <v>111</v>
      </c>
      <c r="AA27" s="1813">
        <f t="shared" si="15"/>
        <v>1</v>
      </c>
      <c r="AB27" s="1813">
        <f t="shared" si="16"/>
        <v>1</v>
      </c>
      <c r="AC27" s="1813">
        <f t="shared" si="17"/>
        <v>1</v>
      </c>
    </row>
    <row r="28" spans="1:29" ht="15">
      <c r="A28" s="428"/>
      <c r="B28" s="1388">
        <v>111</v>
      </c>
      <c r="C28" s="434"/>
      <c r="D28" s="435">
        <v>100</v>
      </c>
      <c r="E28" s="434"/>
      <c r="F28" s="435">
        <f>SUMIF(92:92,E28,93:93)-SUMIF(92:92,C28,93:93)+100</f>
        <v>100</v>
      </c>
      <c r="G28" s="2617"/>
      <c r="H28" s="435">
        <f>SUMIF(92:92,G28,93:93)-SUMIF(92:92,C28,93:93)+100</f>
        <v>100</v>
      </c>
      <c r="I28" s="434"/>
      <c r="J28" s="435">
        <f>SUMIF(92:92,I28,93:93)-SUMIF(92:92,C28,93:93)+100</f>
        <v>100</v>
      </c>
      <c r="K28" s="2603"/>
      <c r="L28" s="1142"/>
      <c r="M28" s="1133"/>
      <c r="N28" s="1133"/>
      <c r="O28" s="1133"/>
      <c r="P28" s="3216"/>
      <c r="Q28" s="1812">
        <f t="shared" si="11"/>
        <v>111</v>
      </c>
      <c r="R28" s="773" t="s">
        <v>21</v>
      </c>
      <c r="S28" s="774">
        <f t="shared" si="12"/>
        <v>100</v>
      </c>
      <c r="T28" s="773" t="s">
        <v>21</v>
      </c>
      <c r="U28" s="774">
        <f t="shared" si="13"/>
        <v>100</v>
      </c>
      <c r="V28" s="773" t="s">
        <v>21</v>
      </c>
      <c r="W28" s="774">
        <f t="shared" si="14"/>
        <v>100</v>
      </c>
      <c r="X28" s="1815"/>
      <c r="Y28" s="3218"/>
      <c r="Z28" s="1816">
        <f t="shared" ref="Z28:Z46" si="18">Q28</f>
        <v>111</v>
      </c>
      <c r="AA28" s="1813">
        <f t="shared" si="15"/>
        <v>1</v>
      </c>
      <c r="AB28" s="1813">
        <f t="shared" si="16"/>
        <v>1</v>
      </c>
      <c r="AC28" s="1813">
        <f t="shared" si="17"/>
        <v>1</v>
      </c>
    </row>
    <row r="29" spans="1:29" ht="15">
      <c r="A29" s="428"/>
      <c r="B29" s="1388">
        <v>111</v>
      </c>
      <c r="C29" s="434"/>
      <c r="D29" s="435">
        <v>100</v>
      </c>
      <c r="E29" s="434"/>
      <c r="F29" s="435">
        <f>SUMIF(94:94,E29,95:95)-SUMIF(94:94,C29,95:95)+100</f>
        <v>100</v>
      </c>
      <c r="G29" s="2617"/>
      <c r="H29" s="435">
        <f>SUMIF(94:94,G29,95:95)-SUMIF(94:94,C29,95:95)+100</f>
        <v>100</v>
      </c>
      <c r="I29" s="434"/>
      <c r="J29" s="435">
        <f>SUMIF(94:94,I29,95:95)-SUMIF(94:94,C29,95:95)+100</f>
        <v>100</v>
      </c>
      <c r="K29" s="2603"/>
      <c r="L29" s="1142"/>
      <c r="M29" s="1133"/>
      <c r="N29" s="1133"/>
      <c r="O29" s="1133"/>
      <c r="P29" s="3216"/>
      <c r="Q29" s="1812">
        <f t="shared" si="11"/>
        <v>111</v>
      </c>
      <c r="R29" s="773" t="s">
        <v>21</v>
      </c>
      <c r="S29" s="774">
        <f t="shared" si="12"/>
        <v>100</v>
      </c>
      <c r="T29" s="773" t="s">
        <v>21</v>
      </c>
      <c r="U29" s="774">
        <f t="shared" si="13"/>
        <v>100</v>
      </c>
      <c r="V29" s="773" t="s">
        <v>21</v>
      </c>
      <c r="W29" s="774">
        <f t="shared" si="14"/>
        <v>100</v>
      </c>
      <c r="X29" s="1815"/>
      <c r="Y29" s="3218"/>
      <c r="Z29" s="1816">
        <f t="shared" si="18"/>
        <v>111</v>
      </c>
      <c r="AA29" s="1813">
        <f t="shared" si="15"/>
        <v>1</v>
      </c>
      <c r="AB29" s="1813">
        <f t="shared" si="16"/>
        <v>1</v>
      </c>
      <c r="AC29" s="1813">
        <f t="shared" si="17"/>
        <v>1</v>
      </c>
    </row>
    <row r="30" spans="1:29" ht="15">
      <c r="A30" s="428"/>
      <c r="B30" s="1388">
        <v>111</v>
      </c>
      <c r="C30" s="434"/>
      <c r="D30" s="435">
        <v>100</v>
      </c>
      <c r="E30" s="434"/>
      <c r="F30" s="435">
        <f>SUMIF(96:96,E30,97:97)-SUMIF(96:96,C30,97:97)+100</f>
        <v>100</v>
      </c>
      <c r="G30" s="2617"/>
      <c r="H30" s="435">
        <f>SUMIF(96:96,G30,97:97)-SUMIF(96:96,C30,97:97)+100</f>
        <v>100</v>
      </c>
      <c r="I30" s="434"/>
      <c r="J30" s="435">
        <f>SUMIF(96:96,I30,97:97)-SUMIF(96:96,C30,97:97)+100</f>
        <v>100</v>
      </c>
      <c r="K30" s="2603"/>
      <c r="L30" s="1142"/>
      <c r="M30" s="1133"/>
      <c r="N30" s="1133"/>
      <c r="O30" s="1133"/>
      <c r="P30" s="3216"/>
      <c r="Q30" s="1812">
        <f t="shared" si="11"/>
        <v>111</v>
      </c>
      <c r="R30" s="773" t="s">
        <v>21</v>
      </c>
      <c r="S30" s="774">
        <f t="shared" si="12"/>
        <v>100</v>
      </c>
      <c r="T30" s="773" t="s">
        <v>21</v>
      </c>
      <c r="U30" s="774">
        <f t="shared" si="13"/>
        <v>100</v>
      </c>
      <c r="V30" s="773" t="s">
        <v>21</v>
      </c>
      <c r="W30" s="774">
        <f t="shared" si="14"/>
        <v>100</v>
      </c>
      <c r="X30" s="1815"/>
      <c r="Y30" s="3218"/>
      <c r="Z30" s="1816">
        <f t="shared" si="18"/>
        <v>111</v>
      </c>
      <c r="AA30" s="1813">
        <f t="shared" si="15"/>
        <v>1</v>
      </c>
      <c r="AB30" s="1813">
        <f t="shared" si="16"/>
        <v>1</v>
      </c>
      <c r="AC30" s="1813">
        <f t="shared" si="17"/>
        <v>1</v>
      </c>
    </row>
    <row r="31" spans="1:29" ht="15.75" thickBot="1">
      <c r="A31" s="436"/>
      <c r="B31" s="1388">
        <v>111</v>
      </c>
      <c r="C31" s="437"/>
      <c r="D31" s="438">
        <v>100</v>
      </c>
      <c r="E31" s="437"/>
      <c r="F31" s="438">
        <f>SUMIF(98:98,E31,99:99)-SUMIF(98:98,C31,99:99)+100</f>
        <v>100</v>
      </c>
      <c r="G31" s="2618"/>
      <c r="H31" s="438">
        <f>SUMIF(98:98,G31,99:99)-SUMIF(98:98,C31,99:99)+100</f>
        <v>100</v>
      </c>
      <c r="I31" s="437"/>
      <c r="J31" s="438">
        <f>SUMIF(98:98,I31,99:99)-SUMIF(98:98,C31,99:99)+100</f>
        <v>100</v>
      </c>
      <c r="K31" s="2603"/>
      <c r="L31" s="1142"/>
      <c r="M31" s="1133"/>
      <c r="N31" s="1133"/>
      <c r="O31" s="1133"/>
      <c r="P31" s="3216"/>
      <c r="Q31" s="1812">
        <f t="shared" si="11"/>
        <v>111</v>
      </c>
      <c r="R31" s="773" t="s">
        <v>21</v>
      </c>
      <c r="S31" s="774">
        <f t="shared" si="12"/>
        <v>100</v>
      </c>
      <c r="T31" s="773" t="s">
        <v>21</v>
      </c>
      <c r="U31" s="774">
        <f t="shared" si="13"/>
        <v>100</v>
      </c>
      <c r="V31" s="773" t="s">
        <v>21</v>
      </c>
      <c r="W31" s="774">
        <f t="shared" si="14"/>
        <v>100</v>
      </c>
      <c r="X31" s="1815"/>
      <c r="Y31" s="3218"/>
      <c r="Z31" s="1816">
        <f t="shared" si="18"/>
        <v>111</v>
      </c>
      <c r="AA31" s="1813">
        <f t="shared" si="15"/>
        <v>1</v>
      </c>
      <c r="AB31" s="1813">
        <f t="shared" si="16"/>
        <v>1</v>
      </c>
      <c r="AC31" s="1813">
        <f t="shared" si="17"/>
        <v>1</v>
      </c>
    </row>
    <row r="32" spans="1:29" ht="15">
      <c r="A32" s="440" t="s">
        <v>2557</v>
      </c>
      <c r="B32" s="71" t="s">
        <v>2558</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2"/>
      <c r="M32" s="1133"/>
      <c r="N32" s="1133"/>
      <c r="O32" s="1133"/>
      <c r="P32" s="3219" t="s">
        <v>2559</v>
      </c>
      <c r="Q32" s="1812" t="str">
        <f t="shared" si="11"/>
        <v>建筑类型</v>
      </c>
      <c r="R32" s="773" t="s">
        <v>21</v>
      </c>
      <c r="S32" s="774">
        <f t="shared" si="12"/>
        <v>100</v>
      </c>
      <c r="T32" s="773" t="s">
        <v>21</v>
      </c>
      <c r="U32" s="774">
        <f t="shared" si="13"/>
        <v>100</v>
      </c>
      <c r="V32" s="773" t="s">
        <v>21</v>
      </c>
      <c r="W32" s="774">
        <f t="shared" si="14"/>
        <v>100</v>
      </c>
      <c r="X32" s="1815"/>
      <c r="Y32" s="3222" t="s">
        <v>2559</v>
      </c>
      <c r="Z32" s="1816" t="str">
        <f t="shared" si="18"/>
        <v>建筑类型</v>
      </c>
      <c r="AA32" s="1813">
        <f t="shared" si="15"/>
        <v>1</v>
      </c>
      <c r="AB32" s="1813">
        <f t="shared" si="16"/>
        <v>1</v>
      </c>
      <c r="AC32" s="1813">
        <f t="shared" si="17"/>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0"/>
      <c r="M33" s="1143"/>
      <c r="N33" s="1143"/>
      <c r="O33" s="1143"/>
      <c r="P33" s="3220"/>
      <c r="Q33" s="775" t="str">
        <f t="shared" si="11"/>
        <v>项目建筑规模</v>
      </c>
      <c r="R33" s="776" t="s">
        <v>21</v>
      </c>
      <c r="S33" s="777" t="e">
        <f t="shared" si="12"/>
        <v>#N/A</v>
      </c>
      <c r="T33" s="776" t="s">
        <v>21</v>
      </c>
      <c r="U33" s="777" t="e">
        <f t="shared" si="13"/>
        <v>#N/A</v>
      </c>
      <c r="V33" s="776" t="s">
        <v>21</v>
      </c>
      <c r="W33" s="777" t="e">
        <f t="shared" si="14"/>
        <v>#N/A</v>
      </c>
      <c r="X33" s="778"/>
      <c r="Y33" s="3222"/>
      <c r="Z33" s="779" t="str">
        <f t="shared" si="18"/>
        <v>项目建筑规模</v>
      </c>
      <c r="AA33" s="1813" t="e">
        <f t="shared" si="15"/>
        <v>#N/A</v>
      </c>
      <c r="AB33" s="1813" t="e">
        <f t="shared" si="16"/>
        <v>#N/A</v>
      </c>
      <c r="AC33" s="1813" t="e">
        <f t="shared" si="17"/>
        <v>#N/A</v>
      </c>
    </row>
    <row r="34" spans="1:29" ht="15">
      <c r="A34" s="472"/>
      <c r="B34" s="422" t="s">
        <v>2561</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2"/>
      <c r="M34" s="1133"/>
      <c r="N34" s="1133"/>
      <c r="O34" s="1133"/>
      <c r="P34" s="3220"/>
      <c r="Q34" s="1812" t="str">
        <f t="shared" si="11"/>
        <v>建筑结构</v>
      </c>
      <c r="R34" s="773" t="s">
        <v>21</v>
      </c>
      <c r="S34" s="774">
        <f t="shared" si="12"/>
        <v>100</v>
      </c>
      <c r="T34" s="773" t="s">
        <v>21</v>
      </c>
      <c r="U34" s="774">
        <f t="shared" si="13"/>
        <v>100</v>
      </c>
      <c r="V34" s="773" t="s">
        <v>21</v>
      </c>
      <c r="W34" s="774">
        <f t="shared" si="14"/>
        <v>100</v>
      </c>
      <c r="X34" s="1815"/>
      <c r="Y34" s="3222"/>
      <c r="Z34" s="1816" t="str">
        <f t="shared" si="18"/>
        <v>建筑结构</v>
      </c>
      <c r="AA34" s="1813">
        <f t="shared" si="15"/>
        <v>1</v>
      </c>
      <c r="AB34" s="1813">
        <f t="shared" si="16"/>
        <v>1</v>
      </c>
      <c r="AC34" s="1813">
        <f t="shared" si="17"/>
        <v>1</v>
      </c>
    </row>
    <row r="35" spans="1:29" ht="15">
      <c r="A35" s="472"/>
      <c r="B35" s="422" t="s">
        <v>2562</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2"/>
      <c r="M35" s="1133"/>
      <c r="N35" s="1133"/>
      <c r="O35" s="1133"/>
      <c r="P35" s="3220"/>
      <c r="Q35" s="1812" t="str">
        <f t="shared" si="11"/>
        <v>建筑品质</v>
      </c>
      <c r="R35" s="773" t="s">
        <v>21</v>
      </c>
      <c r="S35" s="774">
        <f t="shared" si="12"/>
        <v>100</v>
      </c>
      <c r="T35" s="773" t="s">
        <v>21</v>
      </c>
      <c r="U35" s="774">
        <f t="shared" si="13"/>
        <v>100</v>
      </c>
      <c r="V35" s="773" t="s">
        <v>21</v>
      </c>
      <c r="W35" s="774">
        <f t="shared" si="14"/>
        <v>100</v>
      </c>
      <c r="X35" s="1815"/>
      <c r="Y35" s="3222"/>
      <c r="Z35" s="1816" t="str">
        <f t="shared" si="18"/>
        <v>建筑品质</v>
      </c>
      <c r="AA35" s="1813">
        <f t="shared" si="15"/>
        <v>1</v>
      </c>
      <c r="AB35" s="1813">
        <f t="shared" si="16"/>
        <v>1</v>
      </c>
      <c r="AC35" s="1813">
        <f t="shared" si="17"/>
        <v>1</v>
      </c>
    </row>
    <row r="36" spans="1:29" ht="15">
      <c r="A36" s="472"/>
      <c r="B36" s="422" t="s">
        <v>2563</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2"/>
      <c r="M36" s="1133"/>
      <c r="N36" s="1133"/>
      <c r="O36" s="1133"/>
      <c r="P36" s="3220"/>
      <c r="Q36" s="1812" t="str">
        <f t="shared" si="11"/>
        <v>公共部分装修</v>
      </c>
      <c r="R36" s="773" t="s">
        <v>21</v>
      </c>
      <c r="S36" s="774">
        <f t="shared" si="12"/>
        <v>100</v>
      </c>
      <c r="T36" s="773" t="s">
        <v>21</v>
      </c>
      <c r="U36" s="774">
        <f t="shared" si="13"/>
        <v>100</v>
      </c>
      <c r="V36" s="773" t="s">
        <v>21</v>
      </c>
      <c r="W36" s="774">
        <f t="shared" si="14"/>
        <v>100</v>
      </c>
      <c r="X36" s="1815"/>
      <c r="Y36" s="3222"/>
      <c r="Z36" s="1816" t="str">
        <f t="shared" si="18"/>
        <v>公共部分装修</v>
      </c>
      <c r="AA36" s="1813">
        <f t="shared" si="15"/>
        <v>1</v>
      </c>
      <c r="AB36" s="1813">
        <f t="shared" si="16"/>
        <v>1</v>
      </c>
      <c r="AC36" s="1813">
        <f t="shared" si="17"/>
        <v>1</v>
      </c>
    </row>
    <row r="37" spans="1:29" s="117" customFormat="1" ht="15">
      <c r="A37" s="473"/>
      <c r="B37" s="422" t="s">
        <v>2564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4"/>
      <c r="M37" s="1135"/>
      <c r="N37" s="1135"/>
      <c r="O37" s="1135"/>
      <c r="P37" s="3220"/>
      <c r="Q37" s="1797" t="str">
        <f t="shared" si="11"/>
        <v>成新度</v>
      </c>
      <c r="R37" s="769" t="s">
        <v>21</v>
      </c>
      <c r="S37" s="770" t="e">
        <f t="shared" si="12"/>
        <v>#N/A</v>
      </c>
      <c r="T37" s="769" t="s">
        <v>21</v>
      </c>
      <c r="U37" s="770" t="e">
        <f t="shared" si="13"/>
        <v>#N/A</v>
      </c>
      <c r="V37" s="769" t="s">
        <v>21</v>
      </c>
      <c r="W37" s="770" t="e">
        <f t="shared" si="14"/>
        <v>#N/A</v>
      </c>
      <c r="X37" s="771"/>
      <c r="Y37" s="3222"/>
      <c r="Z37" s="55" t="str">
        <f t="shared" si="18"/>
        <v>成新度</v>
      </c>
      <c r="AA37" s="772" t="e">
        <f t="shared" si="15"/>
        <v>#N/A</v>
      </c>
      <c r="AB37" s="772" t="e">
        <f t="shared" si="16"/>
        <v>#N/A</v>
      </c>
      <c r="AC37" s="772" t="e">
        <f t="shared" si="17"/>
        <v>#N/A</v>
      </c>
    </row>
    <row r="38" spans="1:29" ht="15">
      <c r="A38" s="472"/>
      <c r="B38" s="422" t="s">
        <v>2565</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2"/>
      <c r="M38" s="1133"/>
      <c r="N38" s="1133"/>
      <c r="O38" s="1133"/>
      <c r="P38" s="3220" t="s">
        <v>2559</v>
      </c>
      <c r="Q38" s="1812" t="str">
        <f t="shared" si="11"/>
        <v>物业管理</v>
      </c>
      <c r="R38" s="773" t="s">
        <v>21</v>
      </c>
      <c r="S38" s="774">
        <f t="shared" si="12"/>
        <v>100</v>
      </c>
      <c r="T38" s="773" t="s">
        <v>21</v>
      </c>
      <c r="U38" s="774">
        <f t="shared" si="13"/>
        <v>100</v>
      </c>
      <c r="V38" s="773" t="s">
        <v>21</v>
      </c>
      <c r="W38" s="774">
        <f t="shared" si="14"/>
        <v>100</v>
      </c>
      <c r="X38" s="1815"/>
      <c r="Y38" s="3222" t="s">
        <v>2559</v>
      </c>
      <c r="Z38" s="1816" t="str">
        <f t="shared" si="18"/>
        <v>物业管理</v>
      </c>
      <c r="AA38" s="1813">
        <f t="shared" si="15"/>
        <v>1</v>
      </c>
      <c r="AB38" s="1813">
        <f t="shared" si="16"/>
        <v>1</v>
      </c>
      <c r="AC38" s="1813">
        <f t="shared" si="17"/>
        <v>1</v>
      </c>
    </row>
    <row r="39" spans="1:29" ht="15">
      <c r="A39" s="472"/>
      <c r="B39" s="422" t="s">
        <v>2566</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2"/>
      <c r="M39" s="1133"/>
      <c r="N39" s="1133"/>
      <c r="O39" s="1133"/>
      <c r="P39" s="3220"/>
      <c r="Q39" s="1812" t="str">
        <f t="shared" si="11"/>
        <v>市政基础设施</v>
      </c>
      <c r="R39" s="773" t="s">
        <v>21</v>
      </c>
      <c r="S39" s="774">
        <f t="shared" si="12"/>
        <v>100</v>
      </c>
      <c r="T39" s="773" t="s">
        <v>21</v>
      </c>
      <c r="U39" s="774">
        <f t="shared" si="13"/>
        <v>100</v>
      </c>
      <c r="V39" s="773" t="s">
        <v>21</v>
      </c>
      <c r="W39" s="774">
        <f t="shared" si="14"/>
        <v>100</v>
      </c>
      <c r="X39" s="1815"/>
      <c r="Y39" s="3222"/>
      <c r="Z39" s="1816" t="str">
        <f t="shared" si="18"/>
        <v>市政基础设施</v>
      </c>
      <c r="AA39" s="1813">
        <f t="shared" si="15"/>
        <v>1</v>
      </c>
      <c r="AB39" s="1813">
        <f t="shared" si="16"/>
        <v>1</v>
      </c>
      <c r="AC39" s="1813">
        <f t="shared" si="17"/>
        <v>1</v>
      </c>
    </row>
    <row r="40" spans="1:29" ht="15">
      <c r="A40" s="472"/>
      <c r="B40" s="422" t="s">
        <v>2567</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2"/>
      <c r="M40" s="1133"/>
      <c r="N40" s="1133"/>
      <c r="O40" s="1133"/>
      <c r="P40" s="3220"/>
      <c r="Q40" s="1812" t="str">
        <f t="shared" si="11"/>
        <v>房型</v>
      </c>
      <c r="R40" s="773" t="s">
        <v>21</v>
      </c>
      <c r="S40" s="774">
        <f t="shared" si="12"/>
        <v>100</v>
      </c>
      <c r="T40" s="773" t="s">
        <v>21</v>
      </c>
      <c r="U40" s="774">
        <f t="shared" si="13"/>
        <v>100</v>
      </c>
      <c r="V40" s="773" t="s">
        <v>21</v>
      </c>
      <c r="W40" s="774">
        <f t="shared" si="14"/>
        <v>100</v>
      </c>
      <c r="X40" s="1815"/>
      <c r="Y40" s="3222"/>
      <c r="Z40" s="1816" t="str">
        <f t="shared" si="18"/>
        <v>房型</v>
      </c>
      <c r="AA40" s="1813">
        <f t="shared" si="15"/>
        <v>1</v>
      </c>
      <c r="AB40" s="1813">
        <f t="shared" si="16"/>
        <v>1</v>
      </c>
      <c r="AC40" s="1813">
        <f t="shared" si="17"/>
        <v>1</v>
      </c>
    </row>
    <row r="41" spans="1:29" s="471" customFormat="1" ht="28.5">
      <c r="A41" s="468"/>
      <c r="B41" s="422" t="s">
        <v>2568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0"/>
      <c r="M41" s="1143"/>
      <c r="N41" s="1143"/>
      <c r="O41" s="1143"/>
      <c r="P41" s="3220"/>
      <c r="Q41" s="775" t="str">
        <f t="shared" si="11"/>
        <v>单套/主力户型建筑面积</v>
      </c>
      <c r="R41" s="776" t="s">
        <v>21</v>
      </c>
      <c r="S41" s="777">
        <f t="shared" si="12"/>
        <v>100</v>
      </c>
      <c r="T41" s="776" t="s">
        <v>21</v>
      </c>
      <c r="U41" s="777">
        <f t="shared" si="13"/>
        <v>100</v>
      </c>
      <c r="V41" s="776" t="s">
        <v>21</v>
      </c>
      <c r="W41" s="777">
        <f t="shared" si="14"/>
        <v>100</v>
      </c>
      <c r="X41" s="778"/>
      <c r="Y41" s="3222"/>
      <c r="Z41" s="779" t="str">
        <f t="shared" si="18"/>
        <v>单套/主力户型建筑面积</v>
      </c>
      <c r="AA41" s="1813">
        <f t="shared" si="15"/>
        <v>1</v>
      </c>
      <c r="AB41" s="1813">
        <f t="shared" si="16"/>
        <v>1</v>
      </c>
      <c r="AC41" s="1813">
        <f t="shared" si="17"/>
        <v>1</v>
      </c>
    </row>
    <row r="42" spans="1:29" ht="15">
      <c r="A42" s="472"/>
      <c r="B42" s="422" t="s">
        <v>2569</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2"/>
      <c r="M42" s="1133"/>
      <c r="N42" s="1133"/>
      <c r="O42" s="1133"/>
      <c r="P42" s="3220"/>
      <c r="Q42" s="1812" t="str">
        <f t="shared" si="11"/>
        <v>内部装修</v>
      </c>
      <c r="R42" s="773" t="s">
        <v>21</v>
      </c>
      <c r="S42" s="774">
        <f t="shared" si="12"/>
        <v>100</v>
      </c>
      <c r="T42" s="773" t="s">
        <v>21</v>
      </c>
      <c r="U42" s="774">
        <f t="shared" si="13"/>
        <v>100</v>
      </c>
      <c r="V42" s="773" t="s">
        <v>21</v>
      </c>
      <c r="W42" s="774">
        <f t="shared" si="14"/>
        <v>100</v>
      </c>
      <c r="X42" s="1815"/>
      <c r="Y42" s="3222"/>
      <c r="Z42" s="1816" t="str">
        <f t="shared" si="18"/>
        <v>内部装修</v>
      </c>
      <c r="AA42" s="1813">
        <f t="shared" si="15"/>
        <v>1</v>
      </c>
      <c r="AB42" s="1813">
        <f t="shared" si="16"/>
        <v>1</v>
      </c>
      <c r="AC42" s="1813">
        <f t="shared" si="17"/>
        <v>1</v>
      </c>
    </row>
    <row r="43" spans="1:29" ht="15">
      <c r="A43" s="472"/>
      <c r="B43" s="422" t="s">
        <v>2570</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2"/>
      <c r="M43" s="1133"/>
      <c r="N43" s="1133"/>
      <c r="O43" s="1133"/>
      <c r="P43" s="3220"/>
      <c r="Q43" s="1812" t="str">
        <f t="shared" si="11"/>
        <v>内部装修维护情况</v>
      </c>
      <c r="R43" s="773" t="s">
        <v>21</v>
      </c>
      <c r="S43" s="774">
        <f t="shared" si="12"/>
        <v>100</v>
      </c>
      <c r="T43" s="773" t="s">
        <v>21</v>
      </c>
      <c r="U43" s="774">
        <f t="shared" si="13"/>
        <v>100</v>
      </c>
      <c r="V43" s="773" t="s">
        <v>21</v>
      </c>
      <c r="W43" s="774">
        <f t="shared" si="14"/>
        <v>100</v>
      </c>
      <c r="X43" s="1815"/>
      <c r="Y43" s="3222"/>
      <c r="Z43" s="1816" t="str">
        <f t="shared" si="18"/>
        <v>内部装修维护情况</v>
      </c>
      <c r="AA43" s="1813">
        <f t="shared" si="15"/>
        <v>1</v>
      </c>
      <c r="AB43" s="1813">
        <f t="shared" si="16"/>
        <v>1</v>
      </c>
      <c r="AC43" s="1813">
        <f t="shared" si="17"/>
        <v>1</v>
      </c>
    </row>
    <row r="44" spans="1:29" s="117" customFormat="1" ht="15">
      <c r="A44" s="473"/>
      <c r="B44" s="1388">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4"/>
      <c r="M44" s="1135"/>
      <c r="N44" s="1135"/>
      <c r="O44" s="1135"/>
      <c r="P44" s="3220"/>
      <c r="Q44" s="1797">
        <f t="shared" si="11"/>
        <v>111</v>
      </c>
      <c r="R44" s="769" t="s">
        <v>21</v>
      </c>
      <c r="S44" s="770">
        <f t="shared" si="12"/>
        <v>100</v>
      </c>
      <c r="T44" s="769" t="s">
        <v>21</v>
      </c>
      <c r="U44" s="770">
        <f t="shared" si="13"/>
        <v>100</v>
      </c>
      <c r="V44" s="769" t="s">
        <v>21</v>
      </c>
      <c r="W44" s="770">
        <f t="shared" si="14"/>
        <v>100</v>
      </c>
      <c r="X44" s="771"/>
      <c r="Y44" s="3222"/>
      <c r="Z44" s="55">
        <f t="shared" si="18"/>
        <v>111</v>
      </c>
      <c r="AA44" s="772">
        <f t="shared" si="15"/>
        <v>1</v>
      </c>
      <c r="AB44" s="772">
        <f t="shared" si="16"/>
        <v>1</v>
      </c>
      <c r="AC44" s="772">
        <f t="shared" si="17"/>
        <v>1</v>
      </c>
    </row>
    <row r="45" spans="1:29" ht="15">
      <c r="A45" s="472"/>
      <c r="B45" s="1388">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2"/>
      <c r="M45" s="1133"/>
      <c r="N45" s="1133"/>
      <c r="O45" s="1133"/>
      <c r="P45" s="3220"/>
      <c r="Q45" s="1812">
        <f t="shared" si="11"/>
        <v>111</v>
      </c>
      <c r="R45" s="773" t="s">
        <v>21</v>
      </c>
      <c r="S45" s="774">
        <f t="shared" si="12"/>
        <v>100</v>
      </c>
      <c r="T45" s="773" t="s">
        <v>21</v>
      </c>
      <c r="U45" s="774">
        <f t="shared" si="13"/>
        <v>100</v>
      </c>
      <c r="V45" s="773" t="s">
        <v>21</v>
      </c>
      <c r="W45" s="774">
        <f t="shared" si="14"/>
        <v>100</v>
      </c>
      <c r="X45" s="1815"/>
      <c r="Y45" s="3222"/>
      <c r="Z45" s="1816">
        <f t="shared" si="18"/>
        <v>111</v>
      </c>
      <c r="AA45" s="1813">
        <f t="shared" si="15"/>
        <v>1</v>
      </c>
      <c r="AB45" s="1813">
        <f t="shared" si="16"/>
        <v>1</v>
      </c>
      <c r="AC45" s="1813">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2"/>
      <c r="M46" s="1133"/>
      <c r="N46" s="1133"/>
      <c r="O46" s="1133"/>
      <c r="P46" s="3221"/>
      <c r="Q46" s="1812">
        <f t="shared" si="11"/>
        <v>111</v>
      </c>
      <c r="R46" s="773" t="s">
        <v>20</v>
      </c>
      <c r="S46" s="774">
        <f t="shared" si="12"/>
        <v>100</v>
      </c>
      <c r="T46" s="773" t="s">
        <v>20</v>
      </c>
      <c r="U46" s="774">
        <f t="shared" si="13"/>
        <v>100</v>
      </c>
      <c r="V46" s="773" t="s">
        <v>20</v>
      </c>
      <c r="W46" s="774">
        <f t="shared" si="14"/>
        <v>100</v>
      </c>
      <c r="X46" s="1815"/>
      <c r="Y46" s="3223"/>
      <c r="Z46" s="1816">
        <f t="shared" si="18"/>
        <v>111</v>
      </c>
      <c r="AA46" s="1813">
        <f t="shared" si="15"/>
        <v>1</v>
      </c>
      <c r="AB46" s="1813">
        <f t="shared" si="16"/>
        <v>1</v>
      </c>
      <c r="AC46" s="1813">
        <f t="shared" si="17"/>
        <v>1</v>
      </c>
    </row>
    <row r="47" spans="1:29" ht="15">
      <c r="A47" s="479" t="s">
        <v>2571</v>
      </c>
      <c r="B47" s="480"/>
      <c r="C47" s="1409" t="s">
        <v>19</v>
      </c>
      <c r="D47" s="1410"/>
      <c r="E47" s="1411"/>
      <c r="F47" s="1412"/>
      <c r="G47" s="1413"/>
      <c r="H47" s="1414"/>
      <c r="I47" s="1411"/>
      <c r="J47" s="1414"/>
      <c r="K47" s="2623"/>
      <c r="L47" s="1145"/>
      <c r="M47" s="1146"/>
      <c r="N47" s="1133"/>
      <c r="O47" s="1146"/>
      <c r="P47" s="3224" t="str">
        <f>A47</f>
        <v>成交单价（元/平方米）</v>
      </c>
      <c r="Q47" s="3224"/>
      <c r="R47" s="3225">
        <f>E47</f>
        <v>0</v>
      </c>
      <c r="S47" s="3225"/>
      <c r="T47" s="3225">
        <f>G47</f>
        <v>0</v>
      </c>
      <c r="U47" s="3225"/>
      <c r="V47" s="3225">
        <f>I47</f>
        <v>0</v>
      </c>
      <c r="W47" s="3225"/>
      <c r="X47" s="758"/>
      <c r="Y47" s="780"/>
      <c r="Z47" s="758"/>
      <c r="AA47" s="758"/>
      <c r="AB47" s="758"/>
      <c r="AC47" s="758"/>
    </row>
    <row r="48" spans="1:29" ht="15.75" thickBot="1">
      <c r="A48" s="486" t="s">
        <v>2572</v>
      </c>
      <c r="B48" s="487"/>
      <c r="C48" s="1415" t="e">
        <f>R49</f>
        <v>#DIV/0!</v>
      </c>
      <c r="D48" s="1416"/>
      <c r="E48" s="1417" t="e">
        <f>R48</f>
        <v>#DIV/0!</v>
      </c>
      <c r="F48" s="1417"/>
      <c r="G48" s="1415" t="e">
        <f>T48</f>
        <v>#DIV/0!</v>
      </c>
      <c r="H48" s="1416"/>
      <c r="I48" s="1417" t="e">
        <f>V48</f>
        <v>#DIV/0!</v>
      </c>
      <c r="J48" s="1416"/>
      <c r="K48" s="2624"/>
      <c r="L48" s="1145"/>
      <c r="M48" s="1146"/>
      <c r="N48" s="1146"/>
      <c r="O48" s="1146"/>
      <c r="P48" s="3224" t="str">
        <f>A48</f>
        <v>比较价值（元/平方米）</v>
      </c>
      <c r="Q48" s="3224"/>
      <c r="R48" s="3225" t="e">
        <f>IF(F1="售价",ROUND(PRODUCT(R47,AA7:AA46),0),ROUND(PRODUCT(R47,AA7:AA46),1))</f>
        <v>#DIV/0!</v>
      </c>
      <c r="S48" s="3225"/>
      <c r="T48" s="3225" t="e">
        <f>IF(F1="售价",ROUND(PRODUCT(T47,AB7:AB46),0),ROUND(PRODUCT(T47,AB7:AB46),1))</f>
        <v>#DIV/0!</v>
      </c>
      <c r="U48" s="3225"/>
      <c r="V48" s="3225" t="e">
        <f>IF(F1="售价",ROUND(PRODUCT(V47,AC7:AC46),0),ROUND(PRODUCT(V47,AC7:AC46),1))</f>
        <v>#DIV/0!</v>
      </c>
      <c r="W48" s="3225"/>
      <c r="X48" s="758"/>
      <c r="Y48" s="758"/>
      <c r="Z48" s="758"/>
      <c r="AA48" s="758"/>
      <c r="AB48" s="758"/>
      <c r="AC48" s="758"/>
    </row>
    <row r="49" spans="1:29" ht="15.75" thickBot="1">
      <c r="A49" s="492" t="s">
        <v>2573</v>
      </c>
      <c r="B49" s="493"/>
      <c r="C49" s="1418" t="e">
        <f>R49</f>
        <v>#DIV/0!</v>
      </c>
      <c r="D49" s="1419"/>
      <c r="E49" s="1419"/>
      <c r="F49" s="1419"/>
      <c r="G49" s="1419"/>
      <c r="H49" s="1419"/>
      <c r="I49" s="1419"/>
      <c r="J49" s="1419"/>
      <c r="K49" s="2625"/>
      <c r="L49" s="1145"/>
      <c r="M49" s="1146"/>
      <c r="N49" s="1146"/>
      <c r="O49" s="1146"/>
      <c r="P49" s="3226" t="str">
        <f>A49</f>
        <v>估价对象XX用房的比较价值（楼面单价，元/平方米）</v>
      </c>
      <c r="Q49" s="3227"/>
      <c r="R49" s="3228" t="e">
        <f>IF(F1="售价",ROUND(AVERAGE(R48:V48),0),ROUND(AVERAGE(R48:V48),1))</f>
        <v>#DIV/0!</v>
      </c>
      <c r="S49" s="3228"/>
      <c r="T49" s="3228"/>
      <c r="U49" s="3228"/>
      <c r="V49" s="3228"/>
      <c r="W49" s="3228"/>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7" t="s">
        <v>2574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7"/>
      <c r="L52" s="1108"/>
      <c r="M52" s="1146"/>
      <c r="N52" s="1146"/>
      <c r="O52" s="1146"/>
    </row>
    <row r="53" spans="1:29" ht="13.5" customHeight="1">
      <c r="A53" s="1146"/>
      <c r="B53" s="1146"/>
      <c r="C53" s="497" t="s">
        <v>2575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7"/>
      <c r="L53" s="1108"/>
      <c r="M53" s="1146"/>
      <c r="N53" s="1146"/>
      <c r="O53" s="1146"/>
    </row>
    <row r="54" spans="1:29" s="502" customFormat="1" ht="13.5" customHeight="1">
      <c r="A54" s="1147"/>
      <c r="B54" s="1147"/>
      <c r="C54" s="497" t="s">
        <v>2576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0"/>
      <c r="L54" s="1151"/>
      <c r="M54" s="1147"/>
      <c r="N54" s="1147"/>
      <c r="O54" s="1147"/>
      <c r="P54" s="2627"/>
    </row>
    <row r="55" spans="1:29" s="502" customFormat="1">
      <c r="A55" s="1147"/>
      <c r="B55" s="1148"/>
      <c r="C55" s="1152"/>
      <c r="D55" s="1147"/>
      <c r="E55" s="1147"/>
      <c r="F55" s="1147"/>
      <c r="G55" s="1147"/>
      <c r="H55" s="1147"/>
      <c r="I55" s="1147"/>
      <c r="J55" s="1147"/>
      <c r="K55" s="1150"/>
      <c r="L55" s="1151"/>
      <c r="M55" s="1147"/>
      <c r="N55" s="1147"/>
      <c r="O55" s="1147"/>
      <c r="P55" s="2627"/>
    </row>
    <row r="56" spans="1:29">
      <c r="A56" s="1146"/>
      <c r="B56" s="1148"/>
      <c r="C56" s="1152"/>
      <c r="D56" s="1146"/>
      <c r="E56" s="1146"/>
      <c r="F56" s="1146"/>
      <c r="G56" s="1146"/>
      <c r="H56" s="1146"/>
      <c r="I56" s="1146"/>
      <c r="J56" s="1146"/>
      <c r="K56" s="1107"/>
      <c r="L56" s="1108"/>
      <c r="M56" s="1146"/>
      <c r="N56" s="1146"/>
      <c r="O56" s="1146"/>
    </row>
    <row r="57" spans="1:29" ht="21.75" thickBot="1">
      <c r="A57" s="762" t="s">
        <v>2577</v>
      </c>
      <c r="B57" s="758"/>
      <c r="C57" s="763"/>
      <c r="D57" s="763"/>
      <c r="E57" s="763"/>
      <c r="F57" s="764"/>
      <c r="G57" s="764"/>
      <c r="H57" s="763"/>
      <c r="I57" s="763"/>
      <c r="J57" s="763"/>
      <c r="K57" s="1162"/>
      <c r="L57" s="1163"/>
      <c r="M57" s="1161"/>
      <c r="N57" s="1161"/>
      <c r="O57" s="1161"/>
      <c r="P57" s="2628"/>
      <c r="Q57" s="504"/>
    </row>
    <row r="58" spans="1:29" s="508" customFormat="1" ht="15">
      <c r="A58" s="505" t="s">
        <v>2578</v>
      </c>
      <c r="B58" s="506"/>
      <c r="C58" s="1578" t="str">
        <f>YEAR(C7)&amp;"-"&amp;MONTH(C7)</f>
        <v>2018-8</v>
      </c>
      <c r="D58" s="1577">
        <f>EDATE(C58,-1)</f>
        <v>43282</v>
      </c>
      <c r="E58" s="1577">
        <f>EDATE(D58,-1)</f>
        <v>43252</v>
      </c>
      <c r="F58" s="1577">
        <f t="shared" ref="F58:O58" si="19">EDATE(E58,-1)</f>
        <v>43221</v>
      </c>
      <c r="G58" s="1577">
        <f t="shared" si="19"/>
        <v>43191</v>
      </c>
      <c r="H58" s="1577">
        <f t="shared" si="19"/>
        <v>43160</v>
      </c>
      <c r="I58" s="1577">
        <f t="shared" si="19"/>
        <v>43132</v>
      </c>
      <c r="J58" s="1577">
        <f t="shared" si="19"/>
        <v>43101</v>
      </c>
      <c r="K58" s="1577">
        <f t="shared" si="19"/>
        <v>43070</v>
      </c>
      <c r="L58" s="1577">
        <f t="shared" si="19"/>
        <v>43040</v>
      </c>
      <c r="M58" s="1577">
        <f t="shared" si="19"/>
        <v>43009</v>
      </c>
      <c r="N58" s="1577">
        <f t="shared" si="19"/>
        <v>42979</v>
      </c>
      <c r="O58" s="1577">
        <f t="shared" si="19"/>
        <v>42948</v>
      </c>
      <c r="P58" s="1572"/>
    </row>
    <row r="59" spans="1:29" s="117" customFormat="1" ht="15">
      <c r="A59" s="509"/>
      <c r="B59" s="2629"/>
      <c r="C59" s="1575">
        <v>100</v>
      </c>
      <c r="D59" s="511"/>
      <c r="E59" s="512"/>
      <c r="F59" s="512"/>
      <c r="G59" s="512"/>
      <c r="H59" s="512"/>
      <c r="I59" s="512"/>
      <c r="J59" s="512"/>
      <c r="K59" s="512"/>
      <c r="L59" s="512"/>
      <c r="M59" s="513"/>
      <c r="N59" s="512"/>
      <c r="O59" s="513"/>
      <c r="P59" s="2630"/>
    </row>
    <row r="60" spans="1:29" s="117" customFormat="1" ht="15.75" thickBot="1">
      <c r="A60" s="515" t="s">
        <v>2579</v>
      </c>
      <c r="B60" s="516"/>
      <c r="C60" s="517"/>
      <c r="D60" s="518"/>
      <c r="E60" s="518"/>
      <c r="F60" s="518"/>
      <c r="G60" s="518"/>
      <c r="H60" s="518"/>
      <c r="I60" s="518"/>
      <c r="J60" s="518"/>
      <c r="K60" s="518"/>
      <c r="L60" s="518"/>
      <c r="M60" s="519"/>
      <c r="N60" s="518"/>
      <c r="O60" s="519"/>
      <c r="P60" s="2630"/>
      <c r="Q60" s="504"/>
    </row>
    <row r="61" spans="1:29" s="117" customFormat="1" ht="15">
      <c r="A61" s="521" t="s">
        <v>2580</v>
      </c>
      <c r="B61" s="510"/>
      <c r="C61" s="522" t="s">
        <v>2581</v>
      </c>
      <c r="D61" s="523"/>
      <c r="E61" s="523"/>
      <c r="F61" s="523"/>
      <c r="G61" s="523"/>
      <c r="H61" s="523"/>
      <c r="I61" s="523"/>
      <c r="J61" s="523"/>
      <c r="K61" s="523"/>
      <c r="L61" s="524"/>
      <c r="M61" s="525"/>
      <c r="N61" s="1153"/>
      <c r="O61" s="1153"/>
      <c r="P61" s="2631"/>
      <c r="Q61" s="504"/>
    </row>
    <row r="62" spans="1:29" s="117" customFormat="1" ht="15.75" thickBot="1">
      <c r="A62" s="521"/>
      <c r="B62" s="510"/>
      <c r="C62" s="511">
        <v>100</v>
      </c>
      <c r="D62" s="512"/>
      <c r="E62" s="512"/>
      <c r="F62" s="512"/>
      <c r="G62" s="512"/>
      <c r="H62" s="512"/>
      <c r="I62" s="512"/>
      <c r="J62" s="512"/>
      <c r="K62" s="512"/>
      <c r="L62" s="512"/>
      <c r="M62" s="514"/>
      <c r="N62" s="1153"/>
      <c r="O62" s="1153"/>
      <c r="P62" s="2630"/>
      <c r="Q62" s="504"/>
    </row>
    <row r="63" spans="1:29">
      <c r="A63" s="527" t="s">
        <v>2582</v>
      </c>
      <c r="B63" s="528" t="s">
        <v>2548</v>
      </c>
      <c r="C63" s="529">
        <f>C9</f>
        <v>0</v>
      </c>
      <c r="D63" s="530"/>
      <c r="E63" s="530"/>
      <c r="F63" s="530"/>
      <c r="G63" s="530"/>
      <c r="H63" s="530"/>
      <c r="I63" s="530"/>
      <c r="J63" s="530"/>
      <c r="K63" s="531"/>
      <c r="L63" s="532"/>
      <c r="M63" s="533"/>
      <c r="N63" s="1154"/>
      <c r="O63" s="1154"/>
      <c r="P63" s="2632"/>
      <c r="Q63" s="504"/>
    </row>
    <row r="64" spans="1:29" ht="15.75" thickBot="1">
      <c r="A64" s="534"/>
      <c r="B64" s="535"/>
      <c r="C64" s="536">
        <v>100</v>
      </c>
      <c r="D64" s="536"/>
      <c r="E64" s="536"/>
      <c r="F64" s="536"/>
      <c r="G64" s="536"/>
      <c r="H64" s="536"/>
      <c r="I64" s="536"/>
      <c r="J64" s="536"/>
      <c r="K64" s="536"/>
      <c r="L64" s="536"/>
      <c r="M64" s="537"/>
      <c r="N64" s="1155"/>
      <c r="O64" s="1155"/>
      <c r="P64" s="2632"/>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4"/>
      <c r="O65" s="1154"/>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5"/>
      <c r="O66" s="1155"/>
      <c r="P66" s="2632"/>
      <c r="Q66" s="504"/>
    </row>
    <row r="67" spans="1:17" ht="15.75" thickTop="1">
      <c r="A67" s="534"/>
      <c r="B67" s="546" t="s">
        <v>2552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5"/>
      <c r="O67" s="1155"/>
      <c r="P67" s="2632"/>
      <c r="Q67" s="504"/>
    </row>
    <row r="68" spans="1:17" ht="15">
      <c r="A68" s="534"/>
      <c r="B68" s="548"/>
      <c r="C68" s="549"/>
      <c r="D68" s="549"/>
      <c r="E68" s="549"/>
      <c r="F68" s="549"/>
      <c r="G68" s="549"/>
      <c r="H68" s="549"/>
      <c r="I68" s="549"/>
      <c r="J68" s="549"/>
      <c r="K68" s="550"/>
      <c r="L68" s="551"/>
      <c r="M68" s="552"/>
      <c r="N68" s="1154"/>
      <c r="O68" s="1154"/>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5"/>
      <c r="O69" s="1155"/>
      <c r="P69" s="2632"/>
      <c r="Q69" s="504"/>
    </row>
    <row r="70" spans="1:17" s="471" customFormat="1" ht="15.75" thickTop="1">
      <c r="A70" s="553"/>
      <c r="B70" s="538">
        <f>B12</f>
        <v>111</v>
      </c>
      <c r="C70" s="554"/>
      <c r="D70" s="554"/>
      <c r="E70" s="554"/>
      <c r="F70" s="554"/>
      <c r="G70" s="554"/>
      <c r="H70" s="555"/>
      <c r="I70" s="555"/>
      <c r="J70" s="555"/>
      <c r="K70" s="555"/>
      <c r="L70" s="556"/>
      <c r="M70" s="557"/>
      <c r="N70" s="1156"/>
      <c r="O70" s="1156"/>
      <c r="P70" s="2633"/>
      <c r="Q70" s="559"/>
    </row>
    <row r="71" spans="1:17" s="471" customFormat="1" ht="15.75" thickBot="1">
      <c r="A71" s="553"/>
      <c r="B71" s="543"/>
      <c r="C71" s="560"/>
      <c r="D71" s="536"/>
      <c r="E71" s="536"/>
      <c r="F71" s="536"/>
      <c r="G71" s="536"/>
      <c r="H71" s="536"/>
      <c r="I71" s="536"/>
      <c r="J71" s="536"/>
      <c r="K71" s="536"/>
      <c r="L71" s="536"/>
      <c r="M71" s="537"/>
      <c r="N71" s="1155"/>
      <c r="O71" s="1155"/>
      <c r="P71" s="2633"/>
      <c r="Q71" s="559"/>
    </row>
    <row r="72" spans="1:17" s="471" customFormat="1" ht="15.75" thickTop="1">
      <c r="A72" s="553"/>
      <c r="B72" s="538">
        <f>B13</f>
        <v>111</v>
      </c>
      <c r="C72" s="554"/>
      <c r="D72" s="554"/>
      <c r="E72" s="554"/>
      <c r="F72" s="554"/>
      <c r="G72" s="554"/>
      <c r="H72" s="555"/>
      <c r="I72" s="555"/>
      <c r="J72" s="555"/>
      <c r="K72" s="555"/>
      <c r="L72" s="556"/>
      <c r="M72" s="557"/>
      <c r="N72" s="1156"/>
      <c r="O72" s="1156"/>
      <c r="P72" s="2634"/>
      <c r="Q72" s="561"/>
    </row>
    <row r="73" spans="1:17" s="471" customFormat="1" ht="15.75" thickBot="1">
      <c r="A73" s="553"/>
      <c r="B73" s="543"/>
      <c r="C73" s="560"/>
      <c r="D73" s="560"/>
      <c r="E73" s="560"/>
      <c r="F73" s="560"/>
      <c r="G73" s="560"/>
      <c r="H73" s="562"/>
      <c r="I73" s="562"/>
      <c r="J73" s="562"/>
      <c r="K73" s="562"/>
      <c r="L73" s="562"/>
      <c r="M73" s="563"/>
      <c r="N73" s="1156"/>
      <c r="O73" s="1156"/>
      <c r="P73" s="2633"/>
      <c r="Q73" s="559"/>
    </row>
    <row r="74" spans="1:17" s="471" customFormat="1" ht="15.75" thickTop="1">
      <c r="A74" s="553"/>
      <c r="B74" s="546">
        <f>B14</f>
        <v>111</v>
      </c>
      <c r="C74" s="554"/>
      <c r="D74" s="554"/>
      <c r="E74" s="554"/>
      <c r="F74" s="554"/>
      <c r="G74" s="523"/>
      <c r="H74" s="564"/>
      <c r="I74" s="564"/>
      <c r="J74" s="564"/>
      <c r="K74" s="564"/>
      <c r="L74" s="565"/>
      <c r="M74" s="566"/>
      <c r="N74" s="1156"/>
      <c r="O74" s="1156"/>
      <c r="P74" s="2635"/>
      <c r="Q74" s="559"/>
    </row>
    <row r="75" spans="1:17" s="471" customFormat="1" ht="15.75" thickBot="1">
      <c r="A75" s="568"/>
      <c r="B75" s="569"/>
      <c r="C75" s="570"/>
      <c r="D75" s="570"/>
      <c r="E75" s="570"/>
      <c r="F75" s="570"/>
      <c r="G75" s="570"/>
      <c r="H75" s="571"/>
      <c r="I75" s="571"/>
      <c r="J75" s="571"/>
      <c r="K75" s="571"/>
      <c r="L75" s="571"/>
      <c r="M75" s="572"/>
      <c r="N75" s="1156"/>
      <c r="O75" s="1156"/>
      <c r="P75" s="2633"/>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4"/>
      <c r="O76" s="1154"/>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5"/>
      <c r="O77" s="1155"/>
      <c r="P77" s="2632"/>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4"/>
      <c r="O78" s="1154"/>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5"/>
      <c r="O79" s="1155"/>
      <c r="P79" s="2632"/>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4"/>
      <c r="O80" s="1154"/>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5"/>
      <c r="O81" s="1155"/>
      <c r="P81" s="2632"/>
      <c r="Q81" s="504"/>
    </row>
    <row r="82" spans="1:17" ht="15.75" thickTop="1">
      <c r="A82" s="534"/>
      <c r="B82" s="546" t="s">
        <v>2096</v>
      </c>
      <c r="C82" s="539" t="s">
        <v>2598</v>
      </c>
      <c r="D82" s="539" t="s">
        <v>2599</v>
      </c>
      <c r="E82" s="539" t="s">
        <v>2600</v>
      </c>
      <c r="F82" s="539" t="s">
        <v>2601</v>
      </c>
      <c r="G82" s="539" t="s">
        <v>2602</v>
      </c>
      <c r="H82" s="539"/>
      <c r="I82" s="539"/>
      <c r="J82" s="539"/>
      <c r="K82" s="539"/>
      <c r="L82" s="539"/>
      <c r="M82" s="1384"/>
      <c r="N82" s="1155"/>
      <c r="O82" s="1155"/>
      <c r="P82" s="2632"/>
      <c r="Q82" s="504"/>
    </row>
    <row r="83" spans="1:17" ht="15.75" thickBot="1">
      <c r="A83" s="534"/>
      <c r="B83" s="546"/>
      <c r="C83" s="659">
        <v>100</v>
      </c>
      <c r="D83" s="659">
        <f>C83-$K21</f>
        <v>100</v>
      </c>
      <c r="E83" s="659">
        <f t="shared" ref="E83:G83" si="23">D83-$K21</f>
        <v>100</v>
      </c>
      <c r="F83" s="659">
        <f t="shared" si="23"/>
        <v>100</v>
      </c>
      <c r="G83" s="659">
        <f t="shared" si="23"/>
        <v>100</v>
      </c>
      <c r="H83" s="659"/>
      <c r="I83" s="659"/>
      <c r="J83" s="659"/>
      <c r="K83" s="659"/>
      <c r="L83" s="659"/>
      <c r="M83" s="450"/>
      <c r="N83" s="1155"/>
      <c r="O83" s="1155"/>
      <c r="P83" s="2632"/>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4"/>
      <c r="O84" s="1154"/>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5"/>
      <c r="O85" s="1155"/>
      <c r="P85" s="2632"/>
      <c r="Q85" s="504"/>
    </row>
    <row r="86" spans="1:17" s="117" customFormat="1" ht="15.75" thickTop="1">
      <c r="A86" s="579"/>
      <c r="B86" s="538" t="s">
        <v>2604</v>
      </c>
      <c r="C86" s="554"/>
      <c r="D86" s="554"/>
      <c r="E86" s="554"/>
      <c r="F86" s="554"/>
      <c r="G86" s="554"/>
      <c r="H86" s="554"/>
      <c r="I86" s="554"/>
      <c r="J86" s="554"/>
      <c r="K86" s="554"/>
      <c r="L86" s="580"/>
      <c r="M86" s="581"/>
      <c r="N86" s="1153"/>
      <c r="O86" s="1153"/>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5"/>
      <c r="O87" s="1155"/>
      <c r="P87" s="2632"/>
      <c r="Q87" s="504"/>
    </row>
    <row r="88" spans="1:17" s="117" customFormat="1" ht="15.75" thickTop="1">
      <c r="A88" s="579"/>
      <c r="B88" s="538" t="s">
        <v>2605</v>
      </c>
      <c r="C88" s="554"/>
      <c r="D88" s="554"/>
      <c r="E88" s="554"/>
      <c r="F88" s="2637"/>
      <c r="G88" s="554"/>
      <c r="H88" s="554"/>
      <c r="I88" s="554"/>
      <c r="J88" s="554"/>
      <c r="K88" s="554"/>
      <c r="L88" s="554"/>
      <c r="M88" s="581"/>
      <c r="N88" s="1153"/>
      <c r="O88" s="1153"/>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5"/>
      <c r="O89" s="1155"/>
      <c r="P89" s="2632"/>
      <c r="Q89" s="504"/>
    </row>
    <row r="90" spans="1:17" s="471" customFormat="1" ht="15.75" thickTop="1">
      <c r="A90" s="553"/>
      <c r="B90" s="538">
        <f>B27</f>
        <v>111</v>
      </c>
      <c r="C90" s="554"/>
      <c r="D90" s="554"/>
      <c r="E90" s="554"/>
      <c r="F90" s="554"/>
      <c r="G90" s="554"/>
      <c r="H90" s="555"/>
      <c r="I90" s="555"/>
      <c r="J90" s="555"/>
      <c r="K90" s="555"/>
      <c r="L90" s="556"/>
      <c r="M90" s="557"/>
      <c r="N90" s="1156"/>
      <c r="O90" s="1156"/>
      <c r="P90" s="2633"/>
      <c r="Q90" s="559"/>
    </row>
    <row r="91" spans="1:17" s="471" customFormat="1" ht="15.75" thickBot="1">
      <c r="A91" s="553"/>
      <c r="B91" s="543"/>
      <c r="C91" s="560"/>
      <c r="D91" s="560"/>
      <c r="E91" s="560"/>
      <c r="F91" s="560"/>
      <c r="G91" s="560"/>
      <c r="H91" s="562"/>
      <c r="I91" s="562"/>
      <c r="J91" s="562"/>
      <c r="K91" s="562"/>
      <c r="L91" s="562"/>
      <c r="M91" s="563"/>
      <c r="N91" s="1156"/>
      <c r="O91" s="1156"/>
      <c r="P91" s="2633"/>
      <c r="Q91" s="559"/>
    </row>
    <row r="92" spans="1:17" ht="15.75" thickTop="1">
      <c r="A92" s="534"/>
      <c r="B92" s="538">
        <f>B28</f>
        <v>111</v>
      </c>
      <c r="C92" s="554"/>
      <c r="D92" s="554"/>
      <c r="E92" s="554"/>
      <c r="F92" s="554"/>
      <c r="G92" s="583"/>
      <c r="H92" s="583"/>
      <c r="I92" s="583"/>
      <c r="J92" s="583"/>
      <c r="K92" s="584"/>
      <c r="L92" s="585"/>
      <c r="M92" s="586"/>
      <c r="N92" s="1154"/>
      <c r="O92" s="1154"/>
      <c r="P92" s="2632"/>
      <c r="Q92" s="504"/>
    </row>
    <row r="93" spans="1:17" ht="15.75" thickBot="1">
      <c r="A93" s="534"/>
      <c r="B93" s="543"/>
      <c r="C93" s="560"/>
      <c r="D93" s="536"/>
      <c r="E93" s="536"/>
      <c r="F93" s="536"/>
      <c r="G93" s="536"/>
      <c r="H93" s="536"/>
      <c r="I93" s="536"/>
      <c r="J93" s="536"/>
      <c r="K93" s="536"/>
      <c r="L93" s="536"/>
      <c r="M93" s="537"/>
      <c r="N93" s="1155"/>
      <c r="O93" s="1155"/>
      <c r="P93" s="2632"/>
      <c r="Q93" s="504"/>
    </row>
    <row r="94" spans="1:17" ht="15.75" thickTop="1">
      <c r="A94" s="534"/>
      <c r="B94" s="538">
        <f>B29</f>
        <v>111</v>
      </c>
      <c r="C94" s="554"/>
      <c r="D94" s="554"/>
      <c r="E94" s="554"/>
      <c r="F94" s="554"/>
      <c r="G94" s="583"/>
      <c r="H94" s="583"/>
      <c r="I94" s="583"/>
      <c r="J94" s="583"/>
      <c r="K94" s="584"/>
      <c r="L94" s="585"/>
      <c r="M94" s="586"/>
      <c r="N94" s="1154"/>
      <c r="O94" s="1154"/>
      <c r="P94" s="2632"/>
      <c r="Q94" s="504"/>
    </row>
    <row r="95" spans="1:17" ht="15.75" thickBot="1">
      <c r="A95" s="534"/>
      <c r="B95" s="543"/>
      <c r="C95" s="560"/>
      <c r="D95" s="560"/>
      <c r="E95" s="560"/>
      <c r="F95" s="560"/>
      <c r="G95" s="536"/>
      <c r="H95" s="536"/>
      <c r="I95" s="536"/>
      <c r="J95" s="536"/>
      <c r="K95" s="536"/>
      <c r="L95" s="536"/>
      <c r="M95" s="537"/>
      <c r="N95" s="1155"/>
      <c r="O95" s="1155"/>
      <c r="P95" s="2632"/>
      <c r="Q95" s="504"/>
    </row>
    <row r="96" spans="1:17" ht="15.75" thickTop="1">
      <c r="A96" s="534"/>
      <c r="B96" s="538">
        <f>B30</f>
        <v>111</v>
      </c>
      <c r="C96" s="554"/>
      <c r="D96" s="554"/>
      <c r="E96" s="554"/>
      <c r="F96" s="554"/>
      <c r="G96" s="583"/>
      <c r="H96" s="583"/>
      <c r="I96" s="583"/>
      <c r="J96" s="583"/>
      <c r="K96" s="584"/>
      <c r="L96" s="585"/>
      <c r="M96" s="586"/>
      <c r="N96" s="1154"/>
      <c r="O96" s="1154"/>
      <c r="P96" s="2632"/>
      <c r="Q96" s="504"/>
    </row>
    <row r="97" spans="1:17" ht="15.75" thickBot="1">
      <c r="A97" s="534"/>
      <c r="B97" s="543"/>
      <c r="C97" s="570"/>
      <c r="D97" s="570"/>
      <c r="E97" s="570"/>
      <c r="F97" s="570"/>
      <c r="G97" s="536"/>
      <c r="H97" s="536"/>
      <c r="I97" s="536"/>
      <c r="J97" s="536"/>
      <c r="K97" s="536"/>
      <c r="L97" s="536"/>
      <c r="M97" s="537"/>
      <c r="N97" s="1155"/>
      <c r="O97" s="1155"/>
      <c r="P97" s="2632"/>
      <c r="Q97" s="504"/>
    </row>
    <row r="98" spans="1:17" ht="15.75" thickTop="1">
      <c r="A98" s="534"/>
      <c r="B98" s="546">
        <f>B31</f>
        <v>111</v>
      </c>
      <c r="C98" s="587"/>
      <c r="D98" s="587"/>
      <c r="E98" s="587"/>
      <c r="F98" s="587"/>
      <c r="G98" s="587"/>
      <c r="H98" s="587"/>
      <c r="I98" s="587"/>
      <c r="J98" s="587"/>
      <c r="K98" s="588"/>
      <c r="L98" s="589"/>
      <c r="M98" s="590"/>
      <c r="N98" s="1154"/>
      <c r="O98" s="1154"/>
      <c r="P98" s="2632"/>
      <c r="Q98" s="504"/>
    </row>
    <row r="99" spans="1:17" ht="15.75" thickBot="1">
      <c r="A99" s="2638"/>
      <c r="B99" s="569"/>
      <c r="C99" s="591"/>
      <c r="D99" s="591"/>
      <c r="E99" s="591"/>
      <c r="F99" s="591"/>
      <c r="G99" s="591"/>
      <c r="H99" s="591"/>
      <c r="I99" s="591"/>
      <c r="J99" s="591"/>
      <c r="K99" s="591"/>
      <c r="L99" s="591"/>
      <c r="M99" s="592"/>
      <c r="N99" s="1155"/>
      <c r="O99" s="1155"/>
      <c r="P99" s="2632"/>
      <c r="Q99" s="504"/>
    </row>
    <row r="100" spans="1:17">
      <c r="A100" s="527" t="s">
        <v>2557</v>
      </c>
      <c r="B100" s="528" t="s">
        <v>2606</v>
      </c>
      <c r="C100" s="530"/>
      <c r="D100" s="530"/>
      <c r="E100" s="530"/>
      <c r="F100" s="530"/>
      <c r="G100" s="530"/>
      <c r="H100" s="530"/>
      <c r="I100" s="530"/>
      <c r="J100" s="530"/>
      <c r="K100" s="531"/>
      <c r="L100" s="532"/>
      <c r="M100" s="533"/>
      <c r="N100" s="1154"/>
      <c r="O100" s="1154"/>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5"/>
      <c r="O101" s="1155"/>
      <c r="P101" s="2632"/>
      <c r="Q101" s="504"/>
    </row>
    <row r="102" spans="1:17" ht="15.75" thickTop="1">
      <c r="A102" s="534"/>
      <c r="B102" s="538" t="s">
        <v>2607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3"/>
      <c r="O102" s="1153"/>
      <c r="P102" s="2632"/>
      <c r="Q102" s="504"/>
    </row>
    <row r="103" spans="1:17" s="471" customFormat="1">
      <c r="A103" s="593"/>
      <c r="B103" s="594"/>
      <c r="C103" s="595"/>
      <c r="D103" s="595"/>
      <c r="E103" s="595"/>
      <c r="F103" s="595"/>
      <c r="G103" s="595"/>
      <c r="H103" s="595"/>
      <c r="I103" s="595"/>
      <c r="J103" s="596"/>
      <c r="K103" s="596"/>
      <c r="L103" s="597"/>
      <c r="M103" s="598"/>
      <c r="N103" s="1156"/>
      <c r="O103" s="1156"/>
      <c r="P103" s="2633"/>
      <c r="Q103" s="559"/>
    </row>
    <row r="104" spans="1:17" s="471" customFormat="1" ht="15.75" thickBot="1">
      <c r="A104" s="553"/>
      <c r="B104" s="543"/>
      <c r="C104" s="560"/>
      <c r="D104" s="536"/>
      <c r="E104" s="536"/>
      <c r="F104" s="536"/>
      <c r="G104" s="536"/>
      <c r="H104" s="536"/>
      <c r="I104" s="536"/>
      <c r="J104" s="536"/>
      <c r="K104" s="536"/>
      <c r="L104" s="536"/>
      <c r="M104" s="536"/>
      <c r="N104" s="1155"/>
      <c r="O104" s="1155"/>
      <c r="P104" s="2633"/>
      <c r="Q104" s="559"/>
    </row>
    <row r="105" spans="1:17" ht="15" thickTop="1">
      <c r="A105" s="599"/>
      <c r="B105" s="538" t="s">
        <v>2608</v>
      </c>
      <c r="C105" s="554"/>
      <c r="D105" s="554"/>
      <c r="E105" s="583"/>
      <c r="F105" s="583"/>
      <c r="G105" s="583"/>
      <c r="H105" s="583"/>
      <c r="I105" s="583"/>
      <c r="J105" s="583"/>
      <c r="K105" s="584"/>
      <c r="L105" s="585"/>
      <c r="M105" s="586"/>
      <c r="N105" s="1154"/>
      <c r="O105" s="1154"/>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5"/>
      <c r="O106" s="1155"/>
      <c r="P106" s="2632"/>
      <c r="Q106" s="504"/>
    </row>
    <row r="107" spans="1:17" ht="15" thickTop="1">
      <c r="A107" s="599"/>
      <c r="B107" s="538" t="s">
        <v>2609</v>
      </c>
      <c r="C107" s="583"/>
      <c r="D107" s="583"/>
      <c r="E107" s="583"/>
      <c r="F107" s="583"/>
      <c r="G107" s="583"/>
      <c r="H107" s="583"/>
      <c r="I107" s="583"/>
      <c r="J107" s="583"/>
      <c r="K107" s="584"/>
      <c r="L107" s="585"/>
      <c r="M107" s="586"/>
      <c r="N107" s="1154"/>
      <c r="O107" s="1154"/>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5"/>
      <c r="O108" s="1155"/>
      <c r="P108" s="2632"/>
      <c r="Q108" s="504"/>
    </row>
    <row r="109" spans="1:17" ht="15" thickTop="1">
      <c r="A109" s="599"/>
      <c r="B109" s="538" t="s">
        <v>2610</v>
      </c>
      <c r="C109" s="554"/>
      <c r="D109" s="554"/>
      <c r="E109" s="554"/>
      <c r="F109" s="583"/>
      <c r="G109" s="583"/>
      <c r="H109" s="583"/>
      <c r="I109" s="583"/>
      <c r="J109" s="583"/>
      <c r="K109" s="584"/>
      <c r="L109" s="585"/>
      <c r="M109" s="586"/>
      <c r="N109" s="1154"/>
      <c r="O109" s="1154"/>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5"/>
      <c r="O110" s="1155"/>
      <c r="P110" s="2632"/>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6"/>
      <c r="O111" s="1156"/>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6"/>
      <c r="O112" s="1156"/>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6"/>
      <c r="O113" s="1156"/>
      <c r="P113" s="2633"/>
      <c r="Q113" s="559"/>
    </row>
    <row r="114" spans="1:17" ht="15" thickTop="1">
      <c r="A114" s="599"/>
      <c r="B114" s="538" t="s">
        <v>2611</v>
      </c>
      <c r="C114" s="554"/>
      <c r="D114" s="554"/>
      <c r="E114" s="583"/>
      <c r="F114" s="583"/>
      <c r="G114" s="583"/>
      <c r="H114" s="583"/>
      <c r="I114" s="583"/>
      <c r="J114" s="583"/>
      <c r="K114" s="584"/>
      <c r="L114" s="585"/>
      <c r="M114" s="586"/>
      <c r="N114" s="1154"/>
      <c r="O114" s="1154"/>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5"/>
      <c r="O115" s="1155"/>
      <c r="P115" s="2632"/>
      <c r="Q115" s="504"/>
    </row>
    <row r="116" spans="1:17" ht="15" thickTop="1">
      <c r="A116" s="599"/>
      <c r="B116" s="538" t="s">
        <v>2612</v>
      </c>
      <c r="C116" s="554"/>
      <c r="D116" s="554"/>
      <c r="E116" s="554"/>
      <c r="F116" s="554"/>
      <c r="G116" s="554"/>
      <c r="H116" s="583"/>
      <c r="I116" s="583"/>
      <c r="J116" s="583"/>
      <c r="K116" s="584"/>
      <c r="L116" s="585"/>
      <c r="M116" s="586"/>
      <c r="N116" s="1154"/>
      <c r="O116" s="1154"/>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5"/>
      <c r="O117" s="1155"/>
      <c r="P117" s="2632"/>
      <c r="Q117" s="504"/>
    </row>
    <row r="118" spans="1:17" ht="15" thickTop="1">
      <c r="A118" s="599"/>
      <c r="B118" s="538" t="s">
        <v>2613</v>
      </c>
      <c r="C118" s="583"/>
      <c r="D118" s="583"/>
      <c r="E118" s="583"/>
      <c r="F118" s="583"/>
      <c r="G118" s="583"/>
      <c r="H118" s="583"/>
      <c r="I118" s="583"/>
      <c r="J118" s="583"/>
      <c r="K118" s="584"/>
      <c r="L118" s="585"/>
      <c r="M118" s="586"/>
      <c r="N118" s="1154"/>
      <c r="O118" s="1154"/>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5"/>
      <c r="O119" s="1155"/>
      <c r="P119" s="2632"/>
      <c r="Q119" s="504"/>
    </row>
    <row r="120" spans="1:17" s="471" customFormat="1" ht="28.5" thickTop="1">
      <c r="A120" s="593"/>
      <c r="B120" s="538" t="s">
        <v>2568</v>
      </c>
      <c r="C120" s="554"/>
      <c r="D120" s="554"/>
      <c r="E120" s="554"/>
      <c r="F120" s="554"/>
      <c r="G120" s="554"/>
      <c r="H120" s="554"/>
      <c r="I120" s="554"/>
      <c r="J120" s="554"/>
      <c r="K120" s="554"/>
      <c r="L120" s="580"/>
      <c r="M120" s="581"/>
      <c r="N120" s="1156"/>
      <c r="O120" s="1156"/>
      <c r="P120" s="2633"/>
      <c r="Q120" s="559"/>
    </row>
    <row r="121" spans="1:17" s="471" customFormat="1" ht="15.75" thickBot="1">
      <c r="A121" s="553"/>
      <c r="B121" s="535"/>
      <c r="C121" s="560"/>
      <c r="D121" s="536"/>
      <c r="E121" s="536"/>
      <c r="F121" s="536"/>
      <c r="G121" s="536"/>
      <c r="H121" s="536"/>
      <c r="I121" s="536"/>
      <c r="J121" s="536"/>
      <c r="K121" s="536"/>
      <c r="L121" s="536"/>
      <c r="M121" s="536"/>
      <c r="N121" s="1156"/>
      <c r="O121" s="1156"/>
      <c r="P121" s="2633"/>
      <c r="Q121" s="559"/>
    </row>
    <row r="122" spans="1:17" ht="15" thickTop="1">
      <c r="A122" s="599"/>
      <c r="B122" s="538" t="s">
        <v>2614</v>
      </c>
      <c r="C122" s="554"/>
      <c r="D122" s="554"/>
      <c r="E122" s="554"/>
      <c r="F122" s="583"/>
      <c r="G122" s="583"/>
      <c r="H122" s="583"/>
      <c r="I122" s="583"/>
      <c r="J122" s="583"/>
      <c r="K122" s="584"/>
      <c r="L122" s="585"/>
      <c r="M122" s="586"/>
      <c r="N122" s="1154"/>
      <c r="O122" s="1154"/>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5"/>
      <c r="O123" s="1155"/>
      <c r="P123" s="2632"/>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4"/>
      <c r="O124" s="1154"/>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5"/>
      <c r="O125" s="1155"/>
      <c r="P125" s="2632"/>
      <c r="Q125" s="504"/>
    </row>
    <row r="126" spans="1:17" s="471" customFormat="1" ht="15" thickTop="1">
      <c r="A126" s="593"/>
      <c r="B126" s="538">
        <f>B44</f>
        <v>111</v>
      </c>
      <c r="C126" s="554"/>
      <c r="D126" s="554"/>
      <c r="E126" s="554"/>
      <c r="F126" s="554"/>
      <c r="G126" s="554"/>
      <c r="H126" s="555"/>
      <c r="I126" s="555"/>
      <c r="J126" s="555"/>
      <c r="K126" s="555"/>
      <c r="L126" s="556"/>
      <c r="M126" s="557"/>
      <c r="N126" s="1156"/>
      <c r="O126" s="1156"/>
      <c r="P126" s="2633"/>
      <c r="Q126" s="559"/>
    </row>
    <row r="127" spans="1:17" s="471" customFormat="1" ht="15.75" thickBot="1">
      <c r="A127" s="553"/>
      <c r="B127" s="543"/>
      <c r="C127" s="560"/>
      <c r="D127" s="536"/>
      <c r="E127" s="536"/>
      <c r="F127" s="536"/>
      <c r="G127" s="560"/>
      <c r="H127" s="562"/>
      <c r="I127" s="562"/>
      <c r="J127" s="562"/>
      <c r="K127" s="562"/>
      <c r="L127" s="562"/>
      <c r="M127" s="563"/>
      <c r="N127" s="1156"/>
      <c r="O127" s="1156"/>
      <c r="P127" s="2633"/>
      <c r="Q127" s="559"/>
    </row>
    <row r="128" spans="1:17" ht="15" thickTop="1">
      <c r="A128" s="599"/>
      <c r="B128" s="538">
        <f>B45</f>
        <v>111</v>
      </c>
      <c r="C128" s="554"/>
      <c r="D128" s="554"/>
      <c r="E128" s="554"/>
      <c r="F128" s="554"/>
      <c r="G128" s="583"/>
      <c r="H128" s="583"/>
      <c r="I128" s="583"/>
      <c r="J128" s="583"/>
      <c r="K128" s="584"/>
      <c r="L128" s="585"/>
      <c r="M128" s="586"/>
      <c r="N128" s="1154"/>
      <c r="O128" s="1154"/>
      <c r="P128" s="2632"/>
      <c r="Q128" s="504"/>
    </row>
    <row r="129" spans="1:17" ht="15.75" thickBot="1">
      <c r="A129" s="534"/>
      <c r="B129" s="543"/>
      <c r="C129" s="560"/>
      <c r="D129" s="560"/>
      <c r="E129" s="560"/>
      <c r="F129" s="560"/>
      <c r="G129" s="536"/>
      <c r="H129" s="536"/>
      <c r="I129" s="536"/>
      <c r="J129" s="536"/>
      <c r="K129" s="536"/>
      <c r="L129" s="536"/>
      <c r="M129" s="537"/>
      <c r="N129" s="1155"/>
      <c r="O129" s="1155"/>
      <c r="P129" s="2632"/>
      <c r="Q129" s="504"/>
    </row>
    <row r="130" spans="1:17" ht="15" thickTop="1">
      <c r="A130" s="599"/>
      <c r="B130" s="546">
        <f>B46</f>
        <v>111</v>
      </c>
      <c r="C130" s="554"/>
      <c r="D130" s="554"/>
      <c r="E130" s="554"/>
      <c r="F130" s="554"/>
      <c r="G130" s="587"/>
      <c r="H130" s="587"/>
      <c r="I130" s="587"/>
      <c r="J130" s="587"/>
      <c r="K130" s="523"/>
      <c r="L130" s="524"/>
      <c r="M130" s="590"/>
      <c r="N130" s="1154"/>
      <c r="O130" s="1154"/>
      <c r="P130" s="2632"/>
      <c r="Q130" s="504"/>
    </row>
    <row r="131" spans="1:17" ht="15.75" thickBot="1">
      <c r="A131" s="2638"/>
      <c r="B131" s="569"/>
      <c r="C131" s="570"/>
      <c r="D131" s="570"/>
      <c r="E131" s="570"/>
      <c r="F131" s="570"/>
      <c r="G131" s="591"/>
      <c r="H131" s="591"/>
      <c r="I131" s="591"/>
      <c r="J131" s="591"/>
      <c r="K131" s="591"/>
      <c r="L131" s="591"/>
      <c r="M131" s="592"/>
      <c r="N131" s="1155"/>
      <c r="O131" s="1155"/>
      <c r="P131" s="2632"/>
      <c r="Q131" s="504"/>
    </row>
    <row r="136" spans="1:17" ht="15" thickBot="1">
      <c r="B136" s="2639" t="s">
        <v>2616</v>
      </c>
    </row>
    <row r="137" spans="1:17" ht="15">
      <c r="B137" s="2640" t="s">
        <v>2617</v>
      </c>
      <c r="C137" s="2641"/>
      <c r="D137" s="2641"/>
      <c r="E137" s="2641"/>
      <c r="F137" s="2641"/>
      <c r="G137" s="2642"/>
      <c r="H137" s="2643"/>
      <c r="I137" s="2644" t="s">
        <v>2618</v>
      </c>
      <c r="J137" s="2641"/>
      <c r="K137" s="2645"/>
    </row>
    <row r="138" spans="1:17" ht="15">
      <c r="B138" s="2646"/>
      <c r="C138" s="146" t="s">
        <v>2619</v>
      </c>
      <c r="D138" s="146" t="s">
        <v>2620</v>
      </c>
      <c r="E138" s="2647" t="s">
        <v>2621</v>
      </c>
      <c r="F138" s="2648" t="s">
        <v>2622</v>
      </c>
      <c r="G138" s="146" t="s">
        <v>2620</v>
      </c>
      <c r="H138" s="147" t="s">
        <v>2621</v>
      </c>
      <c r="I138" s="2649"/>
      <c r="J138" s="146" t="s">
        <v>2623</v>
      </c>
      <c r="K138" s="147" t="s">
        <v>2624</v>
      </c>
    </row>
    <row r="139" spans="1:17" ht="15">
      <c r="B139" s="1086">
        <v>6</v>
      </c>
      <c r="C139" s="1087">
        <v>96</v>
      </c>
      <c r="D139" s="2650" t="s">
        <v>2625</v>
      </c>
      <c r="E139" s="1088">
        <v>100</v>
      </c>
      <c r="F139" s="1089">
        <v>102.5</v>
      </c>
      <c r="G139" s="2650" t="s">
        <v>2625</v>
      </c>
      <c r="H139" s="1090">
        <v>105</v>
      </c>
      <c r="I139" s="2651" t="s">
        <v>2626</v>
      </c>
      <c r="J139" s="1087">
        <v>20</v>
      </c>
      <c r="K139" s="1091">
        <f>C145/(J139-2)</f>
        <v>4.0555555555555553E-3</v>
      </c>
    </row>
    <row r="140" spans="1:17" ht="15">
      <c r="B140" s="1092">
        <v>5</v>
      </c>
      <c r="C140" s="1093">
        <v>100</v>
      </c>
      <c r="D140" s="1093"/>
      <c r="E140" s="1094"/>
      <c r="F140" s="1095">
        <v>102</v>
      </c>
      <c r="G140" s="1093"/>
      <c r="H140" s="1096"/>
      <c r="I140" s="2652" t="s">
        <v>2627</v>
      </c>
      <c r="J140" s="315">
        <f>ROUNDUP((J139-1)/2,0)</f>
        <v>10</v>
      </c>
      <c r="K140" s="1097">
        <v>100</v>
      </c>
    </row>
    <row r="141" spans="1:17" ht="15">
      <c r="B141" s="1092">
        <v>4</v>
      </c>
      <c r="C141" s="1093">
        <v>102</v>
      </c>
      <c r="D141" s="1093"/>
      <c r="E141" s="1094"/>
      <c r="F141" s="1095">
        <v>101.5</v>
      </c>
      <c r="G141" s="1093"/>
      <c r="H141" s="1096"/>
      <c r="I141" s="2652" t="s">
        <v>2628</v>
      </c>
      <c r="J141" s="315">
        <v>1</v>
      </c>
      <c r="K141" s="1098">
        <f>ROUND(100+(J141-J140)*K139*100,1)</f>
        <v>96.4</v>
      </c>
    </row>
    <row r="142" spans="1:17" ht="15">
      <c r="B142" s="1092">
        <v>3</v>
      </c>
      <c r="C142" s="1093">
        <v>103</v>
      </c>
      <c r="D142" s="1093"/>
      <c r="E142" s="1094"/>
      <c r="F142" s="1095">
        <v>101</v>
      </c>
      <c r="G142" s="1093"/>
      <c r="H142" s="1096"/>
      <c r="I142" s="2652" t="s">
        <v>2629</v>
      </c>
      <c r="J142" s="315">
        <f>J139</f>
        <v>20</v>
      </c>
      <c r="K142" s="1099">
        <v>95</v>
      </c>
    </row>
    <row r="143" spans="1:17" ht="15">
      <c r="B143" s="1092">
        <v>2</v>
      </c>
      <c r="C143" s="1093">
        <v>100</v>
      </c>
      <c r="D143" s="1093"/>
      <c r="E143" s="1094"/>
      <c r="F143" s="1095">
        <v>100.5</v>
      </c>
      <c r="G143" s="1093"/>
      <c r="H143" s="1096"/>
      <c r="I143" s="2652" t="s">
        <v>2630</v>
      </c>
      <c r="J143" s="1093">
        <v>15</v>
      </c>
      <c r="K143" s="1098">
        <f>ROUND(100+(J143-J140)*K139*100,1)</f>
        <v>102</v>
      </c>
    </row>
    <row r="144" spans="1:17" ht="15">
      <c r="B144" s="1092">
        <v>1</v>
      </c>
      <c r="C144" s="1093">
        <v>98</v>
      </c>
      <c r="D144" s="2653" t="s">
        <v>2631</v>
      </c>
      <c r="E144" s="1094">
        <v>102</v>
      </c>
      <c r="F144" s="1100">
        <v>100</v>
      </c>
      <c r="G144" s="2653" t="s">
        <v>2631</v>
      </c>
      <c r="H144" s="1096">
        <v>105</v>
      </c>
      <c r="I144" s="2652" t="s">
        <v>2630</v>
      </c>
      <c r="J144" s="1093">
        <v>18</v>
      </c>
      <c r="K144" s="1098">
        <f>ROUND(100+(J144-J140)*K139*100,1)</f>
        <v>103.2</v>
      </c>
    </row>
    <row r="145" spans="2:11" ht="15.75" thickBot="1">
      <c r="B145" s="2654" t="s">
        <v>2632</v>
      </c>
      <c r="C145" s="1101">
        <f>ROUND(MAX(C139:C144)/MIN(C139:C144)-1,3)</f>
        <v>7.2999999999999995E-2</v>
      </c>
      <c r="D145" s="1102"/>
      <c r="E145" s="1102"/>
      <c r="F145" s="2655" t="s">
        <v>2633</v>
      </c>
      <c r="G145" s="2656"/>
      <c r="H145" s="2657"/>
      <c r="I145" s="2658" t="s">
        <v>2630</v>
      </c>
      <c r="J145" s="1103">
        <v>8</v>
      </c>
      <c r="K145" s="1104">
        <f>ROUND(100+(J145-J140)*K139*100,1)</f>
        <v>99.2</v>
      </c>
    </row>
    <row r="147" spans="2:11">
      <c r="B147" s="2639" t="s">
        <v>2634</v>
      </c>
    </row>
    <row r="148" spans="2:11">
      <c r="B148" s="2639"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2522</v>
      </c>
      <c r="B1" s="2671" t="s">
        <v>2680</v>
      </c>
      <c r="C1" s="1622" t="s">
        <v>2524</v>
      </c>
      <c r="D1" s="1623"/>
      <c r="E1" s="1632"/>
      <c r="F1" s="2586"/>
      <c r="G1" s="1633" t="s">
        <v>2637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2321</v>
      </c>
      <c r="B2" s="1420" t="e">
        <f ca="1">IF(C2="——",ROUND(C50*D3/10000,0),ROUND(C50*D3/10000,0)-D2)</f>
        <v>#DIV/0!</v>
      </c>
      <c r="C2" s="2588"/>
      <c r="D2" s="1367" t="e">
        <f ca="1">SUMIF(INDIRECT("'"&amp;F2&amp;"'"&amp;"!A:A"),"承租人权益价值",INDIRECT("'"&amp;F2&amp;"'"&amp;"!c:c"))</f>
        <v>#REF!</v>
      </c>
      <c r="E2" s="2589" t="s">
        <v>2322</v>
      </c>
      <c r="F2" s="2590"/>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2323</v>
      </c>
      <c r="B3" s="609" t="e">
        <f ca="1">IF(C2="——",C50,ROUND(B2*10000/D3,0))</f>
        <v>#DIV/0!</v>
      </c>
      <c r="C3" s="400" t="s">
        <v>2638</v>
      </c>
      <c r="D3" s="399">
        <f>IF(D1="",'数据-汇总表'!E3,SUMIF('数据-汇总表'!$C19:$C33,D1,'数据-汇总表'!$E19:$E33))</f>
        <v>1380.28</v>
      </c>
      <c r="E3" s="2665"/>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67" t="s">
        <v>2645</v>
      </c>
      <c r="Q4" s="3268"/>
      <c r="R4" s="3262" t="s">
        <v>2641</v>
      </c>
      <c r="S4" s="3263"/>
      <c r="T4" s="3262" t="s">
        <v>2642</v>
      </c>
      <c r="U4" s="3263"/>
      <c r="V4" s="3271" t="s">
        <v>2643</v>
      </c>
      <c r="W4" s="3271"/>
      <c r="X4" s="2672"/>
      <c r="Y4" s="3262" t="s">
        <v>2645</v>
      </c>
      <c r="Z4" s="3263"/>
      <c r="AA4" s="3261" t="s">
        <v>2641</v>
      </c>
      <c r="AB4" s="3261" t="s">
        <v>2642</v>
      </c>
      <c r="AC4" s="3264" t="s">
        <v>2643</v>
      </c>
    </row>
    <row r="5" spans="1:29" ht="15">
      <c r="A5" s="404"/>
      <c r="B5" s="405"/>
      <c r="C5" s="3192" t="s">
        <v>2536</v>
      </c>
      <c r="D5" s="3193"/>
      <c r="E5" s="3260" t="s">
        <v>2537</v>
      </c>
      <c r="F5" s="3191"/>
      <c r="G5" s="3192" t="s">
        <v>2538</v>
      </c>
      <c r="H5" s="3193"/>
      <c r="I5" s="3192" t="s">
        <v>2539</v>
      </c>
      <c r="J5" s="3193"/>
      <c r="K5" s="610"/>
      <c r="L5" s="1132"/>
      <c r="M5" s="1133"/>
      <c r="N5" s="1133"/>
      <c r="O5" s="1133"/>
      <c r="P5" s="3269"/>
      <c r="Q5" s="3209"/>
      <c r="R5" s="3188"/>
      <c r="S5" s="3189"/>
      <c r="T5" s="3188"/>
      <c r="U5" s="3189"/>
      <c r="V5" s="3183"/>
      <c r="W5" s="3183"/>
      <c r="X5" s="1815"/>
      <c r="Y5" s="3188"/>
      <c r="Z5" s="3189"/>
      <c r="AA5" s="3181"/>
      <c r="AB5" s="3181"/>
      <c r="AC5" s="3265"/>
    </row>
    <row r="6" spans="1:29" ht="15.75" thickBot="1">
      <c r="A6" s="406"/>
      <c r="B6" s="407"/>
      <c r="C6" s="3194" t="s">
        <v>2540</v>
      </c>
      <c r="D6" s="3195"/>
      <c r="E6" s="3197" t="s">
        <v>2540</v>
      </c>
      <c r="F6" s="3198"/>
      <c r="G6" s="3194" t="s">
        <v>2540</v>
      </c>
      <c r="H6" s="3195"/>
      <c r="I6" s="3194" t="s">
        <v>2540</v>
      </c>
      <c r="J6" s="3195"/>
      <c r="K6" s="610" t="s">
        <v>2541</v>
      </c>
      <c r="L6" s="1132"/>
      <c r="M6" s="1133"/>
      <c r="N6" s="1133"/>
      <c r="O6" s="1133"/>
      <c r="P6" s="3270"/>
      <c r="Q6" s="3211"/>
      <c r="R6" s="3188"/>
      <c r="S6" s="3189"/>
      <c r="T6" s="3212"/>
      <c r="U6" s="3213"/>
      <c r="V6" s="3183"/>
      <c r="W6" s="3183"/>
      <c r="X6" s="1815"/>
      <c r="Y6" s="3212"/>
      <c r="Z6" s="3213"/>
      <c r="AA6" s="3182"/>
      <c r="AB6" s="3182"/>
      <c r="AC6" s="3266"/>
    </row>
    <row r="7" spans="1:29" s="117" customFormat="1" ht="15.75" thickBot="1">
      <c r="A7" s="408" t="s">
        <v>2542</v>
      </c>
      <c r="B7" s="409"/>
      <c r="C7" s="410">
        <f>'数据-取费表'!B2</f>
        <v>43321</v>
      </c>
      <c r="D7" s="411">
        <v>100</v>
      </c>
      <c r="E7" s="412"/>
      <c r="F7" s="413">
        <f>SUMIF(59:59,YEAR(E7)&amp;"-"&amp;MONTH(E7),60:60)</f>
        <v>0</v>
      </c>
      <c r="G7" s="412"/>
      <c r="H7" s="411">
        <f>SUMIF(59:59,YEAR(G7)&amp;"-"&amp;MONTH(G7),60:60)</f>
        <v>0</v>
      </c>
      <c r="I7" s="412"/>
      <c r="J7" s="411">
        <f>SUMIF(59:59,YEAR(I7)&amp;"-"&amp;MONTH(I7),60:60)</f>
        <v>0</v>
      </c>
      <c r="K7" s="611"/>
      <c r="L7" s="1134"/>
      <c r="M7" s="1135"/>
      <c r="N7" s="1135"/>
      <c r="O7" s="1135"/>
      <c r="P7" s="3272" t="s">
        <v>2543</v>
      </c>
      <c r="Q7" s="3214"/>
      <c r="R7" s="769" t="s">
        <v>17</v>
      </c>
      <c r="S7" s="770">
        <f t="shared" ref="S7:S15" si="0">F7</f>
        <v>0</v>
      </c>
      <c r="T7" s="769" t="s">
        <v>17</v>
      </c>
      <c r="U7" s="770">
        <f t="shared" ref="U7:U15" si="1">H7</f>
        <v>0</v>
      </c>
      <c r="V7" s="769" t="s">
        <v>17</v>
      </c>
      <c r="W7" s="770">
        <f t="shared" ref="W7:W15" si="2">J7</f>
        <v>0</v>
      </c>
      <c r="X7" s="771"/>
      <c r="Y7" s="3184" t="s">
        <v>2543</v>
      </c>
      <c r="Z7" s="3185"/>
      <c r="AA7" s="772" t="e">
        <f>D7/F7</f>
        <v>#DIV/0!</v>
      </c>
      <c r="AB7" s="772" t="e">
        <f>D7/H7</f>
        <v>#DIV/0!</v>
      </c>
      <c r="AC7" s="2673" t="e">
        <f>D7/J7</f>
        <v>#DIV/0!</v>
      </c>
    </row>
    <row r="8" spans="1:29" s="117" customFormat="1" ht="15.75" thickBot="1">
      <c r="A8" s="408" t="s">
        <v>2544</v>
      </c>
      <c r="B8" s="409"/>
      <c r="C8" s="414" t="s">
        <v>2646</v>
      </c>
      <c r="D8" s="411">
        <v>100</v>
      </c>
      <c r="E8" s="414"/>
      <c r="F8" s="413">
        <f>SUMIF(62:62,E8,63:63)-SUMIF(62:62,C8,63:63)+100</f>
        <v>0</v>
      </c>
      <c r="G8" s="414"/>
      <c r="H8" s="411">
        <f>SUMIF(62:62,G8,63:63)-SUMIF(62:62,C8,63:63)+100</f>
        <v>0</v>
      </c>
      <c r="I8" s="414"/>
      <c r="J8" s="411">
        <f>SUMIF(62:62,I8,63:63)-SUMIF(62:62,C8,63:63)+100</f>
        <v>0</v>
      </c>
      <c r="K8" s="611"/>
      <c r="L8" s="1134"/>
      <c r="M8" s="1135"/>
      <c r="N8" s="1135"/>
      <c r="O8" s="1135"/>
      <c r="P8" s="3272" t="s">
        <v>2546</v>
      </c>
      <c r="Q8" s="3185"/>
      <c r="R8" s="769" t="s">
        <v>17</v>
      </c>
      <c r="S8" s="770">
        <f t="shared" si="0"/>
        <v>0</v>
      </c>
      <c r="T8" s="769" t="s">
        <v>17</v>
      </c>
      <c r="U8" s="770">
        <f t="shared" si="1"/>
        <v>0</v>
      </c>
      <c r="V8" s="769" t="s">
        <v>17</v>
      </c>
      <c r="W8" s="770">
        <f t="shared" si="2"/>
        <v>0</v>
      </c>
      <c r="X8" s="771"/>
      <c r="Y8" s="3184" t="s">
        <v>2546</v>
      </c>
      <c r="Z8" s="3185"/>
      <c r="AA8" s="772" t="e">
        <f t="shared" ref="AA8:AA47" si="3">D8/F8</f>
        <v>#DIV/0!</v>
      </c>
      <c r="AB8" s="772" t="e">
        <f t="shared" ref="AB8:AB47" si="4">D8/H8</f>
        <v>#DIV/0!</v>
      </c>
      <c r="AC8" s="2673" t="e">
        <f t="shared" ref="AC8:AC47" si="5">D8/J8</f>
        <v>#DIV/0!</v>
      </c>
    </row>
    <row r="9" spans="1:29" s="117" customFormat="1">
      <c r="A9" s="415" t="s">
        <v>2547</v>
      </c>
      <c r="B9" s="71" t="s">
        <v>2548</v>
      </c>
      <c r="C9" s="416"/>
      <c r="D9" s="135">
        <v>100</v>
      </c>
      <c r="E9" s="419"/>
      <c r="F9" s="135">
        <f>SUMIF(64:64,E9,65:65)-SUMIF(64:64,C9,65:65)+100</f>
        <v>100</v>
      </c>
      <c r="G9" s="417"/>
      <c r="H9" s="135">
        <f>SUMIF(64:64,G9,65:65)-SUMIF(64:64,C9,65:65)+100</f>
        <v>100</v>
      </c>
      <c r="I9" s="417"/>
      <c r="J9" s="135">
        <f>SUMIF(64:64,I9,65:65)-SUMIF(64:64,C9,65:65)+100</f>
        <v>100</v>
      </c>
      <c r="K9" s="611"/>
      <c r="L9" s="1134"/>
      <c r="M9" s="1135"/>
      <c r="N9" s="1135"/>
      <c r="O9" s="1135"/>
      <c r="P9" s="3201"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2673">
        <f t="shared" si="5"/>
        <v>1</v>
      </c>
    </row>
    <row r="10" spans="1:29" s="427" customFormat="1" ht="27">
      <c r="A10" s="421"/>
      <c r="B10" s="422" t="s">
        <v>2551</v>
      </c>
      <c r="C10" s="423"/>
      <c r="D10" s="136">
        <v>100</v>
      </c>
      <c r="E10" s="423"/>
      <c r="F10" s="136">
        <f>SUMIF(66:66,E10,67:67)-SUMIF(66:66,C10,67:67)+100</f>
        <v>100</v>
      </c>
      <c r="G10" s="424"/>
      <c r="H10" s="136">
        <f>SUMIF(66:66,G10,67:67)-SUMIF(66:66,C10,67:67)+100</f>
        <v>100</v>
      </c>
      <c r="I10" s="423"/>
      <c r="J10" s="136">
        <f>SUMIF(66:66,I10,67:67)-SUMIF(66:66,C10,67:67)+100</f>
        <v>100</v>
      </c>
      <c r="K10" s="612"/>
      <c r="L10" s="1137"/>
      <c r="M10" s="1138"/>
      <c r="N10" s="1138"/>
      <c r="O10" s="1138"/>
      <c r="P10" s="3201"/>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2673">
        <f t="shared" si="5"/>
        <v>1</v>
      </c>
    </row>
    <row r="11" spans="1:29" ht="15">
      <c r="A11" s="428"/>
      <c r="B11" s="422" t="s">
        <v>2552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0"/>
      <c r="M11" s="1133"/>
      <c r="N11" s="1133"/>
      <c r="O11" s="1133"/>
      <c r="P11" s="3201"/>
      <c r="Q11" s="1797"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4"/>
      <c r="M12" s="1135"/>
      <c r="N12" s="1135"/>
      <c r="O12" s="1135"/>
      <c r="P12" s="3201"/>
      <c r="Q12" s="1797">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2"/>
      <c r="M13" s="1133"/>
      <c r="N13" s="1133"/>
      <c r="O13" s="1133"/>
      <c r="P13" s="3201"/>
      <c r="Q13" s="1797">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2673">
        <f t="shared" si="5"/>
        <v>1</v>
      </c>
    </row>
    <row r="14" spans="1:29" ht="15.75" thickBot="1">
      <c r="A14" s="436"/>
      <c r="B14" s="2604">
        <v>111</v>
      </c>
      <c r="C14" s="437"/>
      <c r="D14" s="438">
        <v>100</v>
      </c>
      <c r="E14" s="627"/>
      <c r="F14" s="438">
        <f>SUMIF(75:75,E14,76:76)-SUMIF(75:75,C14,76:76)+100</f>
        <v>100</v>
      </c>
      <c r="G14" s="2674"/>
      <c r="H14" s="438">
        <f>SUMIF(75:75,G14,76:76)-SUMIF(75:75,C14,76:76)+100</f>
        <v>100</v>
      </c>
      <c r="I14" s="432"/>
      <c r="J14" s="438">
        <f>SUMIF(75:75,I14,76:76)-SUMIF(75:75,C14,76:76)+100</f>
        <v>100</v>
      </c>
      <c r="K14" s="613"/>
      <c r="L14" s="1142"/>
      <c r="M14" s="1133"/>
      <c r="N14" s="1133"/>
      <c r="O14" s="1133"/>
      <c r="P14" s="3201"/>
      <c r="Q14" s="1797">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2673">
        <f t="shared" si="5"/>
        <v>1</v>
      </c>
    </row>
    <row r="15" spans="1:29" ht="71.25">
      <c r="A15" s="440" t="s">
        <v>2553</v>
      </c>
      <c r="B15" s="628" t="s">
        <v>2681</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2"/>
      <c r="M15" s="1133"/>
      <c r="N15" s="1133"/>
      <c r="O15" s="1133"/>
      <c r="P15" s="3215" t="s">
        <v>2554</v>
      </c>
      <c r="Q15" s="1812" t="str">
        <f t="shared" si="6"/>
        <v>办公集聚程度</v>
      </c>
      <c r="R15" s="773" t="s">
        <v>17</v>
      </c>
      <c r="S15" s="774">
        <f t="shared" si="0"/>
        <v>100</v>
      </c>
      <c r="T15" s="773" t="s">
        <v>17</v>
      </c>
      <c r="U15" s="774">
        <f t="shared" si="1"/>
        <v>100</v>
      </c>
      <c r="V15" s="773" t="s">
        <v>17</v>
      </c>
      <c r="W15" s="774">
        <f t="shared" si="2"/>
        <v>100</v>
      </c>
      <c r="X15" s="1815"/>
      <c r="Y15" s="3217" t="s">
        <v>2554</v>
      </c>
      <c r="Z15" s="1816" t="str">
        <f t="shared" si="7"/>
        <v>办公集聚程度</v>
      </c>
      <c r="AA15" s="1813">
        <f t="shared" si="3"/>
        <v>1</v>
      </c>
      <c r="AB15" s="1813">
        <f t="shared" si="4"/>
        <v>1</v>
      </c>
      <c r="AC15" s="2676">
        <f t="shared" si="5"/>
        <v>1</v>
      </c>
    </row>
    <row r="16" spans="1:29" ht="15">
      <c r="A16" s="428"/>
      <c r="B16" s="629"/>
      <c r="C16" s="2613"/>
      <c r="D16" s="448"/>
      <c r="E16" s="447"/>
      <c r="F16" s="448"/>
      <c r="G16" s="2613"/>
      <c r="H16" s="450"/>
      <c r="I16" s="447"/>
      <c r="J16" s="448"/>
      <c r="K16" s="615"/>
      <c r="L16" s="1142"/>
      <c r="M16" s="1133"/>
      <c r="N16" s="1133"/>
      <c r="O16" s="1133"/>
      <c r="P16" s="3216"/>
      <c r="Q16" s="1812"/>
      <c r="R16" s="773"/>
      <c r="S16" s="774"/>
      <c r="T16" s="773"/>
      <c r="U16" s="774"/>
      <c r="V16" s="773"/>
      <c r="W16" s="774"/>
      <c r="X16" s="1815"/>
      <c r="Y16" s="3218"/>
      <c r="Z16" s="1816"/>
      <c r="AA16" s="1813">
        <v>1</v>
      </c>
      <c r="AB16" s="1813">
        <v>1</v>
      </c>
      <c r="AC16" s="2676">
        <v>1</v>
      </c>
    </row>
    <row r="17" spans="1:29" ht="71.25">
      <c r="A17" s="428"/>
      <c r="B17" s="630" t="s">
        <v>2095</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2"/>
      <c r="M17" s="1133"/>
      <c r="N17" s="1133"/>
      <c r="O17" s="1133"/>
      <c r="P17" s="3216"/>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2676">
        <f t="shared" si="5"/>
        <v>1</v>
      </c>
    </row>
    <row r="18" spans="1:29" ht="15">
      <c r="A18" s="428"/>
      <c r="B18" s="631"/>
      <c r="C18" s="2678"/>
      <c r="D18" s="450"/>
      <c r="E18" s="2611"/>
      <c r="F18" s="450"/>
      <c r="G18" s="2612"/>
      <c r="H18" s="448"/>
      <c r="I18" s="2612"/>
      <c r="J18" s="448"/>
      <c r="K18" s="615"/>
      <c r="L18" s="1142"/>
      <c r="M18" s="1133"/>
      <c r="N18" s="1133"/>
      <c r="O18" s="1133"/>
      <c r="P18" s="3216"/>
      <c r="Q18" s="1812"/>
      <c r="R18" s="773"/>
      <c r="S18" s="774"/>
      <c r="T18" s="773"/>
      <c r="U18" s="774"/>
      <c r="V18" s="773"/>
      <c r="W18" s="774"/>
      <c r="X18" s="1815"/>
      <c r="Y18" s="3218"/>
      <c r="Z18" s="1816"/>
      <c r="AA18" s="1813">
        <v>1</v>
      </c>
      <c r="AB18" s="1813">
        <v>1</v>
      </c>
      <c r="AC18" s="2676">
        <v>1</v>
      </c>
    </row>
    <row r="19" spans="1:29" ht="42.75">
      <c r="A19" s="428"/>
      <c r="B19" s="630" t="s">
        <v>2682</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2"/>
      <c r="M19" s="1133"/>
      <c r="N19" s="1133"/>
      <c r="O19" s="1133"/>
      <c r="P19" s="3216"/>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2676">
        <f t="shared" si="5"/>
        <v>1</v>
      </c>
    </row>
    <row r="20" spans="1:29" ht="15">
      <c r="A20" s="428"/>
      <c r="B20" s="631"/>
      <c r="C20" s="2613"/>
      <c r="D20" s="448"/>
      <c r="E20" s="2606"/>
      <c r="F20" s="448"/>
      <c r="G20" s="2607"/>
      <c r="H20" s="448"/>
      <c r="I20" s="2607"/>
      <c r="J20" s="448"/>
      <c r="K20" s="615"/>
      <c r="L20" s="1142"/>
      <c r="M20" s="1133"/>
      <c r="N20" s="1133"/>
      <c r="O20" s="1133"/>
      <c r="P20" s="3216"/>
      <c r="Q20" s="1812"/>
      <c r="R20" s="773"/>
      <c r="S20" s="774"/>
      <c r="T20" s="773"/>
      <c r="U20" s="774"/>
      <c r="V20" s="773"/>
      <c r="W20" s="774"/>
      <c r="X20" s="1815"/>
      <c r="Y20" s="3218"/>
      <c r="Z20" s="1816"/>
      <c r="AA20" s="1813">
        <v>1</v>
      </c>
      <c r="AB20" s="1813">
        <v>1</v>
      </c>
      <c r="AC20" s="2676">
        <v>1</v>
      </c>
    </row>
    <row r="21" spans="1:29" ht="28.5">
      <c r="A21" s="428"/>
      <c r="B21" s="632" t="s">
        <v>2683</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2"/>
      <c r="M21" s="1133"/>
      <c r="N21" s="1133"/>
      <c r="O21" s="1133"/>
      <c r="P21" s="3216"/>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2676">
        <f t="shared" ref="AC21" si="10">D21/J21</f>
        <v>1</v>
      </c>
    </row>
    <row r="22" spans="1:29" ht="15">
      <c r="A22" s="428"/>
      <c r="B22" s="632"/>
      <c r="C22" s="2678"/>
      <c r="D22" s="448"/>
      <c r="E22" s="447"/>
      <c r="F22" s="448"/>
      <c r="G22" s="2613"/>
      <c r="H22" s="448"/>
      <c r="I22" s="2613"/>
      <c r="J22" s="448"/>
      <c r="K22" s="1385"/>
      <c r="L22" s="1142"/>
      <c r="M22" s="1133"/>
      <c r="N22" s="1133"/>
      <c r="O22" s="1133"/>
      <c r="P22" s="3216"/>
      <c r="Q22" s="1812"/>
      <c r="R22" s="773"/>
      <c r="S22" s="774"/>
      <c r="T22" s="773"/>
      <c r="U22" s="774"/>
      <c r="V22" s="773"/>
      <c r="W22" s="774"/>
      <c r="X22" s="1815"/>
      <c r="Y22" s="3218"/>
      <c r="Z22" s="1816"/>
      <c r="AA22" s="1813">
        <v>1</v>
      </c>
      <c r="AB22" s="1813">
        <v>1</v>
      </c>
      <c r="AC22" s="2676">
        <v>1</v>
      </c>
    </row>
    <row r="23" spans="1:29" ht="42.75">
      <c r="A23" s="428"/>
      <c r="B23" s="630" t="s">
        <v>2684</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2"/>
      <c r="M23" s="1133"/>
      <c r="N23" s="1133"/>
      <c r="O23" s="1133"/>
      <c r="P23" s="3216"/>
      <c r="Q23" s="1812" t="str">
        <f>B23</f>
        <v>环境质量</v>
      </c>
      <c r="R23" s="773" t="s">
        <v>17</v>
      </c>
      <c r="S23" s="774">
        <f>F23</f>
        <v>100</v>
      </c>
      <c r="T23" s="773" t="s">
        <v>17</v>
      </c>
      <c r="U23" s="774">
        <f>H23</f>
        <v>100</v>
      </c>
      <c r="V23" s="773" t="s">
        <v>17</v>
      </c>
      <c r="W23" s="774">
        <f>J23</f>
        <v>100</v>
      </c>
      <c r="X23" s="1815"/>
      <c r="Y23" s="3218"/>
      <c r="Z23" s="1816" t="str">
        <f>Q23</f>
        <v>环境质量</v>
      </c>
      <c r="AA23" s="1813">
        <f t="shared" si="3"/>
        <v>1</v>
      </c>
      <c r="AB23" s="1813">
        <f t="shared" si="4"/>
        <v>1</v>
      </c>
      <c r="AC23" s="2676">
        <f t="shared" si="5"/>
        <v>1</v>
      </c>
    </row>
    <row r="24" spans="1:29" ht="15">
      <c r="A24" s="428"/>
      <c r="B24" s="632"/>
      <c r="C24" s="2613"/>
      <c r="D24" s="448"/>
      <c r="E24" s="2606"/>
      <c r="F24" s="448"/>
      <c r="G24" s="2607"/>
      <c r="H24" s="448"/>
      <c r="I24" s="2607"/>
      <c r="J24" s="448"/>
      <c r="K24" s="615"/>
      <c r="L24" s="1142"/>
      <c r="M24" s="1133"/>
      <c r="N24" s="1133"/>
      <c r="O24" s="1133"/>
      <c r="P24" s="3216"/>
      <c r="Q24" s="1812"/>
      <c r="R24" s="773"/>
      <c r="S24" s="774"/>
      <c r="T24" s="773"/>
      <c r="U24" s="774"/>
      <c r="V24" s="773"/>
      <c r="W24" s="774"/>
      <c r="X24" s="1815"/>
      <c r="Y24" s="3218"/>
      <c r="Z24" s="1816"/>
      <c r="AA24" s="1813">
        <v>1</v>
      </c>
      <c r="AB24" s="1813">
        <v>1</v>
      </c>
      <c r="AC24" s="2676">
        <v>1</v>
      </c>
    </row>
    <row r="25" spans="1:29" ht="27">
      <c r="A25" s="404"/>
      <c r="B25" s="630" t="s">
        <v>2685</v>
      </c>
      <c r="C25" s="2617"/>
      <c r="D25" s="435">
        <v>100</v>
      </c>
      <c r="E25" s="434"/>
      <c r="F25" s="435">
        <f>SUMIF(87:87,E26,88:88)-SUMIF(87:87,C26,88:88)+100</f>
        <v>100</v>
      </c>
      <c r="G25" s="2617"/>
      <c r="H25" s="435">
        <f>SUMIF(87:87,G26,88:88)-SUMIF(87:87,C26,88:88)+100</f>
        <v>100</v>
      </c>
      <c r="I25" s="434"/>
      <c r="J25" s="435">
        <f>SUMIF(87:87,I26,88:88)-SUMIF(87:87,C26,88:88)+100</f>
        <v>100</v>
      </c>
      <c r="K25" s="614"/>
      <c r="L25" s="1142"/>
      <c r="M25" s="1133"/>
      <c r="N25" s="1133"/>
      <c r="O25" s="1133"/>
      <c r="P25" s="3216"/>
      <c r="Q25" s="1812" t="str">
        <f>B25</f>
        <v>毗邻道路的类型与等级</v>
      </c>
      <c r="R25" s="773" t="s">
        <v>17</v>
      </c>
      <c r="S25" s="774">
        <f>F25</f>
        <v>100</v>
      </c>
      <c r="T25" s="773" t="s">
        <v>17</v>
      </c>
      <c r="U25" s="774">
        <f>H25</f>
        <v>100</v>
      </c>
      <c r="V25" s="773" t="s">
        <v>17</v>
      </c>
      <c r="W25" s="774">
        <f>J25</f>
        <v>100</v>
      </c>
      <c r="X25" s="1815"/>
      <c r="Y25" s="3218"/>
      <c r="Z25" s="1816" t="str">
        <f>Q25</f>
        <v>毗邻道路的类型与等级</v>
      </c>
      <c r="AA25" s="1813">
        <f t="shared" si="3"/>
        <v>1</v>
      </c>
      <c r="AB25" s="1813">
        <f t="shared" si="4"/>
        <v>1</v>
      </c>
      <c r="AC25" s="2676">
        <f t="shared" si="5"/>
        <v>1</v>
      </c>
    </row>
    <row r="26" spans="1:29" ht="15">
      <c r="A26" s="404"/>
      <c r="B26" s="631"/>
      <c r="C26" s="633"/>
      <c r="D26" s="435"/>
      <c r="E26" s="616"/>
      <c r="F26" s="435"/>
      <c r="G26" s="633"/>
      <c r="H26" s="435"/>
      <c r="I26" s="616"/>
      <c r="J26" s="435"/>
      <c r="K26" s="615"/>
      <c r="L26" s="1142"/>
      <c r="M26" s="1133"/>
      <c r="N26" s="1133"/>
      <c r="O26" s="1133"/>
      <c r="P26" s="3216"/>
      <c r="Q26" s="1812"/>
      <c r="R26" s="773"/>
      <c r="S26" s="774"/>
      <c r="T26" s="773"/>
      <c r="U26" s="774"/>
      <c r="V26" s="773"/>
      <c r="W26" s="774"/>
      <c r="X26" s="1815"/>
      <c r="Y26" s="3218"/>
      <c r="Z26" s="1816"/>
      <c r="AA26" s="1813">
        <v>1</v>
      </c>
      <c r="AB26" s="1813">
        <v>1</v>
      </c>
      <c r="AC26" s="2676">
        <v>1</v>
      </c>
    </row>
    <row r="27" spans="1:29" ht="15">
      <c r="A27" s="428"/>
      <c r="B27" s="631" t="s">
        <v>2653</v>
      </c>
      <c r="C27" s="633"/>
      <c r="D27" s="435">
        <v>100</v>
      </c>
      <c r="E27" s="616"/>
      <c r="F27" s="435">
        <f>SUMIF(89:89,E27,90:90)-SUMIF(89:89,C27,90:90)+100</f>
        <v>100</v>
      </c>
      <c r="G27" s="633"/>
      <c r="H27" s="435">
        <f>SUMIF(89:89,G27,90:90)-SUMIF(89:89,C27,90:90)+100</f>
        <v>100</v>
      </c>
      <c r="I27" s="616"/>
      <c r="J27" s="435">
        <f>SUMIF(89:89,I27,90:90)-SUMIF(89:89,C27,90:90)+100</f>
        <v>100</v>
      </c>
      <c r="K27" s="612"/>
      <c r="L27" s="1142"/>
      <c r="M27" s="1133"/>
      <c r="N27" s="1133"/>
      <c r="O27" s="1133"/>
      <c r="P27" s="3216"/>
      <c r="Q27" s="1812" t="str">
        <f t="shared" ref="Q27:Q47" si="11">B27</f>
        <v>楼层</v>
      </c>
      <c r="R27" s="773" t="s">
        <v>17</v>
      </c>
      <c r="S27" s="774">
        <f>F27</f>
        <v>100</v>
      </c>
      <c r="T27" s="773" t="s">
        <v>17</v>
      </c>
      <c r="U27" s="774">
        <f>H27</f>
        <v>100</v>
      </c>
      <c r="V27" s="773" t="s">
        <v>17</v>
      </c>
      <c r="W27" s="774">
        <f>J27</f>
        <v>100</v>
      </c>
      <c r="X27" s="1815"/>
      <c r="Y27" s="3218"/>
      <c r="Z27" s="1816" t="str">
        <f>Q27</f>
        <v>楼层</v>
      </c>
      <c r="AA27" s="1813">
        <f t="shared" si="3"/>
        <v>1</v>
      </c>
      <c r="AB27" s="1813">
        <f t="shared" si="4"/>
        <v>1</v>
      </c>
      <c r="AC27" s="2676">
        <f t="shared" si="5"/>
        <v>1</v>
      </c>
    </row>
    <row r="28" spans="1:29" s="117" customFormat="1" ht="15">
      <c r="A28" s="431"/>
      <c r="B28" s="630" t="s">
        <v>2686</v>
      </c>
      <c r="C28" s="2679"/>
      <c r="D28" s="462">
        <v>100</v>
      </c>
      <c r="E28" s="2667"/>
      <c r="F28" s="462">
        <f>SUMIF(91:91,E28,92:92)-SUMIF(91:91,C28,92:92)+100</f>
        <v>100</v>
      </c>
      <c r="G28" s="2679"/>
      <c r="H28" s="462">
        <f>SUMIF(91:91,G28,92:92)-SUMIF(91:91,C28,92:92)+100</f>
        <v>100</v>
      </c>
      <c r="I28" s="2667"/>
      <c r="J28" s="462">
        <f>SUMIF(91:91,I28,92:92)-SUMIF(91:91,C28,92:92)+100</f>
        <v>100</v>
      </c>
      <c r="K28" s="612"/>
      <c r="L28" s="1134"/>
      <c r="M28" s="1135"/>
      <c r="N28" s="1135"/>
      <c r="O28" s="1135"/>
      <c r="P28" s="3216"/>
      <c r="Q28" s="1797" t="str">
        <f t="shared" si="11"/>
        <v>朝向</v>
      </c>
      <c r="R28" s="769" t="s">
        <v>17</v>
      </c>
      <c r="S28" s="770">
        <f>F28</f>
        <v>100</v>
      </c>
      <c r="T28" s="769" t="s">
        <v>17</v>
      </c>
      <c r="U28" s="770">
        <f>H28</f>
        <v>100</v>
      </c>
      <c r="V28" s="769" t="s">
        <v>17</v>
      </c>
      <c r="W28" s="770">
        <f>J28</f>
        <v>100</v>
      </c>
      <c r="X28" s="771"/>
      <c r="Y28" s="3218"/>
      <c r="Z28" s="55" t="str">
        <f>Q28</f>
        <v>朝向</v>
      </c>
      <c r="AA28" s="1813">
        <f>D28/F28</f>
        <v>1</v>
      </c>
      <c r="AB28" s="1813">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2"/>
      <c r="M29" s="1133"/>
      <c r="N29" s="1133"/>
      <c r="O29" s="1133"/>
      <c r="P29" s="3216"/>
      <c r="Q29" s="1812">
        <f t="shared" si="11"/>
        <v>111</v>
      </c>
      <c r="R29" s="773" t="s">
        <v>17</v>
      </c>
      <c r="S29" s="774">
        <f t="shared" ref="S29:S47" si="12">F29</f>
        <v>100</v>
      </c>
      <c r="T29" s="773" t="s">
        <v>17</v>
      </c>
      <c r="U29" s="774">
        <f t="shared" ref="U29:U47" si="13">H29</f>
        <v>100</v>
      </c>
      <c r="V29" s="773" t="s">
        <v>17</v>
      </c>
      <c r="W29" s="774">
        <f t="shared" ref="W29:W47" si="14">J29</f>
        <v>100</v>
      </c>
      <c r="X29" s="1815"/>
      <c r="Y29" s="3218"/>
      <c r="Z29" s="1816">
        <f t="shared" ref="Z29:Z47" si="15">Q29</f>
        <v>111</v>
      </c>
      <c r="AA29" s="1813">
        <f t="shared" si="3"/>
        <v>1</v>
      </c>
      <c r="AB29" s="1813">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2"/>
      <c r="M30" s="1133"/>
      <c r="N30" s="1133"/>
      <c r="O30" s="1133"/>
      <c r="P30" s="3216"/>
      <c r="Q30" s="1812">
        <f t="shared" si="11"/>
        <v>111</v>
      </c>
      <c r="R30" s="773" t="s">
        <v>17</v>
      </c>
      <c r="S30" s="774">
        <f t="shared" si="12"/>
        <v>100</v>
      </c>
      <c r="T30" s="773" t="s">
        <v>17</v>
      </c>
      <c r="U30" s="774">
        <f t="shared" si="13"/>
        <v>100</v>
      </c>
      <c r="V30" s="773" t="s">
        <v>17</v>
      </c>
      <c r="W30" s="774">
        <f t="shared" si="14"/>
        <v>100</v>
      </c>
      <c r="X30" s="1815"/>
      <c r="Y30" s="3218"/>
      <c r="Z30" s="1816">
        <f t="shared" si="15"/>
        <v>111</v>
      </c>
      <c r="AA30" s="1813">
        <f t="shared" si="3"/>
        <v>1</v>
      </c>
      <c r="AB30" s="1813">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2"/>
      <c r="M31" s="1133"/>
      <c r="N31" s="1133"/>
      <c r="O31" s="1133"/>
      <c r="P31" s="3216"/>
      <c r="Q31" s="1812">
        <f t="shared" si="11"/>
        <v>111</v>
      </c>
      <c r="R31" s="773" t="s">
        <v>17</v>
      </c>
      <c r="S31" s="774">
        <f t="shared" si="12"/>
        <v>100</v>
      </c>
      <c r="T31" s="773" t="s">
        <v>17</v>
      </c>
      <c r="U31" s="774">
        <f t="shared" si="13"/>
        <v>100</v>
      </c>
      <c r="V31" s="773" t="s">
        <v>17</v>
      </c>
      <c r="W31" s="774">
        <f t="shared" si="14"/>
        <v>100</v>
      </c>
      <c r="X31" s="1815"/>
      <c r="Y31" s="3218"/>
      <c r="Z31" s="1816">
        <f t="shared" si="15"/>
        <v>111</v>
      </c>
      <c r="AA31" s="1813">
        <f t="shared" si="3"/>
        <v>1</v>
      </c>
      <c r="AB31" s="1813">
        <f t="shared" si="4"/>
        <v>1</v>
      </c>
      <c r="AC31" s="2676">
        <f t="shared" si="5"/>
        <v>1</v>
      </c>
    </row>
    <row r="32" spans="1:29" ht="15.75" thickBot="1">
      <c r="A32" s="436"/>
      <c r="B32" s="634">
        <v>111</v>
      </c>
      <c r="C32" s="2618"/>
      <c r="D32" s="438">
        <v>100</v>
      </c>
      <c r="E32" s="627"/>
      <c r="F32" s="438">
        <f>SUMIF(99:99,E32,100:100)-SUMIF(99:99,C32,100:100)+100</f>
        <v>100</v>
      </c>
      <c r="G32" s="2674"/>
      <c r="H32" s="438">
        <f>SUMIF(99:99,G32,100:100)-SUMIF(99:99,C32,100:100)+100</f>
        <v>100</v>
      </c>
      <c r="I32" s="432"/>
      <c r="J32" s="438">
        <f>SUMIF(99:99,I32,100:100)-SUMIF(99:99,C32,100:100)+100</f>
        <v>100</v>
      </c>
      <c r="K32" s="613"/>
      <c r="L32" s="1142"/>
      <c r="M32" s="1133"/>
      <c r="N32" s="1133"/>
      <c r="O32" s="1133"/>
      <c r="P32" s="3216"/>
      <c r="Q32" s="1812">
        <f t="shared" si="11"/>
        <v>111</v>
      </c>
      <c r="R32" s="773" t="s">
        <v>17</v>
      </c>
      <c r="S32" s="774">
        <f t="shared" si="12"/>
        <v>100</v>
      </c>
      <c r="T32" s="773" t="s">
        <v>17</v>
      </c>
      <c r="U32" s="774">
        <f t="shared" si="13"/>
        <v>100</v>
      </c>
      <c r="V32" s="773" t="s">
        <v>17</v>
      </c>
      <c r="W32" s="774">
        <f t="shared" si="14"/>
        <v>100</v>
      </c>
      <c r="X32" s="1815"/>
      <c r="Y32" s="3218"/>
      <c r="Z32" s="1816">
        <f t="shared" si="15"/>
        <v>111</v>
      </c>
      <c r="AA32" s="1813">
        <f t="shared" si="3"/>
        <v>1</v>
      </c>
      <c r="AB32" s="1813">
        <f t="shared" si="4"/>
        <v>1</v>
      </c>
      <c r="AC32" s="2676">
        <f t="shared" si="5"/>
        <v>1</v>
      </c>
    </row>
    <row r="33" spans="1:29" ht="15">
      <c r="A33" s="440" t="s">
        <v>2557</v>
      </c>
      <c r="B33" s="71" t="s">
        <v>2687</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2"/>
      <c r="M33" s="1133"/>
      <c r="N33" s="1133"/>
      <c r="O33" s="1133"/>
      <c r="P33" s="3219" t="s">
        <v>2559</v>
      </c>
      <c r="Q33" s="1812" t="str">
        <f t="shared" si="11"/>
        <v>建筑类型</v>
      </c>
      <c r="R33" s="773" t="s">
        <v>17</v>
      </c>
      <c r="S33" s="774">
        <f t="shared" si="12"/>
        <v>100</v>
      </c>
      <c r="T33" s="773" t="s">
        <v>17</v>
      </c>
      <c r="U33" s="774">
        <f t="shared" si="13"/>
        <v>100</v>
      </c>
      <c r="V33" s="773" t="s">
        <v>17</v>
      </c>
      <c r="W33" s="774">
        <f t="shared" si="14"/>
        <v>100</v>
      </c>
      <c r="X33" s="1815"/>
      <c r="Y33" s="3222" t="s">
        <v>2559</v>
      </c>
      <c r="Z33" s="1816" t="str">
        <f t="shared" si="15"/>
        <v>建筑类型</v>
      </c>
      <c r="AA33" s="1813">
        <f t="shared" si="3"/>
        <v>1</v>
      </c>
      <c r="AB33" s="1813">
        <f t="shared" si="4"/>
        <v>1</v>
      </c>
      <c r="AC33" s="2676">
        <f t="shared" si="5"/>
        <v>1</v>
      </c>
    </row>
    <row r="34" spans="1:29" s="471" customFormat="1" ht="15">
      <c r="A34" s="468"/>
      <c r="B34" s="422" t="s">
        <v>2560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0"/>
      <c r="M34" s="1143"/>
      <c r="N34" s="1143"/>
      <c r="O34" s="1143"/>
      <c r="P34" s="3220"/>
      <c r="Q34" s="775" t="str">
        <f t="shared" si="11"/>
        <v>项目建筑规模</v>
      </c>
      <c r="R34" s="776" t="s">
        <v>17</v>
      </c>
      <c r="S34" s="777" t="e">
        <f t="shared" si="12"/>
        <v>#N/A</v>
      </c>
      <c r="T34" s="776" t="s">
        <v>17</v>
      </c>
      <c r="U34" s="777" t="e">
        <f t="shared" si="13"/>
        <v>#N/A</v>
      </c>
      <c r="V34" s="776" t="s">
        <v>17</v>
      </c>
      <c r="W34" s="777" t="e">
        <f t="shared" si="14"/>
        <v>#N/A</v>
      </c>
      <c r="X34" s="778"/>
      <c r="Y34" s="3222"/>
      <c r="Z34" s="779" t="str">
        <f t="shared" si="15"/>
        <v>项目建筑规模</v>
      </c>
      <c r="AA34" s="1813" t="e">
        <f t="shared" si="3"/>
        <v>#N/A</v>
      </c>
      <c r="AB34" s="1813" t="e">
        <f t="shared" si="4"/>
        <v>#N/A</v>
      </c>
      <c r="AC34" s="2676" t="e">
        <f t="shared" si="5"/>
        <v>#N/A</v>
      </c>
    </row>
    <row r="35" spans="1:29" ht="15">
      <c r="A35" s="472"/>
      <c r="B35" s="422" t="s">
        <v>2561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2"/>
      <c r="M35" s="1133"/>
      <c r="N35" s="1133"/>
      <c r="O35" s="1133"/>
      <c r="P35" s="3220"/>
      <c r="Q35" s="1812" t="str">
        <f t="shared" si="11"/>
        <v>建筑结构</v>
      </c>
      <c r="R35" s="773" t="s">
        <v>17</v>
      </c>
      <c r="S35" s="774">
        <f t="shared" si="12"/>
        <v>100</v>
      </c>
      <c r="T35" s="773" t="s">
        <v>17</v>
      </c>
      <c r="U35" s="774">
        <f t="shared" si="13"/>
        <v>100</v>
      </c>
      <c r="V35" s="773" t="s">
        <v>17</v>
      </c>
      <c r="W35" s="774">
        <f t="shared" si="14"/>
        <v>100</v>
      </c>
      <c r="X35" s="1815"/>
      <c r="Y35" s="3222"/>
      <c r="Z35" s="1816" t="str">
        <f t="shared" si="15"/>
        <v>建筑结构</v>
      </c>
      <c r="AA35" s="1813">
        <f t="shared" si="3"/>
        <v>1</v>
      </c>
      <c r="AB35" s="1813">
        <f t="shared" si="4"/>
        <v>1</v>
      </c>
      <c r="AC35" s="2676">
        <f t="shared" si="5"/>
        <v>1</v>
      </c>
    </row>
    <row r="36" spans="1:29" ht="15">
      <c r="A36" s="472"/>
      <c r="B36" s="422" t="s">
        <v>2655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2"/>
      <c r="M36" s="1133"/>
      <c r="N36" s="1133"/>
      <c r="O36" s="1133"/>
      <c r="P36" s="3220"/>
      <c r="Q36" s="1812" t="str">
        <f t="shared" si="11"/>
        <v>公共部分装修</v>
      </c>
      <c r="R36" s="773" t="s">
        <v>17</v>
      </c>
      <c r="S36" s="774">
        <f t="shared" si="12"/>
        <v>100</v>
      </c>
      <c r="T36" s="773" t="s">
        <v>17</v>
      </c>
      <c r="U36" s="774">
        <f t="shared" si="13"/>
        <v>100</v>
      </c>
      <c r="V36" s="773" t="s">
        <v>17</v>
      </c>
      <c r="W36" s="774">
        <f t="shared" si="14"/>
        <v>100</v>
      </c>
      <c r="X36" s="1815"/>
      <c r="Y36" s="3222"/>
      <c r="Z36" s="1816" t="str">
        <f t="shared" si="15"/>
        <v>公共部分装修</v>
      </c>
      <c r="AA36" s="1813">
        <f t="shared" si="3"/>
        <v>1</v>
      </c>
      <c r="AB36" s="1813">
        <f t="shared" si="4"/>
        <v>1</v>
      </c>
      <c r="AC36" s="2676">
        <f t="shared" si="5"/>
        <v>1</v>
      </c>
    </row>
    <row r="37" spans="1:29" ht="15">
      <c r="A37" s="472"/>
      <c r="B37" s="422" t="s">
        <v>2656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2"/>
      <c r="M37" s="1133"/>
      <c r="N37" s="1133"/>
      <c r="O37" s="1133"/>
      <c r="P37" s="3220"/>
      <c r="Q37" s="1812" t="str">
        <f t="shared" si="11"/>
        <v>成新度</v>
      </c>
      <c r="R37" s="773" t="s">
        <v>17</v>
      </c>
      <c r="S37" s="774" t="e">
        <f t="shared" si="12"/>
        <v>#N/A</v>
      </c>
      <c r="T37" s="773" t="s">
        <v>17</v>
      </c>
      <c r="U37" s="774" t="e">
        <f t="shared" si="13"/>
        <v>#N/A</v>
      </c>
      <c r="V37" s="773" t="s">
        <v>17</v>
      </c>
      <c r="W37" s="774" t="e">
        <f t="shared" si="14"/>
        <v>#N/A</v>
      </c>
      <c r="X37" s="1815"/>
      <c r="Y37" s="3222"/>
      <c r="Z37" s="1816" t="str">
        <f t="shared" si="15"/>
        <v>成新度</v>
      </c>
      <c r="AA37" s="1813" t="e">
        <f t="shared" si="3"/>
        <v>#N/A</v>
      </c>
      <c r="AB37" s="1813" t="e">
        <f t="shared" si="4"/>
        <v>#N/A</v>
      </c>
      <c r="AC37" s="2676" t="e">
        <f t="shared" si="5"/>
        <v>#N/A</v>
      </c>
    </row>
    <row r="38" spans="1:29" s="117" customFormat="1" ht="15">
      <c r="A38" s="473"/>
      <c r="B38" s="422" t="s">
        <v>2688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4"/>
      <c r="M38" s="1135"/>
      <c r="N38" s="1135"/>
      <c r="O38" s="1135"/>
      <c r="P38" s="3220"/>
      <c r="Q38" s="1797" t="str">
        <f t="shared" si="11"/>
        <v>写字楼等级</v>
      </c>
      <c r="R38" s="769" t="s">
        <v>17</v>
      </c>
      <c r="S38" s="770">
        <f t="shared" si="12"/>
        <v>100</v>
      </c>
      <c r="T38" s="769" t="s">
        <v>17</v>
      </c>
      <c r="U38" s="770">
        <f t="shared" si="13"/>
        <v>100</v>
      </c>
      <c r="V38" s="769" t="s">
        <v>17</v>
      </c>
      <c r="W38" s="770">
        <f t="shared" si="14"/>
        <v>100</v>
      </c>
      <c r="X38" s="771"/>
      <c r="Y38" s="3222"/>
      <c r="Z38" s="55" t="str">
        <f t="shared" si="15"/>
        <v>写字楼等级</v>
      </c>
      <c r="AA38" s="772">
        <f t="shared" si="3"/>
        <v>1</v>
      </c>
      <c r="AB38" s="772">
        <f t="shared" si="4"/>
        <v>1</v>
      </c>
      <c r="AC38" s="2673">
        <f t="shared" si="5"/>
        <v>1</v>
      </c>
    </row>
    <row r="39" spans="1:29" ht="15">
      <c r="A39" s="472"/>
      <c r="B39" s="422" t="s">
        <v>2689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2"/>
      <c r="M39" s="1133"/>
      <c r="N39" s="1133"/>
      <c r="O39" s="1133"/>
      <c r="P39" s="3220" t="s">
        <v>2559</v>
      </c>
      <c r="Q39" s="1812" t="str">
        <f t="shared" si="11"/>
        <v>物业管理</v>
      </c>
      <c r="R39" s="773" t="s">
        <v>17</v>
      </c>
      <c r="S39" s="774">
        <f t="shared" si="12"/>
        <v>100</v>
      </c>
      <c r="T39" s="773" t="s">
        <v>17</v>
      </c>
      <c r="U39" s="774">
        <f t="shared" si="13"/>
        <v>100</v>
      </c>
      <c r="V39" s="773" t="s">
        <v>17</v>
      </c>
      <c r="W39" s="774">
        <f t="shared" si="14"/>
        <v>100</v>
      </c>
      <c r="X39" s="1815"/>
      <c r="Y39" s="3222" t="s">
        <v>2559</v>
      </c>
      <c r="Z39" s="1816" t="str">
        <f t="shared" si="15"/>
        <v>物业管理</v>
      </c>
      <c r="AA39" s="1813">
        <f t="shared" si="3"/>
        <v>1</v>
      </c>
      <c r="AB39" s="1813">
        <f t="shared" si="4"/>
        <v>1</v>
      </c>
      <c r="AC39" s="2676">
        <f t="shared" si="5"/>
        <v>1</v>
      </c>
    </row>
    <row r="40" spans="1:29" ht="15">
      <c r="A40" s="472"/>
      <c r="B40" s="422" t="s">
        <v>2657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2"/>
      <c r="M40" s="1133"/>
      <c r="N40" s="1133"/>
      <c r="O40" s="1133"/>
      <c r="P40" s="3220"/>
      <c r="Q40" s="1812" t="str">
        <f t="shared" si="11"/>
        <v>市政基础设施</v>
      </c>
      <c r="R40" s="773" t="s">
        <v>17</v>
      </c>
      <c r="S40" s="774">
        <f t="shared" si="12"/>
        <v>100</v>
      </c>
      <c r="T40" s="773" t="s">
        <v>17</v>
      </c>
      <c r="U40" s="774">
        <f t="shared" si="13"/>
        <v>100</v>
      </c>
      <c r="V40" s="773" t="s">
        <v>17</v>
      </c>
      <c r="W40" s="774">
        <f t="shared" si="14"/>
        <v>100</v>
      </c>
      <c r="X40" s="1815"/>
      <c r="Y40" s="3222"/>
      <c r="Z40" s="1816" t="str">
        <f t="shared" si="15"/>
        <v>市政基础设施</v>
      </c>
      <c r="AA40" s="1813">
        <f t="shared" si="3"/>
        <v>1</v>
      </c>
      <c r="AB40" s="1813">
        <f t="shared" si="4"/>
        <v>1</v>
      </c>
      <c r="AC40" s="2676">
        <f t="shared" si="5"/>
        <v>1</v>
      </c>
    </row>
    <row r="41" spans="1:29" ht="15">
      <c r="A41" s="472"/>
      <c r="B41" s="422" t="s">
        <v>2659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2"/>
      <c r="M41" s="1133"/>
      <c r="N41" s="1133"/>
      <c r="O41" s="1133"/>
      <c r="P41" s="3220"/>
      <c r="Q41" s="1812" t="str">
        <f t="shared" si="11"/>
        <v>层高</v>
      </c>
      <c r="R41" s="773" t="s">
        <v>17</v>
      </c>
      <c r="S41" s="774">
        <f t="shared" si="12"/>
        <v>100</v>
      </c>
      <c r="T41" s="773" t="s">
        <v>17</v>
      </c>
      <c r="U41" s="774">
        <f t="shared" si="13"/>
        <v>100</v>
      </c>
      <c r="V41" s="773" t="s">
        <v>17</v>
      </c>
      <c r="W41" s="774">
        <f t="shared" si="14"/>
        <v>100</v>
      </c>
      <c r="X41" s="1815"/>
      <c r="Y41" s="3222"/>
      <c r="Z41" s="1816" t="str">
        <f t="shared" si="15"/>
        <v>层高</v>
      </c>
      <c r="AA41" s="1813">
        <f t="shared" si="3"/>
        <v>1</v>
      </c>
      <c r="AB41" s="1813">
        <f t="shared" si="4"/>
        <v>1</v>
      </c>
      <c r="AC41" s="2676">
        <f t="shared" si="5"/>
        <v>1</v>
      </c>
    </row>
    <row r="42" spans="1:29" s="471" customFormat="1" ht="15">
      <c r="A42" s="468"/>
      <c r="B42" s="1814" t="s">
        <v>2690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0"/>
      <c r="M42" s="1143"/>
      <c r="N42" s="1143"/>
      <c r="O42" s="1143"/>
      <c r="P42" s="3220"/>
      <c r="Q42" s="775" t="str">
        <f t="shared" si="11"/>
        <v>单套建筑面积</v>
      </c>
      <c r="R42" s="776" t="s">
        <v>17</v>
      </c>
      <c r="S42" s="777">
        <f t="shared" si="12"/>
        <v>100</v>
      </c>
      <c r="T42" s="776" t="s">
        <v>17</v>
      </c>
      <c r="U42" s="777">
        <f t="shared" si="13"/>
        <v>100</v>
      </c>
      <c r="V42" s="776" t="s">
        <v>17</v>
      </c>
      <c r="W42" s="777">
        <f t="shared" si="14"/>
        <v>100</v>
      </c>
      <c r="X42" s="778"/>
      <c r="Y42" s="3222"/>
      <c r="Z42" s="779" t="str">
        <f t="shared" si="15"/>
        <v>单套建筑面积</v>
      </c>
      <c r="AA42" s="1813">
        <f t="shared" si="3"/>
        <v>1</v>
      </c>
      <c r="AB42" s="1813">
        <f t="shared" si="4"/>
        <v>1</v>
      </c>
      <c r="AC42" s="2676">
        <f t="shared" si="5"/>
        <v>1</v>
      </c>
    </row>
    <row r="43" spans="1:29" ht="15">
      <c r="A43" s="472"/>
      <c r="B43" s="422" t="s">
        <v>2662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2"/>
      <c r="M43" s="1133"/>
      <c r="N43" s="1133"/>
      <c r="O43" s="1133"/>
      <c r="P43" s="3220"/>
      <c r="Q43" s="1812" t="str">
        <f t="shared" si="11"/>
        <v>内部装修</v>
      </c>
      <c r="R43" s="773" t="s">
        <v>17</v>
      </c>
      <c r="S43" s="774">
        <f t="shared" si="12"/>
        <v>100</v>
      </c>
      <c r="T43" s="773" t="s">
        <v>17</v>
      </c>
      <c r="U43" s="774">
        <f t="shared" si="13"/>
        <v>100</v>
      </c>
      <c r="V43" s="773" t="s">
        <v>17</v>
      </c>
      <c r="W43" s="774">
        <f t="shared" si="14"/>
        <v>100</v>
      </c>
      <c r="X43" s="1815"/>
      <c r="Y43" s="3222"/>
      <c r="Z43" s="1816" t="str">
        <f t="shared" si="15"/>
        <v>内部装修</v>
      </c>
      <c r="AA43" s="1813">
        <f t="shared" si="3"/>
        <v>1</v>
      </c>
      <c r="AB43" s="1813">
        <f t="shared" si="4"/>
        <v>1</v>
      </c>
      <c r="AC43" s="2676">
        <f t="shared" si="5"/>
        <v>1</v>
      </c>
    </row>
    <row r="44" spans="1:29" ht="15">
      <c r="A44" s="472"/>
      <c r="B44" s="422" t="s">
        <v>2570</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2"/>
      <c r="M44" s="1133"/>
      <c r="N44" s="1133"/>
      <c r="O44" s="1133"/>
      <c r="P44" s="3220"/>
      <c r="Q44" s="1812" t="str">
        <f t="shared" si="11"/>
        <v>内部装修维护情况</v>
      </c>
      <c r="R44" s="773" t="s">
        <v>17</v>
      </c>
      <c r="S44" s="774">
        <f t="shared" si="12"/>
        <v>100</v>
      </c>
      <c r="T44" s="773" t="s">
        <v>17</v>
      </c>
      <c r="U44" s="774">
        <f t="shared" si="13"/>
        <v>100</v>
      </c>
      <c r="V44" s="773" t="s">
        <v>17</v>
      </c>
      <c r="W44" s="774">
        <f t="shared" si="14"/>
        <v>100</v>
      </c>
      <c r="X44" s="1815"/>
      <c r="Y44" s="3222"/>
      <c r="Z44" s="1816" t="str">
        <f t="shared" si="15"/>
        <v>内部装修维护情况</v>
      </c>
      <c r="AA44" s="1813">
        <f t="shared" si="3"/>
        <v>1</v>
      </c>
      <c r="AB44" s="1813">
        <f t="shared" si="4"/>
        <v>1</v>
      </c>
      <c r="AC44" s="2676">
        <f t="shared" si="5"/>
        <v>1</v>
      </c>
    </row>
    <row r="45" spans="1:29" s="117" customFormat="1" ht="15">
      <c r="A45" s="473"/>
      <c r="B45" s="1388">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4"/>
      <c r="M45" s="1135"/>
      <c r="N45" s="1135"/>
      <c r="O45" s="1135"/>
      <c r="P45" s="3220"/>
      <c r="Q45" s="1797">
        <f t="shared" si="11"/>
        <v>111</v>
      </c>
      <c r="R45" s="769" t="s">
        <v>17</v>
      </c>
      <c r="S45" s="770">
        <f t="shared" si="12"/>
        <v>100</v>
      </c>
      <c r="T45" s="769" t="s">
        <v>17</v>
      </c>
      <c r="U45" s="770">
        <f t="shared" si="13"/>
        <v>100</v>
      </c>
      <c r="V45" s="769" t="s">
        <v>17</v>
      </c>
      <c r="W45" s="770">
        <f t="shared" si="14"/>
        <v>100</v>
      </c>
      <c r="X45" s="771"/>
      <c r="Y45" s="3222"/>
      <c r="Z45" s="55">
        <f t="shared" si="15"/>
        <v>111</v>
      </c>
      <c r="AA45" s="772">
        <f t="shared" si="3"/>
        <v>1</v>
      </c>
      <c r="AB45" s="772">
        <f t="shared" si="4"/>
        <v>1</v>
      </c>
      <c r="AC45" s="2673">
        <f t="shared" si="5"/>
        <v>1</v>
      </c>
    </row>
    <row r="46" spans="1:29" ht="15">
      <c r="A46" s="472"/>
      <c r="B46" s="1388">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2"/>
      <c r="M46" s="1133"/>
      <c r="N46" s="1133"/>
      <c r="O46" s="1133"/>
      <c r="P46" s="3220"/>
      <c r="Q46" s="1812">
        <f t="shared" si="11"/>
        <v>111</v>
      </c>
      <c r="R46" s="773" t="s">
        <v>17</v>
      </c>
      <c r="S46" s="774">
        <f t="shared" si="12"/>
        <v>100</v>
      </c>
      <c r="T46" s="773" t="s">
        <v>17</v>
      </c>
      <c r="U46" s="774">
        <f t="shared" si="13"/>
        <v>100</v>
      </c>
      <c r="V46" s="773" t="s">
        <v>17</v>
      </c>
      <c r="W46" s="774">
        <f t="shared" si="14"/>
        <v>100</v>
      </c>
      <c r="X46" s="1815"/>
      <c r="Y46" s="3222"/>
      <c r="Z46" s="1816">
        <f t="shared" si="15"/>
        <v>111</v>
      </c>
      <c r="AA46" s="1813">
        <f t="shared" si="3"/>
        <v>1</v>
      </c>
      <c r="AB46" s="1813">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2"/>
      <c r="M47" s="1133"/>
      <c r="N47" s="1133"/>
      <c r="O47" s="1133"/>
      <c r="P47" s="3221"/>
      <c r="Q47" s="1812">
        <f t="shared" si="11"/>
        <v>111</v>
      </c>
      <c r="R47" s="773" t="s">
        <v>17</v>
      </c>
      <c r="S47" s="774">
        <f t="shared" si="12"/>
        <v>100</v>
      </c>
      <c r="T47" s="773" t="s">
        <v>17</v>
      </c>
      <c r="U47" s="774">
        <f t="shared" si="13"/>
        <v>100</v>
      </c>
      <c r="V47" s="773" t="s">
        <v>17</v>
      </c>
      <c r="W47" s="774">
        <f t="shared" si="14"/>
        <v>100</v>
      </c>
      <c r="X47" s="1815"/>
      <c r="Y47" s="3223"/>
      <c r="Z47" s="1816">
        <f t="shared" si="15"/>
        <v>111</v>
      </c>
      <c r="AA47" s="1813">
        <f t="shared" si="3"/>
        <v>1</v>
      </c>
      <c r="AB47" s="1813">
        <f t="shared" si="4"/>
        <v>1</v>
      </c>
      <c r="AC47" s="2676">
        <f t="shared" si="5"/>
        <v>1</v>
      </c>
    </row>
    <row r="48" spans="1:29" ht="15">
      <c r="A48" s="479" t="s">
        <v>2571</v>
      </c>
      <c r="B48" s="480"/>
      <c r="C48" s="1409" t="s">
        <v>1</v>
      </c>
      <c r="D48" s="1410"/>
      <c r="E48" s="1411"/>
      <c r="F48" s="1412"/>
      <c r="G48" s="1413"/>
      <c r="H48" s="1414"/>
      <c r="I48" s="1411"/>
      <c r="J48" s="485"/>
      <c r="K48" s="782"/>
      <c r="L48" s="1145"/>
      <c r="M48" s="1133"/>
      <c r="N48" s="1133"/>
      <c r="O48" s="1133"/>
      <c r="P48" s="3201" t="str">
        <f>A48</f>
        <v>成交单价（元/平方米）</v>
      </c>
      <c r="Q48" s="3224"/>
      <c r="R48" s="3225">
        <f>E48</f>
        <v>0</v>
      </c>
      <c r="S48" s="3225"/>
      <c r="T48" s="3225">
        <f>G48</f>
        <v>0</v>
      </c>
      <c r="U48" s="3225"/>
      <c r="V48" s="3225">
        <f>I48</f>
        <v>0</v>
      </c>
      <c r="W48" s="3225"/>
      <c r="X48" s="446"/>
      <c r="Y48" s="780"/>
      <c r="Z48" s="446"/>
      <c r="AA48" s="446"/>
      <c r="AB48" s="446"/>
      <c r="AC48" s="629"/>
    </row>
    <row r="49" spans="1:29" ht="15.75" thickBot="1">
      <c r="A49" s="486" t="s">
        <v>2663</v>
      </c>
      <c r="B49" s="487"/>
      <c r="C49" s="1415" t="e">
        <f>R50</f>
        <v>#DIV/0!</v>
      </c>
      <c r="D49" s="1416"/>
      <c r="E49" s="1417" t="e">
        <f>R49</f>
        <v>#DIV/0!</v>
      </c>
      <c r="F49" s="1417"/>
      <c r="G49" s="1415" t="e">
        <f>T49</f>
        <v>#DIV/0!</v>
      </c>
      <c r="H49" s="1416"/>
      <c r="I49" s="1417" t="e">
        <f>V49</f>
        <v>#DIV/0!</v>
      </c>
      <c r="J49" s="489"/>
      <c r="K49" s="783"/>
      <c r="L49" s="1145"/>
      <c r="M49" s="1133"/>
      <c r="N49" s="1133"/>
      <c r="O49" s="1133"/>
      <c r="P49" s="3201" t="str">
        <f>A49</f>
        <v>比较价值（元/平方米）</v>
      </c>
      <c r="Q49" s="3224"/>
      <c r="R49" s="3225" t="e">
        <f>IF(F1="售价",ROUND(PRODUCT(R48,AA7:AA47),0),ROUND(PRODUCT(R48,AA7:AA47),1))</f>
        <v>#DIV/0!</v>
      </c>
      <c r="S49" s="3225"/>
      <c r="T49" s="3225" t="e">
        <f>IF(F1="售价",ROUND(PRODUCT(T48,AB7:AB47),0),ROUND(PRODUCT(T48,AB7:AB47),1))</f>
        <v>#DIV/0!</v>
      </c>
      <c r="U49" s="3225"/>
      <c r="V49" s="3225" t="e">
        <f>IF(F1="售价",ROUND(PRODUCT(V48,AC7:AC47),0),ROUND(PRODUCT(V48,AC7:AC47),1))</f>
        <v>#DIV/0!</v>
      </c>
      <c r="W49" s="3225"/>
      <c r="X49" s="446"/>
      <c r="Y49" s="446"/>
      <c r="Z49" s="446"/>
      <c r="AA49" s="446"/>
      <c r="AB49" s="446"/>
      <c r="AC49" s="629"/>
    </row>
    <row r="50" spans="1:29" ht="15.75" thickBot="1">
      <c r="A50" s="492" t="s">
        <v>2664</v>
      </c>
      <c r="B50" s="493"/>
      <c r="C50" s="1419" t="e">
        <f>R50</f>
        <v>#DIV/0!</v>
      </c>
      <c r="D50" s="1419"/>
      <c r="E50" s="1419"/>
      <c r="F50" s="1419"/>
      <c r="G50" s="1419"/>
      <c r="H50" s="1419"/>
      <c r="I50" s="1419"/>
      <c r="J50" s="494"/>
      <c r="K50" s="784"/>
      <c r="L50" s="1145"/>
      <c r="M50" s="1133"/>
      <c r="N50" s="1133"/>
      <c r="O50" s="1133"/>
      <c r="P50" s="3273" t="str">
        <f>A50</f>
        <v>估价对象XX用房的比较价值（楼面单价，元/平方米）</v>
      </c>
      <c r="Q50" s="3274"/>
      <c r="R50" s="3275" t="e">
        <f>IF(F1="售价",ROUND(AVERAGE(R49:V49),0),ROUND(AVERAGE(R49:V49),1))</f>
        <v>#DIV/0!</v>
      </c>
      <c r="S50" s="3275"/>
      <c r="T50" s="3275"/>
      <c r="U50" s="3275"/>
      <c r="V50" s="3275"/>
      <c r="W50" s="3275"/>
      <c r="X50" s="2656"/>
      <c r="Y50" s="2656"/>
      <c r="Z50" s="2656"/>
      <c r="AA50" s="2656"/>
      <c r="AB50" s="2656"/>
      <c r="AC50" s="2657"/>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7" t="s">
        <v>2665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7"/>
      <c r="L53" s="1108"/>
      <c r="M53" s="1146"/>
      <c r="N53" s="1146"/>
      <c r="O53" s="1146"/>
    </row>
    <row r="54" spans="1:29" ht="13.5" customHeight="1">
      <c r="A54" s="1146"/>
      <c r="B54" s="1146"/>
      <c r="C54" s="497" t="s">
        <v>2666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7"/>
      <c r="L54" s="1108"/>
      <c r="M54" s="1146"/>
      <c r="N54" s="1146"/>
      <c r="O54" s="1146"/>
    </row>
    <row r="55" spans="1:29" s="502" customFormat="1" ht="13.5" customHeight="1">
      <c r="A55" s="1147"/>
      <c r="B55" s="1147"/>
      <c r="C55" s="497" t="s">
        <v>2667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0"/>
      <c r="L55" s="1151"/>
      <c r="M55" s="1147"/>
      <c r="N55" s="1147"/>
      <c r="O55" s="1147"/>
      <c r="P55" s="2682"/>
    </row>
    <row r="56" spans="1:29" s="502" customFormat="1">
      <c r="A56" s="1147"/>
      <c r="B56" s="1148"/>
      <c r="C56" s="1152"/>
      <c r="D56" s="1147"/>
      <c r="E56" s="1147"/>
      <c r="F56" s="1147"/>
      <c r="G56" s="1147"/>
      <c r="H56" s="1147"/>
      <c r="I56" s="1147"/>
      <c r="J56" s="1147"/>
      <c r="K56" s="1150"/>
      <c r="L56" s="1151"/>
      <c r="M56" s="1147"/>
      <c r="N56" s="1147"/>
      <c r="O56" s="1147"/>
      <c r="P56" s="2682"/>
    </row>
    <row r="57" spans="1:29">
      <c r="A57" s="1146"/>
      <c r="B57" s="1148"/>
      <c r="C57" s="1152"/>
      <c r="D57" s="1146"/>
      <c r="E57" s="1146"/>
      <c r="F57" s="1146"/>
      <c r="G57" s="1146"/>
      <c r="H57" s="1146"/>
      <c r="I57" s="1146"/>
      <c r="J57" s="1146"/>
      <c r="K57" s="1107"/>
      <c r="L57" s="1108"/>
      <c r="M57" s="1146"/>
      <c r="N57" s="1146"/>
      <c r="O57" s="1146"/>
    </row>
    <row r="58" spans="1:29" ht="21.75" thickBot="1">
      <c r="A58" s="762" t="s">
        <v>2668</v>
      </c>
      <c r="B58" s="758"/>
      <c r="C58" s="763"/>
      <c r="D58" s="763"/>
      <c r="E58" s="763"/>
      <c r="F58" s="764"/>
      <c r="G58" s="764"/>
      <c r="H58" s="763"/>
      <c r="I58" s="763"/>
      <c r="J58" s="763"/>
      <c r="K58" s="765"/>
      <c r="L58" s="1163"/>
      <c r="M58" s="1161"/>
      <c r="N58" s="1161"/>
      <c r="O58" s="1161"/>
      <c r="P58" s="2683"/>
      <c r="Q58" s="504"/>
    </row>
    <row r="59" spans="1:29" s="508" customFormat="1" ht="15">
      <c r="A59" s="505" t="s">
        <v>2542</v>
      </c>
      <c r="B59" s="506"/>
      <c r="C59" s="1576" t="str">
        <f>YEAR(C7)&amp;"-"&amp;MONTH(C7)</f>
        <v>2018-8</v>
      </c>
      <c r="D59" s="1577">
        <f>EDATE(C59,-1)</f>
        <v>43282</v>
      </c>
      <c r="E59" s="1577">
        <f>EDATE(D59,-1)</f>
        <v>43252</v>
      </c>
      <c r="F59" s="1577">
        <f t="shared" ref="F59:O59" si="16">EDATE(E59,-1)</f>
        <v>43221</v>
      </c>
      <c r="G59" s="1577">
        <f t="shared" si="16"/>
        <v>43191</v>
      </c>
      <c r="H59" s="1577">
        <f t="shared" si="16"/>
        <v>43160</v>
      </c>
      <c r="I59" s="1577">
        <f t="shared" si="16"/>
        <v>43132</v>
      </c>
      <c r="J59" s="1577">
        <f t="shared" si="16"/>
        <v>43101</v>
      </c>
      <c r="K59" s="1577">
        <f t="shared" si="16"/>
        <v>43070</v>
      </c>
      <c r="L59" s="1577">
        <f t="shared" si="16"/>
        <v>43040</v>
      </c>
      <c r="M59" s="1577">
        <f t="shared" si="16"/>
        <v>43009</v>
      </c>
      <c r="N59" s="1577">
        <f t="shared" si="16"/>
        <v>42979</v>
      </c>
      <c r="O59" s="1577">
        <f t="shared" si="16"/>
        <v>42948</v>
      </c>
      <c r="P59" s="1573"/>
    </row>
    <row r="60" spans="1:29" s="117" customFormat="1" ht="15">
      <c r="A60" s="509"/>
      <c r="B60" s="510"/>
      <c r="C60" s="1575">
        <v>100</v>
      </c>
      <c r="D60" s="512"/>
      <c r="E60" s="512"/>
      <c r="F60" s="512"/>
      <c r="G60" s="512"/>
      <c r="H60" s="512"/>
      <c r="I60" s="512"/>
      <c r="J60" s="512"/>
      <c r="K60" s="512"/>
      <c r="L60" s="512"/>
      <c r="M60" s="513"/>
      <c r="N60" s="512"/>
      <c r="O60" s="513"/>
      <c r="P60" s="2684"/>
    </row>
    <row r="61" spans="1:29" s="117" customFormat="1" ht="15.75" thickBot="1">
      <c r="A61" s="515" t="s">
        <v>2579</v>
      </c>
      <c r="B61" s="516"/>
      <c r="C61" s="517"/>
      <c r="D61" s="518"/>
      <c r="E61" s="518"/>
      <c r="F61" s="518"/>
      <c r="G61" s="518"/>
      <c r="H61" s="518"/>
      <c r="I61" s="518"/>
      <c r="J61" s="518"/>
      <c r="K61" s="518"/>
      <c r="L61" s="518"/>
      <c r="M61" s="519"/>
      <c r="N61" s="518"/>
      <c r="O61" s="519"/>
      <c r="P61" s="2684"/>
      <c r="Q61" s="504"/>
    </row>
    <row r="62" spans="1:29" s="117" customFormat="1" ht="15">
      <c r="A62" s="521" t="s">
        <v>2544</v>
      </c>
      <c r="B62" s="510"/>
      <c r="C62" s="522" t="s">
        <v>2646</v>
      </c>
      <c r="D62" s="523"/>
      <c r="E62" s="523"/>
      <c r="F62" s="523"/>
      <c r="G62" s="523"/>
      <c r="H62" s="523"/>
      <c r="I62" s="523"/>
      <c r="J62" s="523"/>
      <c r="K62" s="523"/>
      <c r="L62" s="524"/>
      <c r="M62" s="525"/>
      <c r="N62" s="1153"/>
      <c r="O62" s="1153"/>
      <c r="P62" s="2685"/>
      <c r="Q62" s="504"/>
    </row>
    <row r="63" spans="1:29" s="117" customFormat="1" ht="15.75" thickBot="1">
      <c r="A63" s="521"/>
      <c r="B63" s="510"/>
      <c r="C63" s="511">
        <v>100</v>
      </c>
      <c r="D63" s="512"/>
      <c r="E63" s="512"/>
      <c r="F63" s="512"/>
      <c r="G63" s="512"/>
      <c r="H63" s="512"/>
      <c r="I63" s="512"/>
      <c r="J63" s="512"/>
      <c r="K63" s="512"/>
      <c r="L63" s="512"/>
      <c r="M63" s="514"/>
      <c r="N63" s="1153"/>
      <c r="O63" s="1153"/>
      <c r="P63" s="2684"/>
      <c r="Q63" s="504"/>
    </row>
    <row r="64" spans="1:29">
      <c r="A64" s="527" t="s">
        <v>2582</v>
      </c>
      <c r="B64" s="528" t="s">
        <v>2548</v>
      </c>
      <c r="C64" s="529">
        <f>C9</f>
        <v>0</v>
      </c>
      <c r="D64" s="530"/>
      <c r="E64" s="530"/>
      <c r="F64" s="530"/>
      <c r="G64" s="530"/>
      <c r="H64" s="530"/>
      <c r="I64" s="530"/>
      <c r="J64" s="530"/>
      <c r="K64" s="531"/>
      <c r="L64" s="532"/>
      <c r="M64" s="533"/>
      <c r="N64" s="1154"/>
      <c r="O64" s="1154"/>
      <c r="P64" s="2686"/>
      <c r="Q64" s="504"/>
    </row>
    <row r="65" spans="1:17" ht="15.75" thickBot="1">
      <c r="A65" s="534"/>
      <c r="B65" s="535"/>
      <c r="C65" s="536">
        <v>100</v>
      </c>
      <c r="D65" s="536"/>
      <c r="E65" s="536"/>
      <c r="F65" s="536"/>
      <c r="G65" s="536"/>
      <c r="H65" s="536"/>
      <c r="I65" s="536"/>
      <c r="J65" s="536"/>
      <c r="K65" s="536"/>
      <c r="L65" s="536"/>
      <c r="M65" s="537"/>
      <c r="N65" s="1155"/>
      <c r="O65" s="1155"/>
      <c r="P65" s="2686"/>
      <c r="Q65" s="504"/>
    </row>
    <row r="66" spans="1:17" ht="27.75" thickTop="1">
      <c r="A66" s="534"/>
      <c r="B66" s="538" t="s">
        <v>2551</v>
      </c>
      <c r="C66" s="539" t="s">
        <v>2583</v>
      </c>
      <c r="D66" s="539" t="s">
        <v>2584</v>
      </c>
      <c r="E66" s="539" t="s">
        <v>2585</v>
      </c>
      <c r="F66" s="539" t="s">
        <v>2586</v>
      </c>
      <c r="G66" s="539" t="s">
        <v>2587</v>
      </c>
      <c r="H66" s="539" t="s">
        <v>2588</v>
      </c>
      <c r="I66" s="539" t="s">
        <v>2589</v>
      </c>
      <c r="J66" s="539"/>
      <c r="K66" s="540"/>
      <c r="L66" s="541"/>
      <c r="M66" s="542"/>
      <c r="N66" s="1154"/>
      <c r="O66" s="1154"/>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5"/>
      <c r="O67" s="1155"/>
      <c r="P67" s="2686"/>
      <c r="Q67" s="504"/>
    </row>
    <row r="68" spans="1:17" ht="15.75" thickTop="1">
      <c r="A68" s="534"/>
      <c r="B68" s="546" t="s">
        <v>2552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5"/>
      <c r="O68" s="1155"/>
      <c r="P68" s="2686"/>
      <c r="Q68" s="504"/>
    </row>
    <row r="69" spans="1:17" ht="15">
      <c r="A69" s="534"/>
      <c r="B69" s="548"/>
      <c r="C69" s="549"/>
      <c r="D69" s="549"/>
      <c r="E69" s="549"/>
      <c r="F69" s="549"/>
      <c r="G69" s="549"/>
      <c r="H69" s="549"/>
      <c r="I69" s="549"/>
      <c r="J69" s="549"/>
      <c r="K69" s="550"/>
      <c r="L69" s="551"/>
      <c r="M69" s="552"/>
      <c r="N69" s="1154"/>
      <c r="O69" s="1154"/>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5"/>
      <c r="O70" s="1155"/>
      <c r="P70" s="2686"/>
      <c r="Q70" s="504"/>
    </row>
    <row r="71" spans="1:17" s="471" customFormat="1" ht="15.75" thickTop="1">
      <c r="A71" s="553"/>
      <c r="B71" s="538">
        <f>B12</f>
        <v>111</v>
      </c>
      <c r="C71" s="554"/>
      <c r="D71" s="554"/>
      <c r="E71" s="554"/>
      <c r="F71" s="554"/>
      <c r="G71" s="554"/>
      <c r="H71" s="555"/>
      <c r="I71" s="555"/>
      <c r="J71" s="555"/>
      <c r="K71" s="555"/>
      <c r="L71" s="556"/>
      <c r="M71" s="557"/>
      <c r="N71" s="1156"/>
      <c r="O71" s="1156"/>
      <c r="P71" s="2687"/>
      <c r="Q71" s="559"/>
    </row>
    <row r="72" spans="1:17" s="471" customFormat="1" ht="15.75" thickBot="1">
      <c r="A72" s="553"/>
      <c r="B72" s="543"/>
      <c r="C72" s="560"/>
      <c r="D72" s="536"/>
      <c r="E72" s="536"/>
      <c r="F72" s="536"/>
      <c r="G72" s="536"/>
      <c r="H72" s="536"/>
      <c r="I72" s="536"/>
      <c r="J72" s="536"/>
      <c r="K72" s="536"/>
      <c r="L72" s="536"/>
      <c r="M72" s="537"/>
      <c r="N72" s="1155"/>
      <c r="O72" s="1155"/>
      <c r="P72" s="2687"/>
      <c r="Q72" s="559"/>
    </row>
    <row r="73" spans="1:17" s="471" customFormat="1" ht="15.75" thickTop="1">
      <c r="A73" s="553"/>
      <c r="B73" s="538">
        <f>B13</f>
        <v>111</v>
      </c>
      <c r="C73" s="554"/>
      <c r="D73" s="554"/>
      <c r="E73" s="554"/>
      <c r="F73" s="554"/>
      <c r="G73" s="554"/>
      <c r="H73" s="555"/>
      <c r="I73" s="555"/>
      <c r="J73" s="555"/>
      <c r="K73" s="555"/>
      <c r="L73" s="556"/>
      <c r="M73" s="557"/>
      <c r="N73" s="1156"/>
      <c r="O73" s="1156"/>
      <c r="P73" s="2688"/>
      <c r="Q73" s="561"/>
    </row>
    <row r="74" spans="1:17" s="471" customFormat="1" ht="15.75" thickBot="1">
      <c r="A74" s="553"/>
      <c r="B74" s="543"/>
      <c r="C74" s="560"/>
      <c r="D74" s="560"/>
      <c r="E74" s="560"/>
      <c r="F74" s="560"/>
      <c r="G74" s="560"/>
      <c r="H74" s="562"/>
      <c r="I74" s="562"/>
      <c r="J74" s="562"/>
      <c r="K74" s="562"/>
      <c r="L74" s="562"/>
      <c r="M74" s="563"/>
      <c r="N74" s="1156"/>
      <c r="O74" s="1156"/>
      <c r="P74" s="2687"/>
      <c r="Q74" s="559"/>
    </row>
    <row r="75" spans="1:17" s="471" customFormat="1" ht="15.75" thickTop="1">
      <c r="A75" s="553"/>
      <c r="B75" s="546">
        <f>B14</f>
        <v>111</v>
      </c>
      <c r="C75" s="523"/>
      <c r="D75" s="523"/>
      <c r="E75" s="523"/>
      <c r="F75" s="523"/>
      <c r="G75" s="523"/>
      <c r="H75" s="564"/>
      <c r="I75" s="564"/>
      <c r="J75" s="564"/>
      <c r="K75" s="564"/>
      <c r="L75" s="565"/>
      <c r="M75" s="566"/>
      <c r="N75" s="1156"/>
      <c r="O75" s="1156"/>
      <c r="P75" s="2689"/>
      <c r="Q75" s="559"/>
    </row>
    <row r="76" spans="1:17" s="471" customFormat="1" ht="15.75" thickBot="1">
      <c r="A76" s="568"/>
      <c r="B76" s="569"/>
      <c r="C76" s="570"/>
      <c r="D76" s="570"/>
      <c r="E76" s="570"/>
      <c r="F76" s="570"/>
      <c r="G76" s="570"/>
      <c r="H76" s="571"/>
      <c r="I76" s="571"/>
      <c r="J76" s="571"/>
      <c r="K76" s="571"/>
      <c r="L76" s="571"/>
      <c r="M76" s="572"/>
      <c r="N76" s="1156"/>
      <c r="O76" s="1156"/>
      <c r="P76" s="2687"/>
      <c r="Q76" s="559"/>
    </row>
    <row r="77" spans="1:17">
      <c r="A77" s="527" t="s">
        <v>2553</v>
      </c>
      <c r="B77" s="528" t="s">
        <v>2691</v>
      </c>
      <c r="C77" s="573" t="s">
        <v>2591</v>
      </c>
      <c r="D77" s="573" t="s">
        <v>2592</v>
      </c>
      <c r="E77" s="573" t="s">
        <v>2593</v>
      </c>
      <c r="F77" s="573" t="s">
        <v>2594</v>
      </c>
      <c r="G77" s="573" t="s">
        <v>2595</v>
      </c>
      <c r="H77" s="529"/>
      <c r="I77" s="529"/>
      <c r="J77" s="529"/>
      <c r="K77" s="574"/>
      <c r="L77" s="575"/>
      <c r="M77" s="576"/>
      <c r="N77" s="1154"/>
      <c r="O77" s="1154"/>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5"/>
      <c r="O78" s="1155"/>
      <c r="P78" s="2686"/>
      <c r="Q78" s="504"/>
    </row>
    <row r="79" spans="1:17" ht="15.75" thickTop="1">
      <c r="A79" s="534"/>
      <c r="B79" s="538" t="s">
        <v>2596</v>
      </c>
      <c r="C79" s="578" t="s">
        <v>2591</v>
      </c>
      <c r="D79" s="578" t="s">
        <v>2592</v>
      </c>
      <c r="E79" s="578" t="s">
        <v>2593</v>
      </c>
      <c r="F79" s="578" t="s">
        <v>2594</v>
      </c>
      <c r="G79" s="578" t="s">
        <v>2595</v>
      </c>
      <c r="H79" s="539"/>
      <c r="I79" s="539"/>
      <c r="J79" s="539"/>
      <c r="K79" s="540"/>
      <c r="L79" s="541"/>
      <c r="M79" s="542"/>
      <c r="N79" s="1154"/>
      <c r="O79" s="1154"/>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5"/>
      <c r="O80" s="1155"/>
      <c r="P80" s="2686"/>
      <c r="Q80" s="504"/>
    </row>
    <row r="81" spans="1:17" ht="15.75" thickTop="1">
      <c r="A81" s="534"/>
      <c r="B81" s="538" t="s">
        <v>2597</v>
      </c>
      <c r="C81" s="578" t="s">
        <v>2591</v>
      </c>
      <c r="D81" s="578" t="s">
        <v>2592</v>
      </c>
      <c r="E81" s="578" t="s">
        <v>2593</v>
      </c>
      <c r="F81" s="578" t="s">
        <v>2594</v>
      </c>
      <c r="G81" s="578" t="s">
        <v>2595</v>
      </c>
      <c r="H81" s="539"/>
      <c r="I81" s="539"/>
      <c r="J81" s="539"/>
      <c r="K81" s="540"/>
      <c r="L81" s="541"/>
      <c r="M81" s="542"/>
      <c r="N81" s="1154"/>
      <c r="O81" s="1154"/>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5"/>
      <c r="O82" s="1155"/>
      <c r="P82" s="2686"/>
      <c r="Q82" s="504"/>
    </row>
    <row r="83" spans="1:17" ht="15.75" thickTop="1">
      <c r="A83" s="534"/>
      <c r="B83" s="546" t="s">
        <v>2683</v>
      </c>
      <c r="C83" s="659" t="s">
        <v>2669</v>
      </c>
      <c r="D83" s="659" t="s">
        <v>2670</v>
      </c>
      <c r="E83" s="659" t="s">
        <v>2671</v>
      </c>
      <c r="F83" s="659" t="s">
        <v>2672</v>
      </c>
      <c r="G83" s="659" t="s">
        <v>2673</v>
      </c>
      <c r="H83" s="539"/>
      <c r="I83" s="539"/>
      <c r="J83" s="539"/>
      <c r="K83" s="539"/>
      <c r="L83" s="539"/>
      <c r="M83" s="1384"/>
      <c r="N83" s="1155"/>
      <c r="O83" s="1155"/>
      <c r="P83" s="2686"/>
      <c r="Q83" s="504"/>
    </row>
    <row r="84" spans="1:17" ht="15.75" thickBot="1">
      <c r="A84" s="534"/>
      <c r="B84" s="546"/>
      <c r="C84" s="544">
        <v>100</v>
      </c>
      <c r="D84" s="544">
        <f>C84-$K21</f>
        <v>100</v>
      </c>
      <c r="E84" s="544">
        <f>D84-$K21</f>
        <v>100</v>
      </c>
      <c r="F84" s="544">
        <f>E84-$K21</f>
        <v>100</v>
      </c>
      <c r="G84" s="544">
        <f>F84-$K21</f>
        <v>100</v>
      </c>
      <c r="H84" s="659"/>
      <c r="I84" s="659"/>
      <c r="J84" s="659"/>
      <c r="K84" s="659"/>
      <c r="L84" s="659"/>
      <c r="M84" s="450"/>
      <c r="N84" s="1155"/>
      <c r="O84" s="1155"/>
      <c r="P84" s="2686"/>
      <c r="Q84" s="504"/>
    </row>
    <row r="85" spans="1:17" ht="15.75" thickTop="1">
      <c r="A85" s="534"/>
      <c r="B85" s="538" t="s">
        <v>2692</v>
      </c>
      <c r="C85" s="578" t="s">
        <v>2591</v>
      </c>
      <c r="D85" s="578" t="s">
        <v>2592</v>
      </c>
      <c r="E85" s="578" t="s">
        <v>2593</v>
      </c>
      <c r="F85" s="578" t="s">
        <v>2594</v>
      </c>
      <c r="G85" s="578" t="s">
        <v>2595</v>
      </c>
      <c r="H85" s="539"/>
      <c r="I85" s="539"/>
      <c r="J85" s="539"/>
      <c r="K85" s="540"/>
      <c r="L85" s="541"/>
      <c r="M85" s="542"/>
      <c r="N85" s="1154"/>
      <c r="O85" s="1154"/>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5"/>
      <c r="O86" s="1155"/>
      <c r="P86" s="2686"/>
      <c r="Q86" s="504"/>
    </row>
    <row r="87" spans="1:17" s="117" customFormat="1" ht="27.75" thickTop="1">
      <c r="A87" s="579"/>
      <c r="B87" s="538" t="s">
        <v>2693</v>
      </c>
      <c r="C87" s="554"/>
      <c r="D87" s="554"/>
      <c r="E87" s="554"/>
      <c r="F87" s="554"/>
      <c r="G87" s="554"/>
      <c r="H87" s="554"/>
      <c r="I87" s="554"/>
      <c r="J87" s="554"/>
      <c r="K87" s="554"/>
      <c r="L87" s="580"/>
      <c r="M87" s="581"/>
      <c r="N87" s="1153"/>
      <c r="O87" s="1153"/>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5"/>
      <c r="O88" s="1155"/>
      <c r="P88" s="2686"/>
      <c r="Q88" s="504"/>
    </row>
    <row r="89" spans="1:17" s="117" customFormat="1" ht="15.75" thickTop="1">
      <c r="A89" s="579"/>
      <c r="B89" s="538" t="str">
        <f>B27</f>
        <v>楼层</v>
      </c>
      <c r="C89" s="554"/>
      <c r="D89" s="554"/>
      <c r="E89" s="554"/>
      <c r="F89" s="2637"/>
      <c r="G89" s="554"/>
      <c r="H89" s="554"/>
      <c r="I89" s="554"/>
      <c r="J89" s="554"/>
      <c r="K89" s="554"/>
      <c r="L89" s="554"/>
      <c r="M89" s="581"/>
      <c r="N89" s="1153"/>
      <c r="O89" s="1153"/>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5"/>
      <c r="O90" s="1155"/>
      <c r="P90" s="2686"/>
      <c r="Q90" s="504"/>
    </row>
    <row r="91" spans="1:17" s="471" customFormat="1" ht="15.75" thickTop="1">
      <c r="A91" s="553"/>
      <c r="B91" s="538" t="str">
        <f>B28</f>
        <v>朝向</v>
      </c>
      <c r="C91" s="554"/>
      <c r="D91" s="554"/>
      <c r="E91" s="554"/>
      <c r="F91" s="554"/>
      <c r="G91" s="554"/>
      <c r="H91" s="555"/>
      <c r="I91" s="555"/>
      <c r="J91" s="555"/>
      <c r="K91" s="555"/>
      <c r="L91" s="556"/>
      <c r="M91" s="557"/>
      <c r="N91" s="1156"/>
      <c r="O91" s="1156"/>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6"/>
      <c r="O92" s="1156"/>
      <c r="P92" s="2687"/>
      <c r="Q92" s="559"/>
    </row>
    <row r="93" spans="1:17" ht="15.75" thickTop="1">
      <c r="A93" s="534"/>
      <c r="B93" s="538">
        <f>B29</f>
        <v>111</v>
      </c>
      <c r="C93" s="554"/>
      <c r="D93" s="554"/>
      <c r="E93" s="554"/>
      <c r="F93" s="554"/>
      <c r="G93" s="554"/>
      <c r="H93" s="554"/>
      <c r="I93" s="554"/>
      <c r="J93" s="554"/>
      <c r="K93" s="554"/>
      <c r="L93" s="580"/>
      <c r="M93" s="581"/>
      <c r="N93" s="1154"/>
      <c r="O93" s="1154"/>
      <c r="P93" s="2686"/>
      <c r="Q93" s="504"/>
    </row>
    <row r="94" spans="1:17" ht="15.75" thickBot="1">
      <c r="A94" s="534"/>
      <c r="B94" s="543"/>
      <c r="C94" s="560"/>
      <c r="D94" s="536"/>
      <c r="E94" s="536"/>
      <c r="F94" s="536"/>
      <c r="G94" s="536"/>
      <c r="H94" s="536"/>
      <c r="I94" s="536"/>
      <c r="J94" s="536"/>
      <c r="K94" s="536"/>
      <c r="L94" s="536"/>
      <c r="M94" s="537"/>
      <c r="N94" s="1155"/>
      <c r="O94" s="1155"/>
      <c r="P94" s="2686"/>
      <c r="Q94" s="504"/>
    </row>
    <row r="95" spans="1:17" ht="15.75" thickTop="1">
      <c r="A95" s="534"/>
      <c r="B95" s="538">
        <f>B30</f>
        <v>111</v>
      </c>
      <c r="C95" s="554"/>
      <c r="D95" s="554"/>
      <c r="E95" s="554"/>
      <c r="F95" s="554"/>
      <c r="G95" s="583"/>
      <c r="H95" s="583"/>
      <c r="I95" s="583"/>
      <c r="J95" s="583"/>
      <c r="K95" s="584"/>
      <c r="L95" s="585"/>
      <c r="M95" s="586"/>
      <c r="N95" s="1154"/>
      <c r="O95" s="1154"/>
      <c r="P95" s="2686"/>
      <c r="Q95" s="504"/>
    </row>
    <row r="96" spans="1:17" ht="15.75" thickBot="1">
      <c r="A96" s="534"/>
      <c r="B96" s="543"/>
      <c r="C96" s="560"/>
      <c r="D96" s="560"/>
      <c r="E96" s="560"/>
      <c r="F96" s="560"/>
      <c r="G96" s="536"/>
      <c r="H96" s="536"/>
      <c r="I96" s="536"/>
      <c r="J96" s="536"/>
      <c r="K96" s="536"/>
      <c r="L96" s="536"/>
      <c r="M96" s="537"/>
      <c r="N96" s="1155"/>
      <c r="O96" s="1155"/>
      <c r="P96" s="2686"/>
      <c r="Q96" s="504"/>
    </row>
    <row r="97" spans="1:17" ht="15.75" thickTop="1">
      <c r="A97" s="534"/>
      <c r="B97" s="538">
        <f>B31</f>
        <v>111</v>
      </c>
      <c r="C97" s="554"/>
      <c r="D97" s="554"/>
      <c r="E97" s="554"/>
      <c r="F97" s="554"/>
      <c r="G97" s="583"/>
      <c r="H97" s="583"/>
      <c r="I97" s="583"/>
      <c r="J97" s="583"/>
      <c r="K97" s="584"/>
      <c r="L97" s="585"/>
      <c r="M97" s="586"/>
      <c r="N97" s="1154"/>
      <c r="O97" s="1154"/>
      <c r="P97" s="2686"/>
      <c r="Q97" s="504"/>
    </row>
    <row r="98" spans="1:17" ht="15.75" thickBot="1">
      <c r="A98" s="534"/>
      <c r="B98" s="543"/>
      <c r="C98" s="560"/>
      <c r="D98" s="536"/>
      <c r="E98" s="536"/>
      <c r="F98" s="536"/>
      <c r="G98" s="536"/>
      <c r="H98" s="536"/>
      <c r="I98" s="536"/>
      <c r="J98" s="536"/>
      <c r="K98" s="536"/>
      <c r="L98" s="536"/>
      <c r="M98" s="537"/>
      <c r="N98" s="1155"/>
      <c r="O98" s="1155"/>
      <c r="P98" s="2686"/>
      <c r="Q98" s="504"/>
    </row>
    <row r="99" spans="1:17" ht="15.75" thickTop="1">
      <c r="A99" s="534"/>
      <c r="B99" s="546">
        <f>B32</f>
        <v>111</v>
      </c>
      <c r="C99" s="523"/>
      <c r="D99" s="523"/>
      <c r="E99" s="523"/>
      <c r="F99" s="523"/>
      <c r="G99" s="587"/>
      <c r="H99" s="587"/>
      <c r="I99" s="587"/>
      <c r="J99" s="587"/>
      <c r="K99" s="588"/>
      <c r="L99" s="589"/>
      <c r="M99" s="590"/>
      <c r="N99" s="1154"/>
      <c r="O99" s="1154"/>
      <c r="P99" s="2686"/>
      <c r="Q99" s="504"/>
    </row>
    <row r="100" spans="1:17" ht="15.75" thickBot="1">
      <c r="A100" s="2638"/>
      <c r="B100" s="569"/>
      <c r="C100" s="570"/>
      <c r="D100" s="570"/>
      <c r="E100" s="570"/>
      <c r="F100" s="570"/>
      <c r="G100" s="591"/>
      <c r="H100" s="591"/>
      <c r="I100" s="591"/>
      <c r="J100" s="591"/>
      <c r="K100" s="591"/>
      <c r="L100" s="591"/>
      <c r="M100" s="592"/>
      <c r="N100" s="1155"/>
      <c r="O100" s="1155"/>
      <c r="P100" s="2686"/>
      <c r="Q100" s="504"/>
    </row>
    <row r="101" spans="1:17">
      <c r="A101" s="527" t="s">
        <v>2557</v>
      </c>
      <c r="B101" s="528" t="s">
        <v>2606</v>
      </c>
      <c r="C101" s="530"/>
      <c r="D101" s="530"/>
      <c r="E101" s="530"/>
      <c r="F101" s="530"/>
      <c r="G101" s="530"/>
      <c r="H101" s="530"/>
      <c r="I101" s="530"/>
      <c r="J101" s="530"/>
      <c r="K101" s="531"/>
      <c r="L101" s="532"/>
      <c r="M101" s="533"/>
      <c r="N101" s="1154"/>
      <c r="O101" s="1154"/>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5"/>
      <c r="O102" s="1155"/>
      <c r="P102" s="2686"/>
      <c r="Q102" s="504"/>
    </row>
    <row r="103" spans="1:17" ht="15.75" thickTop="1">
      <c r="A103" s="534"/>
      <c r="B103" s="538" t="s">
        <v>2607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1" t="str">
        <f>M104&amp;"(含)"&amp;"-"&amp;P104</f>
        <v>(含)-</v>
      </c>
      <c r="N103" s="1153"/>
      <c r="O103" s="1153"/>
      <c r="P103" s="2686"/>
      <c r="Q103" s="504"/>
    </row>
    <row r="104" spans="1:17" s="471" customFormat="1">
      <c r="A104" s="593"/>
      <c r="B104" s="594"/>
      <c r="C104" s="595"/>
      <c r="D104" s="595"/>
      <c r="E104" s="595"/>
      <c r="F104" s="595"/>
      <c r="G104" s="595"/>
      <c r="H104" s="595"/>
      <c r="I104" s="595"/>
      <c r="J104" s="596"/>
      <c r="K104" s="596"/>
      <c r="L104" s="597"/>
      <c r="M104" s="598"/>
      <c r="N104" s="1156"/>
      <c r="O104" s="1156"/>
      <c r="P104" s="2687"/>
      <c r="Q104" s="559"/>
    </row>
    <row r="105" spans="1:17" s="471" customFormat="1" ht="15.75" thickBot="1">
      <c r="A105" s="553"/>
      <c r="B105" s="543"/>
      <c r="C105" s="560"/>
      <c r="D105" s="536"/>
      <c r="E105" s="536"/>
      <c r="F105" s="536"/>
      <c r="G105" s="536"/>
      <c r="H105" s="536"/>
      <c r="I105" s="536"/>
      <c r="J105" s="536"/>
      <c r="K105" s="536"/>
      <c r="L105" s="536"/>
      <c r="M105" s="537"/>
      <c r="N105" s="1155"/>
      <c r="O105" s="1155"/>
      <c r="P105" s="2687"/>
      <c r="Q105" s="559"/>
    </row>
    <row r="106" spans="1:17" ht="15" thickTop="1">
      <c r="A106" s="599"/>
      <c r="B106" s="538" t="s">
        <v>2608</v>
      </c>
      <c r="C106" s="554"/>
      <c r="D106" s="554"/>
      <c r="E106" s="583"/>
      <c r="F106" s="583"/>
      <c r="G106" s="583"/>
      <c r="H106" s="583"/>
      <c r="I106" s="583"/>
      <c r="J106" s="583"/>
      <c r="K106" s="584"/>
      <c r="L106" s="585"/>
      <c r="M106" s="586"/>
      <c r="N106" s="1154"/>
      <c r="O106" s="1154"/>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5"/>
      <c r="O107" s="1155"/>
      <c r="P107" s="2686"/>
      <c r="Q107" s="504"/>
    </row>
    <row r="108" spans="1:17" ht="15" thickTop="1">
      <c r="A108" s="599"/>
      <c r="B108" s="538" t="s">
        <v>2610</v>
      </c>
      <c r="C108" s="554"/>
      <c r="D108" s="554"/>
      <c r="E108" s="554"/>
      <c r="F108" s="583"/>
      <c r="G108" s="583"/>
      <c r="H108" s="583"/>
      <c r="I108" s="583"/>
      <c r="J108" s="583"/>
      <c r="K108" s="584"/>
      <c r="L108" s="585"/>
      <c r="M108" s="586"/>
      <c r="N108" s="1154"/>
      <c r="O108" s="1154"/>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5"/>
      <c r="O109" s="1155"/>
      <c r="P109" s="2686"/>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4"/>
      <c r="O110" s="1154"/>
      <c r="P110" s="2686"/>
      <c r="Q110" s="504"/>
    </row>
    <row r="111" spans="1:17">
      <c r="A111" s="599"/>
      <c r="B111" s="546"/>
      <c r="C111" s="603">
        <v>0.5</v>
      </c>
      <c r="D111" s="603">
        <v>0.6</v>
      </c>
      <c r="E111" s="603">
        <v>0.7</v>
      </c>
      <c r="F111" s="603">
        <v>0.8</v>
      </c>
      <c r="G111" s="603">
        <v>0.9</v>
      </c>
      <c r="H111" s="603">
        <v>1.0001</v>
      </c>
      <c r="I111" s="622"/>
      <c r="J111" s="622"/>
      <c r="K111" s="623"/>
      <c r="L111" s="624"/>
      <c r="M111" s="625"/>
      <c r="N111" s="1154"/>
      <c r="O111" s="1154"/>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5"/>
      <c r="O112" s="1155"/>
      <c r="P112" s="2686"/>
      <c r="Q112" s="504"/>
    </row>
    <row r="113" spans="1:17" s="471" customFormat="1" ht="15" thickTop="1">
      <c r="A113" s="593"/>
      <c r="B113" s="538" t="s">
        <v>2694</v>
      </c>
      <c r="C113" s="554"/>
      <c r="D113" s="554"/>
      <c r="E113" s="554"/>
      <c r="F113" s="554"/>
      <c r="G113" s="554"/>
      <c r="H113" s="583"/>
      <c r="I113" s="583"/>
      <c r="J113" s="583"/>
      <c r="K113" s="584"/>
      <c r="L113" s="585"/>
      <c r="M113" s="586"/>
      <c r="N113" s="1156"/>
      <c r="O113" s="1156"/>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6"/>
      <c r="O114" s="1156"/>
      <c r="P114" s="2687"/>
      <c r="Q114" s="559"/>
    </row>
    <row r="115" spans="1:17" ht="15" thickTop="1">
      <c r="A115" s="599"/>
      <c r="B115" s="538" t="s">
        <v>2611</v>
      </c>
      <c r="C115" s="554"/>
      <c r="D115" s="554"/>
      <c r="E115" s="583"/>
      <c r="F115" s="583"/>
      <c r="G115" s="583"/>
      <c r="H115" s="583"/>
      <c r="I115" s="583"/>
      <c r="J115" s="583"/>
      <c r="K115" s="584"/>
      <c r="L115" s="585"/>
      <c r="M115" s="586"/>
      <c r="N115" s="1154"/>
      <c r="O115" s="1154"/>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5"/>
      <c r="O116" s="1155"/>
      <c r="P116" s="2686"/>
      <c r="Q116" s="504"/>
    </row>
    <row r="117" spans="1:17" ht="15" thickTop="1">
      <c r="A117" s="599"/>
      <c r="B117" s="538" t="s">
        <v>2612</v>
      </c>
      <c r="C117" s="554"/>
      <c r="D117" s="554"/>
      <c r="E117" s="554"/>
      <c r="F117" s="554"/>
      <c r="G117" s="554"/>
      <c r="H117" s="583"/>
      <c r="I117" s="583"/>
      <c r="J117" s="583"/>
      <c r="K117" s="584"/>
      <c r="L117" s="585"/>
      <c r="M117" s="586"/>
      <c r="N117" s="1154"/>
      <c r="O117" s="1154"/>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5"/>
      <c r="O118" s="1155"/>
      <c r="P118" s="2686"/>
      <c r="Q118" s="504"/>
    </row>
    <row r="119" spans="1:17" ht="15" thickTop="1">
      <c r="A119" s="599"/>
      <c r="B119" s="635" t="s">
        <v>2695</v>
      </c>
      <c r="C119" s="583"/>
      <c r="D119" s="583"/>
      <c r="E119" s="583"/>
      <c r="F119" s="583"/>
      <c r="G119" s="583"/>
      <c r="H119" s="583"/>
      <c r="I119" s="583"/>
      <c r="J119" s="583"/>
      <c r="K119" s="583"/>
      <c r="L119" s="2691"/>
      <c r="M119" s="2692"/>
      <c r="N119" s="1155"/>
      <c r="O119" s="1155"/>
      <c r="P119" s="2693"/>
      <c r="Q119" s="637"/>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5"/>
      <c r="O120" s="1155"/>
      <c r="P120" s="2686"/>
      <c r="Q120" s="504"/>
    </row>
    <row r="121" spans="1:17" s="471" customFormat="1" ht="15" thickTop="1">
      <c r="A121" s="593"/>
      <c r="B121" s="538" t="s">
        <v>2678</v>
      </c>
      <c r="C121" s="554"/>
      <c r="D121" s="554"/>
      <c r="E121" s="554"/>
      <c r="F121" s="583"/>
      <c r="G121" s="555"/>
      <c r="H121" s="555"/>
      <c r="I121" s="555"/>
      <c r="J121" s="555"/>
      <c r="K121" s="555"/>
      <c r="L121" s="556"/>
      <c r="M121" s="557"/>
      <c r="N121" s="1156"/>
      <c r="O121" s="1156"/>
      <c r="P121" s="2687"/>
      <c r="Q121" s="559"/>
    </row>
    <row r="122" spans="1:17" s="471" customFormat="1" ht="15.75" thickBot="1">
      <c r="A122" s="553"/>
      <c r="B122" s="535"/>
      <c r="C122" s="560"/>
      <c r="D122" s="560"/>
      <c r="E122" s="560"/>
      <c r="F122" s="560"/>
      <c r="G122" s="560"/>
      <c r="H122" s="560"/>
      <c r="I122" s="560"/>
      <c r="J122" s="560"/>
      <c r="K122" s="560"/>
      <c r="L122" s="560"/>
      <c r="M122" s="560"/>
      <c r="N122" s="1156"/>
      <c r="O122" s="1156"/>
      <c r="P122" s="2687"/>
      <c r="Q122" s="559"/>
    </row>
    <row r="123" spans="1:17" ht="15" thickTop="1">
      <c r="A123" s="599"/>
      <c r="B123" s="538" t="s">
        <v>2614</v>
      </c>
      <c r="C123" s="554"/>
      <c r="D123" s="554"/>
      <c r="E123" s="554"/>
      <c r="F123" s="583"/>
      <c r="G123" s="583"/>
      <c r="H123" s="583"/>
      <c r="I123" s="583"/>
      <c r="J123" s="583"/>
      <c r="K123" s="584"/>
      <c r="L123" s="585"/>
      <c r="M123" s="586"/>
      <c r="N123" s="1154"/>
      <c r="O123" s="1154"/>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5"/>
      <c r="O124" s="1155"/>
      <c r="P124" s="2686"/>
      <c r="Q124" s="504"/>
    </row>
    <row r="125" spans="1:17" ht="15" thickTop="1">
      <c r="A125" s="599"/>
      <c r="B125" s="538" t="s">
        <v>2615</v>
      </c>
      <c r="C125" s="578" t="s">
        <v>2591</v>
      </c>
      <c r="D125" s="578" t="s">
        <v>2592</v>
      </c>
      <c r="E125" s="578" t="s">
        <v>2593</v>
      </c>
      <c r="F125" s="578" t="s">
        <v>2594</v>
      </c>
      <c r="G125" s="578" t="s">
        <v>2595</v>
      </c>
      <c r="H125" s="539"/>
      <c r="I125" s="539"/>
      <c r="J125" s="539"/>
      <c r="K125" s="540"/>
      <c r="L125" s="541"/>
      <c r="M125" s="542"/>
      <c r="N125" s="1154"/>
      <c r="O125" s="1154"/>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5"/>
      <c r="O126" s="1155"/>
      <c r="P126" s="2686"/>
      <c r="Q126" s="504"/>
    </row>
    <row r="127" spans="1:17" s="471" customFormat="1" ht="15" thickTop="1">
      <c r="A127" s="593"/>
      <c r="B127" s="538">
        <f>B45</f>
        <v>111</v>
      </c>
      <c r="C127" s="554"/>
      <c r="D127" s="554"/>
      <c r="E127" s="554"/>
      <c r="F127" s="554"/>
      <c r="G127" s="554"/>
      <c r="H127" s="555"/>
      <c r="I127" s="555"/>
      <c r="J127" s="555"/>
      <c r="K127" s="555"/>
      <c r="L127" s="556"/>
      <c r="M127" s="557"/>
      <c r="N127" s="1156"/>
      <c r="O127" s="1156"/>
      <c r="P127" s="2687"/>
      <c r="Q127" s="559"/>
    </row>
    <row r="128" spans="1:17" s="471" customFormat="1" ht="15.75" thickBot="1">
      <c r="A128" s="553"/>
      <c r="B128" s="543"/>
      <c r="C128" s="560"/>
      <c r="D128" s="536"/>
      <c r="E128" s="536"/>
      <c r="F128" s="536"/>
      <c r="G128" s="560"/>
      <c r="H128" s="562"/>
      <c r="I128" s="562"/>
      <c r="J128" s="562"/>
      <c r="K128" s="562"/>
      <c r="L128" s="562"/>
      <c r="M128" s="563"/>
      <c r="N128" s="1156"/>
      <c r="O128" s="1156"/>
      <c r="P128" s="2687"/>
      <c r="Q128" s="559"/>
    </row>
    <row r="129" spans="1:17" ht="15" thickTop="1">
      <c r="A129" s="599"/>
      <c r="B129" s="538">
        <f>B46</f>
        <v>111</v>
      </c>
      <c r="C129" s="554"/>
      <c r="D129" s="554"/>
      <c r="E129" s="554"/>
      <c r="F129" s="554"/>
      <c r="G129" s="583"/>
      <c r="H129" s="583"/>
      <c r="I129" s="583"/>
      <c r="J129" s="583"/>
      <c r="K129" s="584"/>
      <c r="L129" s="585"/>
      <c r="M129" s="586"/>
      <c r="N129" s="1154"/>
      <c r="O129" s="1154"/>
      <c r="P129" s="2686"/>
      <c r="Q129" s="504"/>
    </row>
    <row r="130" spans="1:17" ht="15.75" thickBot="1">
      <c r="A130" s="534"/>
      <c r="B130" s="543"/>
      <c r="C130" s="560"/>
      <c r="D130" s="560"/>
      <c r="E130" s="560"/>
      <c r="F130" s="560"/>
      <c r="G130" s="536"/>
      <c r="H130" s="536"/>
      <c r="I130" s="536"/>
      <c r="J130" s="536"/>
      <c r="K130" s="536"/>
      <c r="L130" s="536"/>
      <c r="M130" s="537"/>
      <c r="N130" s="1155"/>
      <c r="O130" s="1155"/>
      <c r="P130" s="2686"/>
      <c r="Q130" s="504"/>
    </row>
    <row r="131" spans="1:17" ht="15" thickTop="1">
      <c r="A131" s="599"/>
      <c r="B131" s="546">
        <f>B47</f>
        <v>111</v>
      </c>
      <c r="C131" s="523"/>
      <c r="D131" s="523"/>
      <c r="E131" s="523"/>
      <c r="F131" s="523"/>
      <c r="G131" s="587"/>
      <c r="H131" s="587"/>
      <c r="I131" s="587"/>
      <c r="J131" s="587"/>
      <c r="K131" s="523"/>
      <c r="L131" s="524"/>
      <c r="M131" s="590"/>
      <c r="N131" s="1154"/>
      <c r="O131" s="1154"/>
      <c r="P131" s="2686"/>
      <c r="Q131" s="504"/>
    </row>
    <row r="132" spans="1:17" ht="15.75" thickBot="1">
      <c r="A132" s="2638"/>
      <c r="B132" s="569"/>
      <c r="C132" s="570"/>
      <c r="D132" s="570"/>
      <c r="E132" s="570"/>
      <c r="F132" s="570"/>
      <c r="G132" s="591"/>
      <c r="H132" s="591"/>
      <c r="I132" s="591"/>
      <c r="J132" s="591"/>
      <c r="K132" s="591"/>
      <c r="L132" s="591"/>
      <c r="M132" s="592"/>
      <c r="N132" s="1155"/>
      <c r="O132" s="1155"/>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2522</v>
      </c>
      <c r="B1" s="2671" t="s">
        <v>2696</v>
      </c>
      <c r="C1" s="1622" t="s">
        <v>2524</v>
      </c>
      <c r="D1" s="1623"/>
      <c r="E1" s="1632"/>
      <c r="F1" s="2586"/>
      <c r="G1" s="1633" t="s">
        <v>2637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2321</v>
      </c>
      <c r="B2" s="1420" t="e">
        <f ca="1">IF(C2="——",ROUND(C43*D3/10000,0),ROUND(C43*D3/10000,0)-D2)</f>
        <v>#DIV/0!</v>
      </c>
      <c r="C2" s="2588"/>
      <c r="D2" s="1126" t="e">
        <f ca="1">SUMIF(INDIRECT("'"&amp;F2&amp;"'"&amp;"!A:A"),"承租人权益价值",INDIRECT("'"&amp;F2&amp;"'"&amp;"!c:c"))</f>
        <v>#REF!</v>
      </c>
      <c r="E2" s="2589" t="s">
        <v>2322</v>
      </c>
      <c r="F2" s="2590"/>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8" customFormat="1" ht="28.5" customHeight="1" thickBot="1">
      <c r="A3" s="247" t="s">
        <v>2323</v>
      </c>
      <c r="B3" s="609" t="e">
        <f ca="1">IF(C2="——",C43,ROUND(B2*10000/D3,0))</f>
        <v>#DIV/0!</v>
      </c>
      <c r="C3" s="400" t="s">
        <v>2638</v>
      </c>
      <c r="D3" s="399">
        <f>IF(D1="",'数据-汇总表'!E3,SUMIF('数据-汇总表'!$C19:$C33,D1,'数据-汇总表'!$E19:$E33))</f>
        <v>1380.28</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1" t="s">
        <v>2642</v>
      </c>
      <c r="AC4" s="3180" t="s">
        <v>2643</v>
      </c>
    </row>
    <row r="5" spans="1:29" ht="15">
      <c r="A5" s="404"/>
      <c r="B5" s="405"/>
      <c r="C5" s="3192" t="s">
        <v>2536</v>
      </c>
      <c r="D5" s="3193"/>
      <c r="E5" s="3260" t="s">
        <v>2537</v>
      </c>
      <c r="F5" s="3191"/>
      <c r="G5" s="3192" t="s">
        <v>2538</v>
      </c>
      <c r="H5" s="3193"/>
      <c r="I5" s="3192" t="s">
        <v>2539</v>
      </c>
      <c r="J5" s="3193"/>
      <c r="K5" s="610"/>
      <c r="L5" s="1132"/>
      <c r="M5" s="1133"/>
      <c r="N5" s="1133"/>
      <c r="O5" s="1133"/>
      <c r="P5" s="3208"/>
      <c r="Q5" s="3209"/>
      <c r="R5" s="3188"/>
      <c r="S5" s="3189"/>
      <c r="T5" s="3188"/>
      <c r="U5" s="3189"/>
      <c r="V5" s="3183"/>
      <c r="W5" s="3183"/>
      <c r="X5" s="1815"/>
      <c r="Y5" s="3188"/>
      <c r="Z5" s="3189"/>
      <c r="AA5" s="3181"/>
      <c r="AB5" s="3181"/>
      <c r="AC5" s="3181"/>
    </row>
    <row r="6" spans="1:29" ht="15.75" thickBot="1">
      <c r="A6" s="406"/>
      <c r="B6" s="407"/>
      <c r="C6" s="3194" t="s">
        <v>2540</v>
      </c>
      <c r="D6" s="3195"/>
      <c r="E6" s="3197" t="s">
        <v>2540</v>
      </c>
      <c r="F6" s="3198"/>
      <c r="G6" s="3194" t="s">
        <v>2540</v>
      </c>
      <c r="H6" s="3195"/>
      <c r="I6" s="3194" t="s">
        <v>2540</v>
      </c>
      <c r="J6" s="3195"/>
      <c r="K6" s="610" t="s">
        <v>2541</v>
      </c>
      <c r="L6" s="1132"/>
      <c r="M6" s="1133"/>
      <c r="N6" s="1133"/>
      <c r="O6" s="1133"/>
      <c r="P6" s="3210"/>
      <c r="Q6" s="3211"/>
      <c r="R6" s="3188"/>
      <c r="S6" s="3189"/>
      <c r="T6" s="3212"/>
      <c r="U6" s="3213"/>
      <c r="V6" s="3183"/>
      <c r="W6" s="3183"/>
      <c r="X6" s="1815"/>
      <c r="Y6" s="3212"/>
      <c r="Z6" s="3213"/>
      <c r="AA6" s="3182"/>
      <c r="AB6" s="3182"/>
      <c r="AC6" s="3182"/>
    </row>
    <row r="7" spans="1:29" s="117" customFormat="1" ht="15.75" thickBot="1">
      <c r="A7" s="408" t="s">
        <v>2542</v>
      </c>
      <c r="B7" s="409"/>
      <c r="C7" s="410">
        <f>'数据-取费表'!B2</f>
        <v>43321</v>
      </c>
      <c r="D7" s="411">
        <v>100</v>
      </c>
      <c r="E7" s="412"/>
      <c r="F7" s="413">
        <f>SUMIF(52:52,YEAR(E7)&amp;"-"&amp;MONTH(E7),53:53)</f>
        <v>0</v>
      </c>
      <c r="G7" s="412"/>
      <c r="H7" s="411">
        <f>SUMIF(52:52,YEAR(G7)&amp;"-"&amp;MONTH(G7),53:53)</f>
        <v>0</v>
      </c>
      <c r="I7" s="412"/>
      <c r="J7" s="411">
        <f>SUMIF(52:52,YEAR(I7)&amp;"-"&amp;MONTH(I7),53:53)</f>
        <v>0</v>
      </c>
      <c r="K7" s="611"/>
      <c r="L7" s="1134"/>
      <c r="M7" s="1135"/>
      <c r="N7" s="1135"/>
      <c r="O7" s="1135"/>
      <c r="P7" s="3184" t="s">
        <v>2543</v>
      </c>
      <c r="Q7" s="3214"/>
      <c r="R7" s="769" t="s">
        <v>17</v>
      </c>
      <c r="S7" s="770">
        <f t="shared" ref="S7:S15" si="0">F7</f>
        <v>0</v>
      </c>
      <c r="T7" s="769" t="s">
        <v>17</v>
      </c>
      <c r="U7" s="770">
        <f t="shared" ref="U7:U15" si="1">H7</f>
        <v>0</v>
      </c>
      <c r="V7" s="769" t="s">
        <v>17</v>
      </c>
      <c r="W7" s="770">
        <f t="shared" ref="W7:W15" si="2">J7</f>
        <v>0</v>
      </c>
      <c r="X7" s="771"/>
      <c r="Y7" s="3184" t="s">
        <v>2543</v>
      </c>
      <c r="Z7" s="3185"/>
      <c r="AA7" s="772" t="e">
        <f>D7/F7</f>
        <v>#DIV/0!</v>
      </c>
      <c r="AB7" s="772" t="e">
        <f>D7/H7</f>
        <v>#DIV/0!</v>
      </c>
      <c r="AC7" s="772" t="e">
        <f>D7/J7</f>
        <v>#DIV/0!</v>
      </c>
    </row>
    <row r="8" spans="1:29" s="117" customFormat="1" ht="15.75" thickBot="1">
      <c r="A8" s="408" t="s">
        <v>2544</v>
      </c>
      <c r="B8" s="409"/>
      <c r="C8" s="414" t="s">
        <v>2545</v>
      </c>
      <c r="D8" s="411">
        <v>100</v>
      </c>
      <c r="E8" s="414"/>
      <c r="F8" s="413">
        <f>SUMIF(55:55,E8,56:56)-SUMIF(55:55,C8,56:56)+100</f>
        <v>0</v>
      </c>
      <c r="G8" s="414"/>
      <c r="H8" s="411">
        <f>SUMIF(55:55,G8,56:56)-SUMIF(55:55,C8,56:56)+100</f>
        <v>0</v>
      </c>
      <c r="I8" s="414"/>
      <c r="J8" s="411">
        <f>SUMIF(55:55,I8,56:56)-SUMIF(55:55,C8,56:56)+100</f>
        <v>0</v>
      </c>
      <c r="K8" s="611"/>
      <c r="L8" s="1134"/>
      <c r="M8" s="1135"/>
      <c r="N8" s="1135"/>
      <c r="O8" s="1135"/>
      <c r="P8" s="3184" t="s">
        <v>2546</v>
      </c>
      <c r="Q8" s="3185"/>
      <c r="R8" s="769" t="s">
        <v>17</v>
      </c>
      <c r="S8" s="770">
        <f t="shared" si="0"/>
        <v>0</v>
      </c>
      <c r="T8" s="769" t="s">
        <v>17</v>
      </c>
      <c r="U8" s="770">
        <f t="shared" si="1"/>
        <v>0</v>
      </c>
      <c r="V8" s="769" t="s">
        <v>17</v>
      </c>
      <c r="W8" s="770">
        <f t="shared" si="2"/>
        <v>0</v>
      </c>
      <c r="X8" s="771"/>
      <c r="Y8" s="3184" t="s">
        <v>2546</v>
      </c>
      <c r="Z8" s="3185"/>
      <c r="AA8" s="772" t="e">
        <f t="shared" ref="AA8:AA40" si="3">D8/F8</f>
        <v>#DIV/0!</v>
      </c>
      <c r="AB8" s="772" t="e">
        <f t="shared" ref="AB8:AB40" si="4">D8/H8</f>
        <v>#DIV/0!</v>
      </c>
      <c r="AC8" s="772" t="e">
        <f t="shared" ref="AC8:AC40" si="5">D8/J8</f>
        <v>#DIV/0!</v>
      </c>
    </row>
    <row r="9" spans="1:29" s="117" customFormat="1">
      <c r="A9" s="415" t="s">
        <v>2547</v>
      </c>
      <c r="B9" s="71" t="s">
        <v>2548</v>
      </c>
      <c r="C9" s="416"/>
      <c r="D9" s="135">
        <v>100</v>
      </c>
      <c r="E9" s="419"/>
      <c r="F9" s="135">
        <f>SUMIF(57:57,E9,58:58)-SUMIF(57:57,C9,58:58)+100</f>
        <v>100</v>
      </c>
      <c r="G9" s="417"/>
      <c r="H9" s="135">
        <f>SUMIF(57:57,G9,58:58)-SUMIF(57:57,C9,58:58)+100</f>
        <v>100</v>
      </c>
      <c r="I9" s="417"/>
      <c r="J9" s="135">
        <f>SUMIF(57:57,I9,58:58)-SUMIF(57:57,C9,58:58)+100</f>
        <v>100</v>
      </c>
      <c r="K9" s="611"/>
      <c r="L9" s="1134"/>
      <c r="M9" s="1135"/>
      <c r="N9" s="1135"/>
      <c r="O9" s="1136"/>
      <c r="P9" s="3224"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772">
        <f t="shared" si="5"/>
        <v>1</v>
      </c>
    </row>
    <row r="10" spans="1:29" s="427" customFormat="1" ht="27">
      <c r="A10" s="421"/>
      <c r="B10" s="422" t="s">
        <v>2551</v>
      </c>
      <c r="C10" s="423"/>
      <c r="D10" s="136">
        <v>100</v>
      </c>
      <c r="E10" s="423"/>
      <c r="F10" s="136">
        <f>SUMIF(59:59,E10,60:60)-SUMIF(59:59,C10,60:60)+100</f>
        <v>100</v>
      </c>
      <c r="G10" s="424"/>
      <c r="H10" s="136">
        <f>SUMIF(59:59,G10,60:60)-SUMIF(59:59,C10,60:60)+100</f>
        <v>100</v>
      </c>
      <c r="I10" s="423"/>
      <c r="J10" s="136">
        <f>SUMIF(59:59,I10,60:60)-SUMIF(59:59,C10,60:60)+100</f>
        <v>100</v>
      </c>
      <c r="K10" s="612"/>
      <c r="L10" s="1137"/>
      <c r="M10" s="1138"/>
      <c r="N10" s="1138"/>
      <c r="O10" s="1139"/>
      <c r="P10" s="3224"/>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
      <c r="A11" s="428"/>
      <c r="B11" s="422" t="s">
        <v>2552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0"/>
      <c r="M11" s="1133"/>
      <c r="N11" s="1133"/>
      <c r="O11" s="1141"/>
      <c r="P11" s="3224"/>
      <c r="Q11" s="1797"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4"/>
      <c r="M12" s="1135"/>
      <c r="N12" s="1135"/>
      <c r="O12" s="1136"/>
      <c r="P12" s="3224"/>
      <c r="Q12" s="1797">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2"/>
      <c r="M13" s="1133"/>
      <c r="N13" s="1133"/>
      <c r="O13" s="1141"/>
      <c r="P13" s="3224"/>
      <c r="Q13" s="1797">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2"/>
      <c r="M14" s="1133"/>
      <c r="N14" s="1133"/>
      <c r="O14" s="1141"/>
      <c r="P14" s="3224"/>
      <c r="Q14" s="1797">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772">
        <f t="shared" si="5"/>
        <v>1</v>
      </c>
    </row>
    <row r="15" spans="1:29" ht="57">
      <c r="A15" s="440" t="s">
        <v>2553</v>
      </c>
      <c r="B15" s="69" t="s">
        <v>2697</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2"/>
      <c r="M15" s="1133"/>
      <c r="N15" s="1133"/>
      <c r="O15" s="1141"/>
      <c r="P15" s="3217" t="s">
        <v>2554</v>
      </c>
      <c r="Q15" s="1812" t="str">
        <f t="shared" si="6"/>
        <v>产业集聚程度</v>
      </c>
      <c r="R15" s="773" t="s">
        <v>17</v>
      </c>
      <c r="S15" s="774">
        <f t="shared" si="0"/>
        <v>100</v>
      </c>
      <c r="T15" s="773" t="s">
        <v>17</v>
      </c>
      <c r="U15" s="774">
        <f t="shared" si="1"/>
        <v>100</v>
      </c>
      <c r="V15" s="773" t="s">
        <v>17</v>
      </c>
      <c r="W15" s="774">
        <f t="shared" si="2"/>
        <v>100</v>
      </c>
      <c r="X15" s="1815"/>
      <c r="Y15" s="3217" t="s">
        <v>2554</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2"/>
      <c r="M16" s="1133"/>
      <c r="N16" s="1133"/>
      <c r="O16" s="1141"/>
      <c r="P16" s="3218"/>
      <c r="Q16" s="1812"/>
      <c r="R16" s="773"/>
      <c r="S16" s="774"/>
      <c r="T16" s="773"/>
      <c r="U16" s="774"/>
      <c r="V16" s="773"/>
      <c r="W16" s="774"/>
      <c r="X16" s="1815"/>
      <c r="Y16" s="3218"/>
      <c r="Z16" s="1816"/>
      <c r="AA16" s="1813">
        <v>1</v>
      </c>
      <c r="AB16" s="1813">
        <v>1</v>
      </c>
      <c r="AC16" s="1813">
        <v>1</v>
      </c>
    </row>
    <row r="17" spans="1:29" ht="85.5">
      <c r="A17" s="428"/>
      <c r="B17" s="451" t="s">
        <v>2095</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2"/>
      <c r="M17" s="1133"/>
      <c r="N17" s="1133"/>
      <c r="O17" s="1141"/>
      <c r="P17" s="3218"/>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456"/>
      <c r="C18" s="2610"/>
      <c r="D18" s="450"/>
      <c r="E18" s="2612"/>
      <c r="F18" s="453"/>
      <c r="G18" s="2611"/>
      <c r="H18" s="448"/>
      <c r="I18" s="2612"/>
      <c r="J18" s="448"/>
      <c r="K18" s="615"/>
      <c r="L18" s="1142"/>
      <c r="M18" s="1133"/>
      <c r="N18" s="1133"/>
      <c r="O18" s="1141"/>
      <c r="P18" s="3218"/>
      <c r="Q18" s="1812"/>
      <c r="R18" s="773"/>
      <c r="S18" s="774"/>
      <c r="T18" s="773"/>
      <c r="U18" s="774"/>
      <c r="V18" s="773"/>
      <c r="W18" s="774"/>
      <c r="X18" s="1815"/>
      <c r="Y18" s="3218"/>
      <c r="Z18" s="1816"/>
      <c r="AA18" s="1813">
        <v>1</v>
      </c>
      <c r="AB18" s="1813">
        <v>1</v>
      </c>
      <c r="AC18" s="1813">
        <v>1</v>
      </c>
    </row>
    <row r="19" spans="1:29" ht="42.75">
      <c r="A19" s="428"/>
      <c r="B19" s="451" t="s">
        <v>2682</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2"/>
      <c r="M19" s="1133"/>
      <c r="N19" s="1133"/>
      <c r="O19" s="1141"/>
      <c r="P19" s="3218"/>
      <c r="Q19" s="1812" t="str">
        <f>B19</f>
        <v>公共配套设施</v>
      </c>
      <c r="R19" s="773" t="s">
        <v>17</v>
      </c>
      <c r="S19" s="774">
        <f>F19</f>
        <v>100</v>
      </c>
      <c r="T19" s="773" t="s">
        <v>17</v>
      </c>
      <c r="U19" s="774">
        <f>H19</f>
        <v>100</v>
      </c>
      <c r="V19" s="773" t="s">
        <v>17</v>
      </c>
      <c r="W19" s="774">
        <f>J19</f>
        <v>100</v>
      </c>
      <c r="X19" s="1815"/>
      <c r="Y19" s="3218"/>
      <c r="Z19" s="1816" t="str">
        <f>Q19</f>
        <v>公共配套设施</v>
      </c>
      <c r="AA19" s="1813">
        <f t="shared" si="3"/>
        <v>1</v>
      </c>
      <c r="AB19" s="1813">
        <f t="shared" si="4"/>
        <v>1</v>
      </c>
      <c r="AC19" s="1813">
        <f t="shared" si="5"/>
        <v>1</v>
      </c>
    </row>
    <row r="20" spans="1:29" ht="15">
      <c r="A20" s="428"/>
      <c r="B20" s="456"/>
      <c r="C20" s="447"/>
      <c r="D20" s="448"/>
      <c r="E20" s="2607"/>
      <c r="F20" s="449"/>
      <c r="G20" s="2606"/>
      <c r="H20" s="448"/>
      <c r="I20" s="2607"/>
      <c r="J20" s="448"/>
      <c r="K20" s="615"/>
      <c r="L20" s="1142"/>
      <c r="M20" s="1133"/>
      <c r="N20" s="1133"/>
      <c r="O20" s="1141"/>
      <c r="P20" s="3218"/>
      <c r="Q20" s="1812"/>
      <c r="R20" s="773"/>
      <c r="S20" s="774"/>
      <c r="T20" s="773"/>
      <c r="U20" s="774"/>
      <c r="V20" s="773"/>
      <c r="W20" s="774"/>
      <c r="X20" s="1815"/>
      <c r="Y20" s="3218"/>
      <c r="Z20" s="1816"/>
      <c r="AA20" s="1813">
        <v>1</v>
      </c>
      <c r="AB20" s="1813">
        <v>1</v>
      </c>
      <c r="AC20" s="1813">
        <v>1</v>
      </c>
    </row>
    <row r="21" spans="1:29" ht="28.5">
      <c r="A21" s="428"/>
      <c r="B21" s="1386" t="s">
        <v>2683</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2"/>
      <c r="M21" s="1133"/>
      <c r="N21" s="1133"/>
      <c r="O21" s="1141"/>
      <c r="P21" s="3218"/>
      <c r="Q21" s="1812" t="str">
        <f>B21</f>
        <v>基础设施水平</v>
      </c>
      <c r="R21" s="773" t="s">
        <v>17</v>
      </c>
      <c r="S21" s="774">
        <f>F21</f>
        <v>100</v>
      </c>
      <c r="T21" s="773" t="s">
        <v>17</v>
      </c>
      <c r="U21" s="774">
        <f>H21</f>
        <v>100</v>
      </c>
      <c r="V21" s="773" t="s">
        <v>17</v>
      </c>
      <c r="W21" s="774">
        <f>J21</f>
        <v>100</v>
      </c>
      <c r="X21" s="1815"/>
      <c r="Y21" s="3218"/>
      <c r="Z21" s="1816" t="str">
        <f>Q21</f>
        <v>基础设施水平</v>
      </c>
      <c r="AA21" s="1813">
        <f t="shared" ref="AA21" si="8">D21/F21</f>
        <v>1</v>
      </c>
      <c r="AB21" s="1813">
        <f t="shared" ref="AB21" si="9">D21/H21</f>
        <v>1</v>
      </c>
      <c r="AC21" s="1813">
        <f t="shared" ref="AC21" si="10">D21/J21</f>
        <v>1</v>
      </c>
    </row>
    <row r="22" spans="1:29" ht="15">
      <c r="A22" s="428"/>
      <c r="B22" s="1386"/>
      <c r="C22" s="2610"/>
      <c r="D22" s="448"/>
      <c r="E22" s="447"/>
      <c r="F22" s="449"/>
      <c r="G22" s="447"/>
      <c r="H22" s="448"/>
      <c r="I22" s="447"/>
      <c r="J22" s="448"/>
      <c r="K22" s="1385"/>
      <c r="L22" s="1142"/>
      <c r="M22" s="1133"/>
      <c r="N22" s="1133"/>
      <c r="O22" s="1141"/>
      <c r="P22" s="3218"/>
      <c r="Q22" s="1812"/>
      <c r="R22" s="773"/>
      <c r="S22" s="774"/>
      <c r="T22" s="773"/>
      <c r="U22" s="774"/>
      <c r="V22" s="773"/>
      <c r="W22" s="774"/>
      <c r="X22" s="1815"/>
      <c r="Y22" s="3218"/>
      <c r="Z22" s="1816"/>
      <c r="AA22" s="1813">
        <v>1</v>
      </c>
      <c r="AB22" s="1813">
        <v>1</v>
      </c>
      <c r="AC22" s="1813">
        <v>1</v>
      </c>
    </row>
    <row r="23" spans="1:29" ht="71.25">
      <c r="A23" s="428"/>
      <c r="B23" s="451" t="s">
        <v>2684</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2"/>
      <c r="M23" s="1133"/>
      <c r="N23" s="1133"/>
      <c r="O23" s="1141"/>
      <c r="P23" s="3218"/>
      <c r="Q23" s="1812" t="str">
        <f>B23</f>
        <v>环境质量</v>
      </c>
      <c r="R23" s="773" t="s">
        <v>17</v>
      </c>
      <c r="S23" s="774">
        <f>F23</f>
        <v>100</v>
      </c>
      <c r="T23" s="773" t="s">
        <v>17</v>
      </c>
      <c r="U23" s="774">
        <f>H23</f>
        <v>100</v>
      </c>
      <c r="V23" s="773" t="s">
        <v>17</v>
      </c>
      <c r="W23" s="774">
        <f>J23</f>
        <v>100</v>
      </c>
      <c r="X23" s="1815"/>
      <c r="Y23" s="3218"/>
      <c r="Z23" s="1816" t="str">
        <f>Q23</f>
        <v>环境质量</v>
      </c>
      <c r="AA23" s="1813">
        <f t="shared" si="3"/>
        <v>1</v>
      </c>
      <c r="AB23" s="1813">
        <f t="shared" si="4"/>
        <v>1</v>
      </c>
      <c r="AC23" s="1813">
        <f t="shared" si="5"/>
        <v>1</v>
      </c>
    </row>
    <row r="24" spans="1:29" ht="15">
      <c r="A24" s="428"/>
      <c r="B24" s="1386"/>
      <c r="C24" s="447"/>
      <c r="D24" s="448"/>
      <c r="E24" s="2607"/>
      <c r="F24" s="449"/>
      <c r="G24" s="2606"/>
      <c r="H24" s="448"/>
      <c r="I24" s="2607"/>
      <c r="J24" s="448"/>
      <c r="K24" s="615"/>
      <c r="L24" s="1142"/>
      <c r="M24" s="1133"/>
      <c r="N24" s="1133"/>
      <c r="O24" s="1141"/>
      <c r="P24" s="3218"/>
      <c r="Q24" s="1812"/>
      <c r="R24" s="773"/>
      <c r="S24" s="774"/>
      <c r="T24" s="773"/>
      <c r="U24" s="774"/>
      <c r="V24" s="773"/>
      <c r="W24" s="774"/>
      <c r="X24" s="1815"/>
      <c r="Y24" s="3218"/>
      <c r="Z24" s="1816"/>
      <c r="AA24" s="1813">
        <v>1</v>
      </c>
      <c r="AB24" s="1813">
        <v>1</v>
      </c>
      <c r="AC24" s="1813">
        <v>1</v>
      </c>
    </row>
    <row r="25" spans="1:29" ht="15">
      <c r="A25" s="404"/>
      <c r="B25" s="1388">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2"/>
      <c r="M25" s="1133"/>
      <c r="N25" s="1133"/>
      <c r="O25" s="1141"/>
      <c r="P25" s="3218"/>
      <c r="Q25" s="1812">
        <f>B25</f>
        <v>111</v>
      </c>
      <c r="R25" s="773" t="s">
        <v>17</v>
      </c>
      <c r="S25" s="774">
        <f>F25</f>
        <v>100</v>
      </c>
      <c r="T25" s="773" t="s">
        <v>17</v>
      </c>
      <c r="U25" s="774">
        <f>H25</f>
        <v>100</v>
      </c>
      <c r="V25" s="773" t="s">
        <v>17</v>
      </c>
      <c r="W25" s="774">
        <f>J25</f>
        <v>100</v>
      </c>
      <c r="X25" s="1815"/>
      <c r="Y25" s="3218"/>
      <c r="Z25" s="1816">
        <f>Q25</f>
        <v>111</v>
      </c>
      <c r="AA25" s="1813">
        <f t="shared" si="3"/>
        <v>1</v>
      </c>
      <c r="AB25" s="1813">
        <f t="shared" si="4"/>
        <v>1</v>
      </c>
      <c r="AC25" s="1813">
        <f t="shared" si="5"/>
        <v>1</v>
      </c>
    </row>
    <row r="26" spans="1:29" ht="15">
      <c r="A26" s="428"/>
      <c r="B26" s="1388">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2"/>
      <c r="M26" s="1133"/>
      <c r="N26" s="1133"/>
      <c r="O26" s="1141"/>
      <c r="P26" s="3218"/>
      <c r="Q26" s="1812">
        <f t="shared" ref="Q26:Q40" si="11">B26</f>
        <v>111</v>
      </c>
      <c r="R26" s="773" t="s">
        <v>17</v>
      </c>
      <c r="S26" s="774">
        <f>F26</f>
        <v>100</v>
      </c>
      <c r="T26" s="773" t="s">
        <v>17</v>
      </c>
      <c r="U26" s="774">
        <f>H26</f>
        <v>100</v>
      </c>
      <c r="V26" s="773" t="s">
        <v>17</v>
      </c>
      <c r="W26" s="774">
        <f>J26</f>
        <v>100</v>
      </c>
      <c r="X26" s="1815"/>
      <c r="Y26" s="3218"/>
      <c r="Z26" s="1816">
        <f>Q26</f>
        <v>111</v>
      </c>
      <c r="AA26" s="1813">
        <f t="shared" si="3"/>
        <v>1</v>
      </c>
      <c r="AB26" s="1813">
        <f t="shared" si="4"/>
        <v>1</v>
      </c>
      <c r="AC26" s="1813">
        <f t="shared" si="5"/>
        <v>1</v>
      </c>
    </row>
    <row r="27" spans="1:29" s="117" customFormat="1" ht="15">
      <c r="A27" s="431"/>
      <c r="B27" s="1388">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4"/>
      <c r="M27" s="1135"/>
      <c r="N27" s="1135"/>
      <c r="O27" s="1136"/>
      <c r="P27" s="3218"/>
      <c r="Q27" s="1797">
        <f t="shared" si="11"/>
        <v>111</v>
      </c>
      <c r="R27" s="769" t="s">
        <v>17</v>
      </c>
      <c r="S27" s="770">
        <f>F27</f>
        <v>100</v>
      </c>
      <c r="T27" s="769" t="s">
        <v>17</v>
      </c>
      <c r="U27" s="770">
        <f>H27</f>
        <v>100</v>
      </c>
      <c r="V27" s="769" t="s">
        <v>17</v>
      </c>
      <c r="W27" s="770">
        <f>J27</f>
        <v>100</v>
      </c>
      <c r="X27" s="771"/>
      <c r="Y27" s="3218"/>
      <c r="Z27" s="55">
        <f>Q27</f>
        <v>111</v>
      </c>
      <c r="AA27" s="1813">
        <f>D27/F27</f>
        <v>1</v>
      </c>
      <c r="AB27" s="1813">
        <f>D27/H27</f>
        <v>1</v>
      </c>
      <c r="AC27" s="1813">
        <f>D27/J27</f>
        <v>1</v>
      </c>
    </row>
    <row r="28" spans="1:29" ht="15.75" thickBot="1">
      <c r="A28" s="436"/>
      <c r="B28" s="1388">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2"/>
      <c r="M28" s="1133"/>
      <c r="N28" s="1133"/>
      <c r="O28" s="1141"/>
      <c r="P28" s="3218"/>
      <c r="Q28" s="1812">
        <f t="shared" si="11"/>
        <v>111</v>
      </c>
      <c r="R28" s="773" t="s">
        <v>17</v>
      </c>
      <c r="S28" s="774">
        <f t="shared" ref="S28:S40" si="12">F28</f>
        <v>100</v>
      </c>
      <c r="T28" s="773" t="s">
        <v>17</v>
      </c>
      <c r="U28" s="774">
        <f t="shared" ref="U28:U40" si="13">H28</f>
        <v>100</v>
      </c>
      <c r="V28" s="773" t="s">
        <v>17</v>
      </c>
      <c r="W28" s="774">
        <f t="shared" ref="W28:W40" si="14">J28</f>
        <v>100</v>
      </c>
      <c r="X28" s="1815"/>
      <c r="Y28" s="3218"/>
      <c r="Z28" s="1816">
        <f t="shared" ref="Z28:Z40" si="15">Q28</f>
        <v>111</v>
      </c>
      <c r="AA28" s="1813">
        <f t="shared" si="3"/>
        <v>1</v>
      </c>
      <c r="AB28" s="1813">
        <f t="shared" si="4"/>
        <v>1</v>
      </c>
      <c r="AC28" s="1813">
        <f t="shared" si="5"/>
        <v>1</v>
      </c>
    </row>
    <row r="29" spans="1:29" ht="15">
      <c r="A29" s="466" t="s">
        <v>2557</v>
      </c>
      <c r="B29" s="71" t="s">
        <v>2687</v>
      </c>
      <c r="C29" s="2681"/>
      <c r="D29" s="467">
        <v>100</v>
      </c>
      <c r="E29" s="2681"/>
      <c r="F29" s="461">
        <f>SUMIF(88:88,E29,89:89)-SUMIF(88:88,C29,89:89)+100</f>
        <v>100</v>
      </c>
      <c r="G29" s="2681"/>
      <c r="H29" s="435">
        <f>SUMIF(88:88,G29,89:89)-SUMIF(88:88,C29,89:89)+100</f>
        <v>100</v>
      </c>
      <c r="I29" s="2681"/>
      <c r="J29" s="467">
        <f>SUMIF(88:88,I29,89:89)-SUMIF(88:88,C29,89:89)+100</f>
        <v>100</v>
      </c>
      <c r="K29" s="612"/>
      <c r="L29" s="1142"/>
      <c r="M29" s="1133"/>
      <c r="N29" s="1133"/>
      <c r="O29" s="1141"/>
      <c r="P29" s="3276" t="s">
        <v>2559</v>
      </c>
      <c r="Q29" s="1812" t="str">
        <f t="shared" si="11"/>
        <v>建筑类型</v>
      </c>
      <c r="R29" s="773" t="s">
        <v>17</v>
      </c>
      <c r="S29" s="774">
        <f t="shared" si="12"/>
        <v>100</v>
      </c>
      <c r="T29" s="773" t="s">
        <v>17</v>
      </c>
      <c r="U29" s="774">
        <f t="shared" si="13"/>
        <v>100</v>
      </c>
      <c r="V29" s="773" t="s">
        <v>17</v>
      </c>
      <c r="W29" s="774">
        <f t="shared" si="14"/>
        <v>100</v>
      </c>
      <c r="X29" s="1815"/>
      <c r="Y29" s="3222" t="s">
        <v>2559</v>
      </c>
      <c r="Z29" s="1816" t="str">
        <f t="shared" si="15"/>
        <v>建筑类型</v>
      </c>
      <c r="AA29" s="1813">
        <f t="shared" si="3"/>
        <v>1</v>
      </c>
      <c r="AB29" s="1813">
        <f t="shared" si="4"/>
        <v>1</v>
      </c>
      <c r="AC29" s="1813">
        <f t="shared" si="5"/>
        <v>1</v>
      </c>
    </row>
    <row r="30" spans="1:29" s="471" customFormat="1" ht="15">
      <c r="A30" s="468"/>
      <c r="B30" s="422" t="s">
        <v>2560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0"/>
      <c r="M30" s="1143"/>
      <c r="N30" s="1143"/>
      <c r="O30" s="1144"/>
      <c r="P30" s="3222"/>
      <c r="Q30" s="775" t="str">
        <f t="shared" si="11"/>
        <v>项目建筑规模</v>
      </c>
      <c r="R30" s="776" t="s">
        <v>17</v>
      </c>
      <c r="S30" s="777" t="e">
        <f t="shared" si="12"/>
        <v>#N/A</v>
      </c>
      <c r="T30" s="776" t="s">
        <v>17</v>
      </c>
      <c r="U30" s="777" t="e">
        <f t="shared" si="13"/>
        <v>#N/A</v>
      </c>
      <c r="V30" s="776" t="s">
        <v>17</v>
      </c>
      <c r="W30" s="777" t="e">
        <f t="shared" si="14"/>
        <v>#N/A</v>
      </c>
      <c r="X30" s="778"/>
      <c r="Y30" s="3222"/>
      <c r="Z30" s="779" t="str">
        <f t="shared" si="15"/>
        <v>项目建筑规模</v>
      </c>
      <c r="AA30" s="1813" t="e">
        <f t="shared" si="3"/>
        <v>#N/A</v>
      </c>
      <c r="AB30" s="1813" t="e">
        <f t="shared" si="4"/>
        <v>#N/A</v>
      </c>
      <c r="AC30" s="1813" t="e">
        <f t="shared" si="5"/>
        <v>#N/A</v>
      </c>
    </row>
    <row r="31" spans="1:29" ht="15">
      <c r="A31" s="472"/>
      <c r="B31" s="422" t="s">
        <v>2561</v>
      </c>
      <c r="C31" s="460"/>
      <c r="D31" s="435">
        <v>100</v>
      </c>
      <c r="E31" s="460"/>
      <c r="F31" s="461">
        <f>SUMIF(93:93,E31,94:94)-SUMIF(93:93,C31,94:94)+100</f>
        <v>100</v>
      </c>
      <c r="G31" s="460"/>
      <c r="H31" s="435">
        <f>SUMIF(93:93,G31,94:94)-SUMIF(93:93,C31,94:94)+100</f>
        <v>100</v>
      </c>
      <c r="I31" s="460"/>
      <c r="J31" s="435">
        <f>SUMIF(93:93,I31,94:94)-SUMIF(93:93,C31,94:94)+100</f>
        <v>100</v>
      </c>
      <c r="K31" s="612"/>
      <c r="L31" s="1142"/>
      <c r="M31" s="1133"/>
      <c r="N31" s="1133"/>
      <c r="O31" s="1141"/>
      <c r="P31" s="3222"/>
      <c r="Q31" s="1812" t="str">
        <f t="shared" si="11"/>
        <v>建筑结构</v>
      </c>
      <c r="R31" s="773" t="s">
        <v>17</v>
      </c>
      <c r="S31" s="774">
        <f t="shared" si="12"/>
        <v>100</v>
      </c>
      <c r="T31" s="773" t="s">
        <v>17</v>
      </c>
      <c r="U31" s="774">
        <f t="shared" si="13"/>
        <v>100</v>
      </c>
      <c r="V31" s="773" t="s">
        <v>17</v>
      </c>
      <c r="W31" s="774">
        <f t="shared" si="14"/>
        <v>100</v>
      </c>
      <c r="X31" s="1815"/>
      <c r="Y31" s="3222"/>
      <c r="Z31" s="1816" t="str">
        <f t="shared" si="15"/>
        <v>建筑结构</v>
      </c>
      <c r="AA31" s="1813">
        <f t="shared" si="3"/>
        <v>1</v>
      </c>
      <c r="AB31" s="1813">
        <f t="shared" si="4"/>
        <v>1</v>
      </c>
      <c r="AC31" s="1813">
        <f t="shared" si="5"/>
        <v>1</v>
      </c>
    </row>
    <row r="32" spans="1:29" ht="15">
      <c r="A32" s="472"/>
      <c r="B32" s="422" t="s">
        <v>2655</v>
      </c>
      <c r="C32" s="460"/>
      <c r="D32" s="435">
        <v>100</v>
      </c>
      <c r="E32" s="460"/>
      <c r="F32" s="461">
        <f>SUMIF(95:95,E32,96:96)-SUMIF(95:95,C32,96:96)+100</f>
        <v>100</v>
      </c>
      <c r="G32" s="460"/>
      <c r="H32" s="435">
        <f>SUMIF(95:95,G32,96:96)-SUMIF(95:95,C32,96:96)+100</f>
        <v>100</v>
      </c>
      <c r="I32" s="460"/>
      <c r="J32" s="435">
        <f>SUMIF(95:95,I32,96:96)-SUMIF(95:95,C32,96:96)+100</f>
        <v>100</v>
      </c>
      <c r="K32" s="612"/>
      <c r="L32" s="1142"/>
      <c r="M32" s="1133"/>
      <c r="N32" s="1133"/>
      <c r="O32" s="1141"/>
      <c r="P32" s="3222"/>
      <c r="Q32" s="1812" t="str">
        <f t="shared" si="11"/>
        <v>公共部分装修</v>
      </c>
      <c r="R32" s="773" t="s">
        <v>17</v>
      </c>
      <c r="S32" s="774">
        <f t="shared" si="12"/>
        <v>100</v>
      </c>
      <c r="T32" s="773" t="s">
        <v>17</v>
      </c>
      <c r="U32" s="774">
        <f t="shared" si="13"/>
        <v>100</v>
      </c>
      <c r="V32" s="773" t="s">
        <v>17</v>
      </c>
      <c r="W32" s="774">
        <f t="shared" si="14"/>
        <v>100</v>
      </c>
      <c r="X32" s="1815"/>
      <c r="Y32" s="3222"/>
      <c r="Z32" s="1816" t="str">
        <f t="shared" si="15"/>
        <v>公共部分装修</v>
      </c>
      <c r="AA32" s="1813">
        <f t="shared" si="3"/>
        <v>1</v>
      </c>
      <c r="AB32" s="1813">
        <f t="shared" si="4"/>
        <v>1</v>
      </c>
      <c r="AC32" s="1813">
        <f t="shared" si="5"/>
        <v>1</v>
      </c>
    </row>
    <row r="33" spans="1:29" ht="15">
      <c r="A33" s="472"/>
      <c r="B33" s="422" t="s">
        <v>2656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2"/>
      <c r="M33" s="1133"/>
      <c r="N33" s="1133"/>
      <c r="O33" s="1141"/>
      <c r="P33" s="3222"/>
      <c r="Q33" s="1812" t="str">
        <f t="shared" si="11"/>
        <v>成新度</v>
      </c>
      <c r="R33" s="773" t="s">
        <v>17</v>
      </c>
      <c r="S33" s="774" t="e">
        <f t="shared" si="12"/>
        <v>#N/A</v>
      </c>
      <c r="T33" s="773" t="s">
        <v>17</v>
      </c>
      <c r="U33" s="774" t="e">
        <f t="shared" si="13"/>
        <v>#N/A</v>
      </c>
      <c r="V33" s="773" t="s">
        <v>17</v>
      </c>
      <c r="W33" s="774" t="e">
        <f t="shared" si="14"/>
        <v>#N/A</v>
      </c>
      <c r="X33" s="1815"/>
      <c r="Y33" s="3222"/>
      <c r="Z33" s="1816" t="str">
        <f t="shared" si="15"/>
        <v>成新度</v>
      </c>
      <c r="AA33" s="1813" t="e">
        <f t="shared" si="3"/>
        <v>#N/A</v>
      </c>
      <c r="AB33" s="1813" t="e">
        <f t="shared" si="4"/>
        <v>#N/A</v>
      </c>
      <c r="AC33" s="1813" t="e">
        <f t="shared" si="5"/>
        <v>#N/A</v>
      </c>
    </row>
    <row r="34" spans="1:29" s="117" customFormat="1" ht="15">
      <c r="A34" s="473"/>
      <c r="B34" s="422" t="s">
        <v>2689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4"/>
      <c r="M34" s="1135"/>
      <c r="N34" s="1135"/>
      <c r="O34" s="1136"/>
      <c r="P34" s="3222"/>
      <c r="Q34" s="1797" t="str">
        <f t="shared" si="11"/>
        <v>物业管理</v>
      </c>
      <c r="R34" s="769" t="s">
        <v>17</v>
      </c>
      <c r="S34" s="770">
        <f t="shared" si="12"/>
        <v>100</v>
      </c>
      <c r="T34" s="769" t="s">
        <v>17</v>
      </c>
      <c r="U34" s="770">
        <f t="shared" si="13"/>
        <v>100</v>
      </c>
      <c r="V34" s="769" t="s">
        <v>17</v>
      </c>
      <c r="W34" s="770">
        <f t="shared" si="14"/>
        <v>100</v>
      </c>
      <c r="X34" s="771"/>
      <c r="Y34" s="3222"/>
      <c r="Z34" s="55" t="str">
        <f t="shared" si="15"/>
        <v>物业管理</v>
      </c>
      <c r="AA34" s="772">
        <f t="shared" si="3"/>
        <v>1</v>
      </c>
      <c r="AB34" s="772">
        <f t="shared" si="4"/>
        <v>1</v>
      </c>
      <c r="AC34" s="772">
        <f t="shared" si="5"/>
        <v>1</v>
      </c>
    </row>
    <row r="35" spans="1:29" ht="15">
      <c r="A35" s="472"/>
      <c r="B35" s="422" t="s">
        <v>2657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2"/>
      <c r="M35" s="1133"/>
      <c r="N35" s="1133"/>
      <c r="O35" s="1141"/>
      <c r="P35" s="3222" t="s">
        <v>2559</v>
      </c>
      <c r="Q35" s="1812" t="str">
        <f t="shared" si="11"/>
        <v>市政基础设施</v>
      </c>
      <c r="R35" s="773" t="s">
        <v>17</v>
      </c>
      <c r="S35" s="774">
        <f t="shared" si="12"/>
        <v>100</v>
      </c>
      <c r="T35" s="773" t="s">
        <v>17</v>
      </c>
      <c r="U35" s="774">
        <f t="shared" si="13"/>
        <v>100</v>
      </c>
      <c r="V35" s="773" t="s">
        <v>17</v>
      </c>
      <c r="W35" s="774">
        <f t="shared" si="14"/>
        <v>100</v>
      </c>
      <c r="X35" s="1815"/>
      <c r="Y35" s="3222" t="s">
        <v>2559</v>
      </c>
      <c r="Z35" s="1816" t="str">
        <f t="shared" si="15"/>
        <v>市政基础设施</v>
      </c>
      <c r="AA35" s="1813">
        <f t="shared" si="3"/>
        <v>1</v>
      </c>
      <c r="AB35" s="1813">
        <f t="shared" si="4"/>
        <v>1</v>
      </c>
      <c r="AC35" s="1813">
        <f t="shared" si="5"/>
        <v>1</v>
      </c>
    </row>
    <row r="36" spans="1:29" ht="15">
      <c r="A36" s="472"/>
      <c r="B36" s="422" t="s">
        <v>2662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2"/>
      <c r="M36" s="1133"/>
      <c r="N36" s="1133"/>
      <c r="O36" s="1141"/>
      <c r="P36" s="3222"/>
      <c r="Q36" s="1812" t="str">
        <f t="shared" si="11"/>
        <v>内部装修</v>
      </c>
      <c r="R36" s="773" t="s">
        <v>17</v>
      </c>
      <c r="S36" s="774">
        <f t="shared" si="12"/>
        <v>100</v>
      </c>
      <c r="T36" s="773" t="s">
        <v>17</v>
      </c>
      <c r="U36" s="774">
        <f t="shared" si="13"/>
        <v>100</v>
      </c>
      <c r="V36" s="773" t="s">
        <v>17</v>
      </c>
      <c r="W36" s="774">
        <f t="shared" si="14"/>
        <v>100</v>
      </c>
      <c r="X36" s="1815"/>
      <c r="Y36" s="3222"/>
      <c r="Z36" s="1816" t="str">
        <f t="shared" si="15"/>
        <v>内部装修</v>
      </c>
      <c r="AA36" s="1813">
        <f t="shared" si="3"/>
        <v>1</v>
      </c>
      <c r="AB36" s="1813">
        <f t="shared" si="4"/>
        <v>1</v>
      </c>
      <c r="AC36" s="1813">
        <f t="shared" si="5"/>
        <v>1</v>
      </c>
    </row>
    <row r="37" spans="1:29" ht="15">
      <c r="A37" s="472"/>
      <c r="B37" s="422" t="s">
        <v>2698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2"/>
      <c r="M37" s="1133"/>
      <c r="N37" s="1133"/>
      <c r="O37" s="1141"/>
      <c r="P37" s="3222"/>
      <c r="Q37" s="1812" t="str">
        <f t="shared" si="11"/>
        <v>内部装修状况</v>
      </c>
      <c r="R37" s="773" t="s">
        <v>17</v>
      </c>
      <c r="S37" s="774">
        <f t="shared" si="12"/>
        <v>100</v>
      </c>
      <c r="T37" s="773" t="s">
        <v>17</v>
      </c>
      <c r="U37" s="774">
        <f t="shared" si="13"/>
        <v>100</v>
      </c>
      <c r="V37" s="773" t="s">
        <v>17</v>
      </c>
      <c r="W37" s="774">
        <f t="shared" si="14"/>
        <v>100</v>
      </c>
      <c r="X37" s="1815"/>
      <c r="Y37" s="3222"/>
      <c r="Z37" s="1816" t="str">
        <f t="shared" si="15"/>
        <v>内部装修状况</v>
      </c>
      <c r="AA37" s="1813">
        <f t="shared" si="3"/>
        <v>1</v>
      </c>
      <c r="AB37" s="1813">
        <f t="shared" si="4"/>
        <v>1</v>
      </c>
      <c r="AC37" s="1813">
        <f t="shared" si="5"/>
        <v>1</v>
      </c>
    </row>
    <row r="38" spans="1:29" s="471" customFormat="1" ht="15">
      <c r="A38" s="468"/>
      <c r="B38" s="1388">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0"/>
      <c r="M38" s="1143"/>
      <c r="N38" s="1143"/>
      <c r="O38" s="1144"/>
      <c r="P38" s="3222"/>
      <c r="Q38" s="775">
        <f t="shared" si="11"/>
        <v>111</v>
      </c>
      <c r="R38" s="776" t="s">
        <v>17</v>
      </c>
      <c r="S38" s="777">
        <f t="shared" si="12"/>
        <v>100</v>
      </c>
      <c r="T38" s="776" t="s">
        <v>17</v>
      </c>
      <c r="U38" s="777">
        <f t="shared" si="13"/>
        <v>100</v>
      </c>
      <c r="V38" s="776" t="s">
        <v>17</v>
      </c>
      <c r="W38" s="777">
        <f t="shared" si="14"/>
        <v>100</v>
      </c>
      <c r="X38" s="778"/>
      <c r="Y38" s="3222"/>
      <c r="Z38" s="779">
        <f t="shared" si="15"/>
        <v>111</v>
      </c>
      <c r="AA38" s="1813">
        <f t="shared" si="3"/>
        <v>1</v>
      </c>
      <c r="AB38" s="1813">
        <f t="shared" si="4"/>
        <v>1</v>
      </c>
      <c r="AC38" s="1813">
        <f t="shared" si="5"/>
        <v>1</v>
      </c>
    </row>
    <row r="39" spans="1:29" ht="15">
      <c r="A39" s="472"/>
      <c r="B39" s="1388">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2"/>
      <c r="M39" s="1133"/>
      <c r="N39" s="1133"/>
      <c r="O39" s="1141"/>
      <c r="P39" s="3222"/>
      <c r="Q39" s="1812">
        <f t="shared" si="11"/>
        <v>111</v>
      </c>
      <c r="R39" s="773" t="s">
        <v>17</v>
      </c>
      <c r="S39" s="774">
        <f t="shared" si="12"/>
        <v>100</v>
      </c>
      <c r="T39" s="773" t="s">
        <v>17</v>
      </c>
      <c r="U39" s="774">
        <f t="shared" si="13"/>
        <v>100</v>
      </c>
      <c r="V39" s="773" t="s">
        <v>17</v>
      </c>
      <c r="W39" s="774">
        <f t="shared" si="14"/>
        <v>100</v>
      </c>
      <c r="X39" s="1815"/>
      <c r="Y39" s="3222"/>
      <c r="Z39" s="1816">
        <f t="shared" si="15"/>
        <v>111</v>
      </c>
      <c r="AA39" s="1813">
        <f t="shared" si="3"/>
        <v>1</v>
      </c>
      <c r="AB39" s="1813">
        <f t="shared" si="4"/>
        <v>1</v>
      </c>
      <c r="AC39" s="1813">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2"/>
      <c r="M40" s="1133"/>
      <c r="N40" s="1133"/>
      <c r="O40" s="1141"/>
      <c r="P40" s="3223"/>
      <c r="Q40" s="1812">
        <f t="shared" si="11"/>
        <v>111</v>
      </c>
      <c r="R40" s="773" t="s">
        <v>17</v>
      </c>
      <c r="S40" s="774">
        <f t="shared" si="12"/>
        <v>100</v>
      </c>
      <c r="T40" s="773" t="s">
        <v>17</v>
      </c>
      <c r="U40" s="774">
        <f t="shared" si="13"/>
        <v>100</v>
      </c>
      <c r="V40" s="773" t="s">
        <v>17</v>
      </c>
      <c r="W40" s="774">
        <f t="shared" si="14"/>
        <v>100</v>
      </c>
      <c r="X40" s="1815"/>
      <c r="Y40" s="3223"/>
      <c r="Z40" s="1816">
        <f t="shared" si="15"/>
        <v>111</v>
      </c>
      <c r="AA40" s="1813">
        <f t="shared" si="3"/>
        <v>1</v>
      </c>
      <c r="AB40" s="1813">
        <f t="shared" si="4"/>
        <v>1</v>
      </c>
      <c r="AC40" s="1813">
        <f t="shared" si="5"/>
        <v>1</v>
      </c>
    </row>
    <row r="41" spans="1:29" ht="15">
      <c r="A41" s="479" t="s">
        <v>2571</v>
      </c>
      <c r="B41" s="480"/>
      <c r="C41" s="1409" t="s">
        <v>1</v>
      </c>
      <c r="D41" s="1410"/>
      <c r="E41" s="1411"/>
      <c r="F41" s="1412"/>
      <c r="G41" s="1413"/>
      <c r="H41" s="1414"/>
      <c r="I41" s="1411"/>
      <c r="J41" s="1414"/>
      <c r="K41" s="782"/>
      <c r="L41" s="1145"/>
      <c r="M41" s="1146"/>
      <c r="N41" s="1133"/>
      <c r="O41" s="1146"/>
      <c r="P41" s="3224" t="str">
        <f>A41</f>
        <v>成交单价（元/平方米）</v>
      </c>
      <c r="Q41" s="3224"/>
      <c r="R41" s="3225">
        <f>E41</f>
        <v>0</v>
      </c>
      <c r="S41" s="3225"/>
      <c r="T41" s="3225">
        <f>G41</f>
        <v>0</v>
      </c>
      <c r="U41" s="3225"/>
      <c r="V41" s="3225">
        <f>I41</f>
        <v>0</v>
      </c>
      <c r="W41" s="3225"/>
      <c r="X41" s="758"/>
      <c r="Y41" s="780"/>
      <c r="Z41" s="758"/>
      <c r="AA41" s="758"/>
      <c r="AB41" s="758"/>
      <c r="AC41" s="758"/>
    </row>
    <row r="42" spans="1:29" ht="15.75" thickBot="1">
      <c r="A42" s="486" t="s">
        <v>2663</v>
      </c>
      <c r="B42" s="487"/>
      <c r="C42" s="1415" t="e">
        <f>R43</f>
        <v>#DIV/0!</v>
      </c>
      <c r="D42" s="1416"/>
      <c r="E42" s="1417" t="e">
        <f>R42</f>
        <v>#DIV/0!</v>
      </c>
      <c r="F42" s="1417"/>
      <c r="G42" s="1415" t="e">
        <f>T42</f>
        <v>#DIV/0!</v>
      </c>
      <c r="H42" s="1416"/>
      <c r="I42" s="1417" t="e">
        <f>V42</f>
        <v>#DIV/0!</v>
      </c>
      <c r="J42" s="1416"/>
      <c r="K42" s="783"/>
      <c r="L42" s="1145"/>
      <c r="M42" s="1146"/>
      <c r="N42" s="1133"/>
      <c r="O42" s="1146"/>
      <c r="P42" s="3224" t="str">
        <f>A42</f>
        <v>比较价值（元/平方米）</v>
      </c>
      <c r="Q42" s="3224"/>
      <c r="R42" s="3225" t="e">
        <f>IF(F1="售价",ROUND(PRODUCT(R41,AA7:AA40),0),ROUND(PRODUCT(R41,AA7:AA40),1))</f>
        <v>#DIV/0!</v>
      </c>
      <c r="S42" s="3225"/>
      <c r="T42" s="3225" t="e">
        <f>IF(F1="售价",ROUND(PRODUCT(T41,AB7:AB40),0),ROUND(PRODUCT(T41,AB7:AB40),1))</f>
        <v>#DIV/0!</v>
      </c>
      <c r="U42" s="3225"/>
      <c r="V42" s="3225" t="e">
        <f>IF(F1="售价",ROUND(PRODUCT(V41,AC7:AC40),0),ROUND(PRODUCT(V41,AC7:AC40),1))</f>
        <v>#DIV/0!</v>
      </c>
      <c r="W42" s="3225"/>
      <c r="X42" s="758"/>
      <c r="Y42" s="758"/>
      <c r="Z42" s="758"/>
      <c r="AA42" s="758"/>
      <c r="AB42" s="758"/>
      <c r="AC42" s="758"/>
    </row>
    <row r="43" spans="1:29" ht="15.75" thickBot="1">
      <c r="A43" s="492" t="s">
        <v>2664</v>
      </c>
      <c r="B43" s="493"/>
      <c r="C43" s="1419" t="e">
        <f>R43</f>
        <v>#DIV/0!</v>
      </c>
      <c r="D43" s="1419"/>
      <c r="E43" s="1419"/>
      <c r="F43" s="1419"/>
      <c r="G43" s="1419"/>
      <c r="H43" s="1419"/>
      <c r="I43" s="1419"/>
      <c r="J43" s="1419"/>
      <c r="K43" s="784"/>
      <c r="L43" s="1145"/>
      <c r="M43" s="1146"/>
      <c r="N43" s="1146"/>
      <c r="O43" s="1146"/>
      <c r="P43" s="3226" t="str">
        <f>A43</f>
        <v>估价对象XX用房的比较价值（楼面单价，元/平方米）</v>
      </c>
      <c r="Q43" s="3227"/>
      <c r="R43" s="3228" t="e">
        <f>IF(F1="售价",ROUND(AVERAGE(R42:V42),0),ROUND(AVERAGE(R42:V42),1))</f>
        <v>#DIV/0!</v>
      </c>
      <c r="S43" s="3228"/>
      <c r="T43" s="3228"/>
      <c r="U43" s="3228"/>
      <c r="V43" s="3228"/>
      <c r="W43" s="3228"/>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46"/>
      <c r="N46" s="1146"/>
      <c r="O46" s="1146"/>
    </row>
    <row r="47" spans="1:29" ht="13.5" customHeight="1">
      <c r="A47" s="1146"/>
      <c r="B47" s="1146"/>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2668</v>
      </c>
      <c r="B51" s="758"/>
      <c r="C51" s="763"/>
      <c r="D51" s="763"/>
      <c r="E51" s="763"/>
      <c r="F51" s="764"/>
      <c r="G51" s="764"/>
      <c r="H51" s="763"/>
      <c r="I51" s="763"/>
      <c r="J51" s="763"/>
      <c r="K51" s="1162"/>
      <c r="L51" s="1163"/>
      <c r="M51" s="1161"/>
      <c r="N51" s="1161"/>
      <c r="O51" s="1161"/>
      <c r="P51" s="503"/>
      <c r="Q51" s="504"/>
    </row>
    <row r="52" spans="1:17" s="508" customFormat="1" ht="15">
      <c r="A52" s="505" t="s">
        <v>2542</v>
      </c>
      <c r="B52" s="506"/>
      <c r="C52" s="1576" t="str">
        <f>YEAR(C7)&amp;"-"&amp;MONTH(C7)</f>
        <v>2018-8</v>
      </c>
      <c r="D52" s="1577">
        <f>EDATE(C52,-1)</f>
        <v>43282</v>
      </c>
      <c r="E52" s="1577">
        <f t="shared" ref="E52:O52" si="16">EDATE(D52,-1)</f>
        <v>43252</v>
      </c>
      <c r="F52" s="1577">
        <f t="shared" si="16"/>
        <v>43221</v>
      </c>
      <c r="G52" s="1577">
        <f t="shared" si="16"/>
        <v>43191</v>
      </c>
      <c r="H52" s="1577">
        <f t="shared" si="16"/>
        <v>43160</v>
      </c>
      <c r="I52" s="1577">
        <f t="shared" si="16"/>
        <v>43132</v>
      </c>
      <c r="J52" s="1577">
        <f t="shared" si="16"/>
        <v>43101</v>
      </c>
      <c r="K52" s="1577">
        <f t="shared" si="16"/>
        <v>43070</v>
      </c>
      <c r="L52" s="1577">
        <f t="shared" si="16"/>
        <v>43040</v>
      </c>
      <c r="M52" s="1577">
        <f t="shared" si="16"/>
        <v>43009</v>
      </c>
      <c r="N52" s="1577">
        <f t="shared" si="16"/>
        <v>42979</v>
      </c>
      <c r="O52" s="1577">
        <f t="shared" si="16"/>
        <v>42948</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2579</v>
      </c>
      <c r="B54" s="516"/>
      <c r="C54" s="517"/>
      <c r="D54" s="518"/>
      <c r="E54" s="518"/>
      <c r="F54" s="518"/>
      <c r="G54" s="518"/>
      <c r="H54" s="518"/>
      <c r="I54" s="518"/>
      <c r="J54" s="518"/>
      <c r="K54" s="518"/>
      <c r="L54" s="518"/>
      <c r="M54" s="519"/>
      <c r="N54" s="518"/>
      <c r="O54" s="520"/>
      <c r="P54" s="504"/>
      <c r="Q54" s="504"/>
    </row>
    <row r="55" spans="1:17" s="117" customFormat="1" ht="15">
      <c r="A55" s="521" t="s">
        <v>2544</v>
      </c>
      <c r="B55" s="510"/>
      <c r="C55" s="522" t="s">
        <v>2646</v>
      </c>
      <c r="D55" s="523"/>
      <c r="E55" s="523"/>
      <c r="F55" s="523"/>
      <c r="G55" s="523"/>
      <c r="H55" s="523"/>
      <c r="I55" s="523"/>
      <c r="J55" s="523"/>
      <c r="K55" s="523"/>
      <c r="L55" s="524"/>
      <c r="M55" s="525"/>
      <c r="N55" s="1153"/>
      <c r="O55" s="1153"/>
      <c r="P55" s="526"/>
      <c r="Q55" s="504"/>
    </row>
    <row r="56" spans="1:17" s="117" customFormat="1" ht="15.75" thickBot="1">
      <c r="A56" s="521"/>
      <c r="B56" s="510"/>
      <c r="C56" s="638">
        <v>100</v>
      </c>
      <c r="D56" s="512"/>
      <c r="E56" s="512"/>
      <c r="F56" s="512"/>
      <c r="G56" s="512"/>
      <c r="H56" s="512"/>
      <c r="I56" s="512"/>
      <c r="J56" s="512"/>
      <c r="K56" s="512"/>
      <c r="L56" s="512"/>
      <c r="M56" s="514"/>
      <c r="N56" s="1153"/>
      <c r="O56" s="1153"/>
      <c r="P56" s="504"/>
      <c r="Q56" s="504"/>
    </row>
    <row r="57" spans="1:17">
      <c r="A57" s="527" t="s">
        <v>2582</v>
      </c>
      <c r="B57" s="528" t="s">
        <v>2548</v>
      </c>
      <c r="C57" s="529">
        <f>C9</f>
        <v>0</v>
      </c>
      <c r="D57" s="530"/>
      <c r="E57" s="530"/>
      <c r="F57" s="530"/>
      <c r="G57" s="530"/>
      <c r="H57" s="530"/>
      <c r="I57" s="530"/>
      <c r="J57" s="530"/>
      <c r="K57" s="531"/>
      <c r="L57" s="532"/>
      <c r="M57" s="533"/>
      <c r="N57" s="1154"/>
      <c r="O57" s="1154"/>
      <c r="P57" s="45"/>
      <c r="Q57" s="504"/>
    </row>
    <row r="58" spans="1:17" ht="15.75" thickBot="1">
      <c r="A58" s="534"/>
      <c r="B58" s="535"/>
      <c r="C58" s="536">
        <v>100</v>
      </c>
      <c r="D58" s="536"/>
      <c r="E58" s="536"/>
      <c r="F58" s="536"/>
      <c r="G58" s="536"/>
      <c r="H58" s="536"/>
      <c r="I58" s="536"/>
      <c r="J58" s="536"/>
      <c r="K58" s="536"/>
      <c r="L58" s="536"/>
      <c r="M58" s="537"/>
      <c r="N58" s="1155"/>
      <c r="O58" s="1155"/>
      <c r="P58" s="45"/>
      <c r="Q58" s="504"/>
    </row>
    <row r="59" spans="1:17" ht="27.75" thickTop="1">
      <c r="A59" s="534"/>
      <c r="B59" s="538" t="s">
        <v>2551</v>
      </c>
      <c r="C59" s="539" t="s">
        <v>2583</v>
      </c>
      <c r="D59" s="539" t="s">
        <v>2584</v>
      </c>
      <c r="E59" s="539" t="s">
        <v>2585</v>
      </c>
      <c r="F59" s="539" t="s">
        <v>2586</v>
      </c>
      <c r="G59" s="539" t="s">
        <v>2587</v>
      </c>
      <c r="H59" s="539" t="s">
        <v>2588</v>
      </c>
      <c r="I59" s="539" t="s">
        <v>2589</v>
      </c>
      <c r="J59" s="539"/>
      <c r="K59" s="540"/>
      <c r="L59" s="541"/>
      <c r="M59" s="542"/>
      <c r="N59" s="1154"/>
      <c r="O59" s="1154"/>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5"/>
      <c r="O60" s="1155"/>
      <c r="P60" s="45"/>
      <c r="Q60" s="504"/>
    </row>
    <row r="61" spans="1:17" ht="15.75" thickTop="1">
      <c r="A61" s="534"/>
      <c r="B61" s="546" t="s">
        <v>2552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5"/>
      <c r="O61" s="1155"/>
      <c r="P61" s="45"/>
      <c r="Q61" s="504"/>
    </row>
    <row r="62" spans="1:17" ht="15">
      <c r="A62" s="534"/>
      <c r="B62" s="548"/>
      <c r="C62" s="549"/>
      <c r="D62" s="549"/>
      <c r="E62" s="549"/>
      <c r="F62" s="549"/>
      <c r="G62" s="549"/>
      <c r="H62" s="549"/>
      <c r="I62" s="549"/>
      <c r="J62" s="549"/>
      <c r="K62" s="550"/>
      <c r="L62" s="551"/>
      <c r="M62" s="552"/>
      <c r="N62" s="1154"/>
      <c r="O62" s="1154"/>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5"/>
      <c r="O63" s="1155"/>
      <c r="P63" s="45"/>
      <c r="Q63" s="504"/>
    </row>
    <row r="64" spans="1:17" s="471" customFormat="1" ht="15.75" thickTop="1">
      <c r="A64" s="553"/>
      <c r="B64" s="538">
        <f>B12</f>
        <v>111</v>
      </c>
      <c r="C64" s="554"/>
      <c r="D64" s="554"/>
      <c r="E64" s="554"/>
      <c r="F64" s="554"/>
      <c r="G64" s="554"/>
      <c r="H64" s="555"/>
      <c r="I64" s="555"/>
      <c r="J64" s="555"/>
      <c r="K64" s="555"/>
      <c r="L64" s="556"/>
      <c r="M64" s="557"/>
      <c r="N64" s="1156"/>
      <c r="O64" s="1156"/>
      <c r="P64" s="558"/>
      <c r="Q64" s="559"/>
    </row>
    <row r="65" spans="1:17" s="471" customFormat="1" ht="15.75" thickBot="1">
      <c r="A65" s="553"/>
      <c r="B65" s="543"/>
      <c r="C65" s="560"/>
      <c r="D65" s="536"/>
      <c r="E65" s="536"/>
      <c r="F65" s="536"/>
      <c r="G65" s="536"/>
      <c r="H65" s="536"/>
      <c r="I65" s="536"/>
      <c r="J65" s="536"/>
      <c r="K65" s="536"/>
      <c r="L65" s="536"/>
      <c r="M65" s="537"/>
      <c r="N65" s="1155"/>
      <c r="O65" s="1155"/>
      <c r="P65" s="558"/>
      <c r="Q65" s="559"/>
    </row>
    <row r="66" spans="1:17" s="471" customFormat="1" ht="15.75" thickTop="1">
      <c r="A66" s="553"/>
      <c r="B66" s="538">
        <f>B13</f>
        <v>111</v>
      </c>
      <c r="C66" s="554"/>
      <c r="D66" s="554"/>
      <c r="E66" s="554"/>
      <c r="F66" s="554"/>
      <c r="G66" s="554"/>
      <c r="H66" s="555"/>
      <c r="I66" s="555"/>
      <c r="J66" s="555"/>
      <c r="K66" s="555"/>
      <c r="L66" s="556"/>
      <c r="M66" s="557"/>
      <c r="N66" s="1156"/>
      <c r="O66" s="1156"/>
      <c r="P66" s="470"/>
      <c r="Q66" s="561"/>
    </row>
    <row r="67" spans="1:17" s="471" customFormat="1" ht="15.75" thickBot="1">
      <c r="A67" s="553"/>
      <c r="B67" s="543"/>
      <c r="C67" s="560"/>
      <c r="D67" s="536"/>
      <c r="E67" s="536"/>
      <c r="F67" s="536"/>
      <c r="G67" s="560"/>
      <c r="H67" s="562"/>
      <c r="I67" s="562"/>
      <c r="J67" s="562"/>
      <c r="K67" s="562"/>
      <c r="L67" s="562"/>
      <c r="M67" s="563"/>
      <c r="N67" s="1156"/>
      <c r="O67" s="1156"/>
      <c r="P67" s="558"/>
      <c r="Q67" s="559"/>
    </row>
    <row r="68" spans="1:17" s="471" customFormat="1" ht="15.75" thickTop="1">
      <c r="A68" s="553"/>
      <c r="B68" s="546">
        <f>B14</f>
        <v>111</v>
      </c>
      <c r="C68" s="523"/>
      <c r="D68" s="523"/>
      <c r="E68" s="523"/>
      <c r="F68" s="523"/>
      <c r="G68" s="523"/>
      <c r="H68" s="564"/>
      <c r="I68" s="564"/>
      <c r="J68" s="564"/>
      <c r="K68" s="564"/>
      <c r="L68" s="565"/>
      <c r="M68" s="566"/>
      <c r="N68" s="1156"/>
      <c r="O68" s="1156"/>
      <c r="P68" s="567"/>
      <c r="Q68" s="559"/>
    </row>
    <row r="69" spans="1:17" s="471" customFormat="1" ht="15.75" thickBot="1">
      <c r="A69" s="568"/>
      <c r="B69" s="569"/>
      <c r="C69" s="570"/>
      <c r="D69" s="570"/>
      <c r="E69" s="570"/>
      <c r="F69" s="570"/>
      <c r="G69" s="570"/>
      <c r="H69" s="571"/>
      <c r="I69" s="571"/>
      <c r="J69" s="571"/>
      <c r="K69" s="571"/>
      <c r="L69" s="571"/>
      <c r="M69" s="572"/>
      <c r="N69" s="1156"/>
      <c r="O69" s="1156"/>
      <c r="P69" s="558"/>
      <c r="Q69" s="559"/>
    </row>
    <row r="70" spans="1:17">
      <c r="A70" s="527" t="s">
        <v>2553</v>
      </c>
      <c r="B70" s="528" t="s">
        <v>2699</v>
      </c>
      <c r="C70" s="573" t="s">
        <v>2591</v>
      </c>
      <c r="D70" s="573" t="s">
        <v>2592</v>
      </c>
      <c r="E70" s="573" t="s">
        <v>2593</v>
      </c>
      <c r="F70" s="573" t="s">
        <v>2594</v>
      </c>
      <c r="G70" s="573" t="s">
        <v>2595</v>
      </c>
      <c r="H70" s="529"/>
      <c r="I70" s="529"/>
      <c r="J70" s="529"/>
      <c r="K70" s="574"/>
      <c r="L70" s="575"/>
      <c r="M70" s="576"/>
      <c r="N70" s="1154"/>
      <c r="O70" s="1154"/>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5"/>
      <c r="O71" s="1155"/>
      <c r="P71" s="45"/>
      <c r="Q71" s="504"/>
    </row>
    <row r="72" spans="1:17" ht="15.75" thickTop="1">
      <c r="A72" s="534"/>
      <c r="B72" s="538" t="s">
        <v>2596</v>
      </c>
      <c r="C72" s="578" t="s">
        <v>2591</v>
      </c>
      <c r="D72" s="578" t="s">
        <v>2592</v>
      </c>
      <c r="E72" s="578" t="s">
        <v>2593</v>
      </c>
      <c r="F72" s="578" t="s">
        <v>2594</v>
      </c>
      <c r="G72" s="578" t="s">
        <v>2595</v>
      </c>
      <c r="H72" s="539"/>
      <c r="I72" s="539"/>
      <c r="J72" s="539"/>
      <c r="K72" s="540"/>
      <c r="L72" s="541"/>
      <c r="M72" s="542"/>
      <c r="N72" s="1154"/>
      <c r="O72" s="1154"/>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5"/>
      <c r="O73" s="1155"/>
      <c r="P73" s="45"/>
      <c r="Q73" s="504"/>
    </row>
    <row r="74" spans="1:17" ht="15.75" thickTop="1">
      <c r="A74" s="534"/>
      <c r="B74" s="538" t="s">
        <v>2597</v>
      </c>
      <c r="C74" s="578" t="s">
        <v>2591</v>
      </c>
      <c r="D74" s="578" t="s">
        <v>2592</v>
      </c>
      <c r="E74" s="578" t="s">
        <v>2593</v>
      </c>
      <c r="F74" s="578" t="s">
        <v>2594</v>
      </c>
      <c r="G74" s="578" t="s">
        <v>2595</v>
      </c>
      <c r="H74" s="539"/>
      <c r="I74" s="539"/>
      <c r="J74" s="539"/>
      <c r="K74" s="540"/>
      <c r="L74" s="541"/>
      <c r="M74" s="542"/>
      <c r="N74" s="1154"/>
      <c r="O74" s="1154"/>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5"/>
      <c r="O75" s="1155"/>
      <c r="P75" s="45"/>
      <c r="Q75" s="504"/>
    </row>
    <row r="76" spans="1:17" ht="15.75" thickTop="1">
      <c r="A76" s="534"/>
      <c r="B76" s="546" t="s">
        <v>2683</v>
      </c>
      <c r="C76" s="659" t="s">
        <v>2669</v>
      </c>
      <c r="D76" s="659" t="s">
        <v>2670</v>
      </c>
      <c r="E76" s="659" t="s">
        <v>2671</v>
      </c>
      <c r="F76" s="659" t="s">
        <v>2672</v>
      </c>
      <c r="G76" s="659" t="s">
        <v>2673</v>
      </c>
      <c r="H76" s="539"/>
      <c r="I76" s="539"/>
      <c r="J76" s="539"/>
      <c r="K76" s="539"/>
      <c r="L76" s="539"/>
      <c r="M76" s="1384"/>
      <c r="N76" s="1155"/>
      <c r="O76" s="1155"/>
      <c r="P76" s="45"/>
      <c r="Q76" s="504"/>
    </row>
    <row r="77" spans="1:17" ht="15.75" thickBot="1">
      <c r="A77" s="534"/>
      <c r="B77" s="546"/>
      <c r="C77" s="544">
        <v>100</v>
      </c>
      <c r="D77" s="544">
        <f>C77-$K21</f>
        <v>100</v>
      </c>
      <c r="E77" s="544">
        <f>D77-$K21</f>
        <v>100</v>
      </c>
      <c r="F77" s="544">
        <f>E77-$K21</f>
        <v>100</v>
      </c>
      <c r="G77" s="544">
        <f>F77-$K21</f>
        <v>100</v>
      </c>
      <c r="H77" s="659"/>
      <c r="I77" s="659"/>
      <c r="J77" s="659"/>
      <c r="K77" s="659"/>
      <c r="L77" s="659"/>
      <c r="M77" s="450"/>
      <c r="N77" s="1155"/>
      <c r="O77" s="1155"/>
      <c r="P77" s="45"/>
      <c r="Q77" s="504"/>
    </row>
    <row r="78" spans="1:17" ht="15.75" thickTop="1">
      <c r="A78" s="534"/>
      <c r="B78" s="538" t="s">
        <v>2692</v>
      </c>
      <c r="C78" s="578" t="s">
        <v>2591</v>
      </c>
      <c r="D78" s="578" t="s">
        <v>2592</v>
      </c>
      <c r="E78" s="578" t="s">
        <v>2593</v>
      </c>
      <c r="F78" s="578" t="s">
        <v>2594</v>
      </c>
      <c r="G78" s="578" t="s">
        <v>2595</v>
      </c>
      <c r="H78" s="539"/>
      <c r="I78" s="539"/>
      <c r="J78" s="539"/>
      <c r="K78" s="540"/>
      <c r="L78" s="541"/>
      <c r="M78" s="542"/>
      <c r="N78" s="1154"/>
      <c r="O78" s="1154"/>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5"/>
      <c r="O79" s="1155"/>
      <c r="P79" s="45"/>
      <c r="Q79" s="504"/>
    </row>
    <row r="80" spans="1:17" s="117" customFormat="1" ht="15.75" thickTop="1">
      <c r="A80" s="579"/>
      <c r="B80" s="538">
        <f>B25</f>
        <v>111</v>
      </c>
      <c r="C80" s="554"/>
      <c r="D80" s="554"/>
      <c r="E80" s="554"/>
      <c r="F80" s="554"/>
      <c r="G80" s="554"/>
      <c r="H80" s="554"/>
      <c r="I80" s="554"/>
      <c r="J80" s="554"/>
      <c r="K80" s="554"/>
      <c r="L80" s="580"/>
      <c r="M80" s="581"/>
      <c r="N80" s="1153"/>
      <c r="O80" s="1153"/>
      <c r="P80" s="45"/>
      <c r="Q80" s="504"/>
    </row>
    <row r="81" spans="1:17" s="117" customFormat="1" ht="15.75" thickBot="1">
      <c r="A81" s="579"/>
      <c r="B81" s="543"/>
      <c r="C81" s="560"/>
      <c r="D81" s="536"/>
      <c r="E81" s="536"/>
      <c r="F81" s="536"/>
      <c r="G81" s="536"/>
      <c r="H81" s="536"/>
      <c r="I81" s="536"/>
      <c r="J81" s="536"/>
      <c r="K81" s="536"/>
      <c r="L81" s="536"/>
      <c r="M81" s="537"/>
      <c r="N81" s="1155"/>
      <c r="O81" s="1155"/>
      <c r="P81" s="45"/>
      <c r="Q81" s="504"/>
    </row>
    <row r="82" spans="1:17" s="117" customFormat="1" ht="15.75" thickTop="1">
      <c r="A82" s="579"/>
      <c r="B82" s="538">
        <f>B26</f>
        <v>111</v>
      </c>
      <c r="C82" s="554"/>
      <c r="D82" s="554"/>
      <c r="E82" s="554"/>
      <c r="F82" s="554"/>
      <c r="G82" s="554"/>
      <c r="H82" s="554"/>
      <c r="I82" s="554"/>
      <c r="J82" s="554"/>
      <c r="K82" s="554"/>
      <c r="L82" s="580"/>
      <c r="M82" s="581"/>
      <c r="N82" s="1153"/>
      <c r="O82" s="1153"/>
      <c r="P82" s="45"/>
      <c r="Q82" s="504"/>
    </row>
    <row r="83" spans="1:17" s="117" customFormat="1" ht="15.75" thickBot="1">
      <c r="A83" s="579"/>
      <c r="B83" s="543"/>
      <c r="C83" s="560"/>
      <c r="D83" s="536"/>
      <c r="E83" s="536"/>
      <c r="F83" s="536"/>
      <c r="G83" s="536"/>
      <c r="H83" s="536"/>
      <c r="I83" s="536"/>
      <c r="J83" s="536"/>
      <c r="K83" s="536"/>
      <c r="L83" s="536"/>
      <c r="M83" s="537"/>
      <c r="N83" s="1155"/>
      <c r="O83" s="1155"/>
      <c r="P83" s="45"/>
      <c r="Q83" s="504"/>
    </row>
    <row r="84" spans="1:17" s="471" customFormat="1" ht="15.75" thickTop="1">
      <c r="A84" s="553"/>
      <c r="B84" s="538">
        <f>B27</f>
        <v>111</v>
      </c>
      <c r="C84" s="554"/>
      <c r="D84" s="554"/>
      <c r="E84" s="554"/>
      <c r="F84" s="554"/>
      <c r="G84" s="554"/>
      <c r="H84" s="554"/>
      <c r="I84" s="554"/>
      <c r="J84" s="554"/>
      <c r="K84" s="554"/>
      <c r="L84" s="580"/>
      <c r="M84" s="581"/>
      <c r="N84" s="1156"/>
      <c r="O84" s="1156"/>
      <c r="P84" s="558"/>
      <c r="Q84" s="559"/>
    </row>
    <row r="85" spans="1:17" s="471" customFormat="1" ht="15.75" thickBot="1">
      <c r="A85" s="553"/>
      <c r="B85" s="543"/>
      <c r="C85" s="560"/>
      <c r="D85" s="536"/>
      <c r="E85" s="536"/>
      <c r="F85" s="536"/>
      <c r="G85" s="536"/>
      <c r="H85" s="536"/>
      <c r="I85" s="536"/>
      <c r="J85" s="536"/>
      <c r="K85" s="536"/>
      <c r="L85" s="536"/>
      <c r="M85" s="537"/>
      <c r="N85" s="1156"/>
      <c r="O85" s="1156"/>
      <c r="P85" s="558"/>
      <c r="Q85" s="559"/>
    </row>
    <row r="86" spans="1:17" ht="15.75" thickTop="1">
      <c r="A86" s="534"/>
      <c r="B86" s="546">
        <f>B28</f>
        <v>111</v>
      </c>
      <c r="C86" s="523"/>
      <c r="D86" s="523"/>
      <c r="E86" s="523"/>
      <c r="F86" s="523"/>
      <c r="G86" s="587"/>
      <c r="H86" s="587"/>
      <c r="I86" s="587"/>
      <c r="J86" s="587"/>
      <c r="K86" s="588"/>
      <c r="L86" s="589"/>
      <c r="M86" s="590"/>
      <c r="N86" s="1154"/>
      <c r="O86" s="1154"/>
      <c r="P86" s="45"/>
      <c r="Q86" s="504"/>
    </row>
    <row r="87" spans="1:17" ht="15.75" thickBot="1">
      <c r="A87" s="2638"/>
      <c r="B87" s="569"/>
      <c r="C87" s="570"/>
      <c r="D87" s="570"/>
      <c r="E87" s="570"/>
      <c r="F87" s="570"/>
      <c r="G87" s="591"/>
      <c r="H87" s="591"/>
      <c r="I87" s="591"/>
      <c r="J87" s="591"/>
      <c r="K87" s="591"/>
      <c r="L87" s="591"/>
      <c r="M87" s="592"/>
      <c r="N87" s="1155"/>
      <c r="O87" s="1155"/>
      <c r="P87" s="45"/>
      <c r="Q87" s="504"/>
    </row>
    <row r="88" spans="1:17">
      <c r="A88" s="527" t="s">
        <v>2557</v>
      </c>
      <c r="B88" s="528" t="s">
        <v>2606</v>
      </c>
      <c r="C88" s="530"/>
      <c r="D88" s="530"/>
      <c r="E88" s="530"/>
      <c r="F88" s="530"/>
      <c r="G88" s="530"/>
      <c r="H88" s="530"/>
      <c r="I88" s="530"/>
      <c r="J88" s="530"/>
      <c r="K88" s="531"/>
      <c r="L88" s="532"/>
      <c r="M88" s="533"/>
      <c r="N88" s="1154"/>
      <c r="O88" s="1154"/>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5"/>
      <c r="O89" s="1155"/>
      <c r="P89" s="45"/>
      <c r="Q89" s="504"/>
    </row>
    <row r="90" spans="1:17" ht="15.75" thickTop="1">
      <c r="A90" s="534"/>
      <c r="B90" s="538" t="s">
        <v>2607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1" t="str">
        <f>M91&amp;"(含)"&amp;"-"&amp;P91</f>
        <v>(含)-</v>
      </c>
      <c r="N90" s="1153"/>
      <c r="O90" s="1153"/>
      <c r="P90" s="45"/>
      <c r="Q90" s="504"/>
    </row>
    <row r="91" spans="1:17" s="471" customFormat="1">
      <c r="A91" s="593"/>
      <c r="B91" s="594"/>
      <c r="C91" s="595"/>
      <c r="D91" s="595"/>
      <c r="E91" s="595"/>
      <c r="F91" s="595"/>
      <c r="G91" s="595"/>
      <c r="H91" s="595"/>
      <c r="I91" s="595"/>
      <c r="J91" s="596"/>
      <c r="K91" s="596"/>
      <c r="L91" s="597"/>
      <c r="M91" s="598"/>
      <c r="N91" s="1156"/>
      <c r="O91" s="1156"/>
      <c r="P91" s="558"/>
      <c r="Q91" s="559"/>
    </row>
    <row r="92" spans="1:17" s="471" customFormat="1" ht="15.75" thickBot="1">
      <c r="A92" s="553"/>
      <c r="B92" s="543"/>
      <c r="C92" s="560"/>
      <c r="D92" s="536"/>
      <c r="E92" s="536"/>
      <c r="F92" s="536"/>
      <c r="G92" s="536"/>
      <c r="H92" s="536"/>
      <c r="I92" s="536"/>
      <c r="J92" s="536"/>
      <c r="K92" s="536"/>
      <c r="L92" s="536"/>
      <c r="M92" s="537"/>
      <c r="N92" s="1155"/>
      <c r="O92" s="1155"/>
      <c r="P92" s="558"/>
      <c r="Q92" s="559"/>
    </row>
    <row r="93" spans="1:17" ht="15" thickTop="1">
      <c r="A93" s="599"/>
      <c r="B93" s="538" t="s">
        <v>2608</v>
      </c>
      <c r="C93" s="554"/>
      <c r="D93" s="554"/>
      <c r="E93" s="583"/>
      <c r="F93" s="583"/>
      <c r="G93" s="583"/>
      <c r="H93" s="583"/>
      <c r="I93" s="583"/>
      <c r="J93" s="583"/>
      <c r="K93" s="584"/>
      <c r="L93" s="585"/>
      <c r="M93" s="586"/>
      <c r="N93" s="1154"/>
      <c r="O93" s="1154"/>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5"/>
      <c r="O94" s="1155"/>
      <c r="P94" s="45"/>
      <c r="Q94" s="504"/>
    </row>
    <row r="95" spans="1:17" ht="15" thickTop="1">
      <c r="A95" s="599"/>
      <c r="B95" s="538" t="s">
        <v>2610</v>
      </c>
      <c r="C95" s="554"/>
      <c r="D95" s="554"/>
      <c r="E95" s="554"/>
      <c r="F95" s="583"/>
      <c r="G95" s="583"/>
      <c r="H95" s="583"/>
      <c r="I95" s="583"/>
      <c r="J95" s="583"/>
      <c r="K95" s="584"/>
      <c r="L95" s="585"/>
      <c r="M95" s="586"/>
      <c r="N95" s="1154"/>
      <c r="O95" s="1154"/>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5"/>
      <c r="O96" s="1155"/>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4"/>
      <c r="O97" s="1154"/>
      <c r="P97" s="45"/>
      <c r="Q97" s="504"/>
    </row>
    <row r="98" spans="1:17">
      <c r="A98" s="599"/>
      <c r="B98" s="546"/>
      <c r="C98" s="603">
        <v>0.5</v>
      </c>
      <c r="D98" s="603">
        <v>0.6</v>
      </c>
      <c r="E98" s="603">
        <v>0.7</v>
      </c>
      <c r="F98" s="603">
        <v>0.8</v>
      </c>
      <c r="G98" s="603">
        <v>0.9</v>
      </c>
      <c r="H98" s="603">
        <v>1.0001</v>
      </c>
      <c r="I98" s="622"/>
      <c r="J98" s="622"/>
      <c r="K98" s="623"/>
      <c r="L98" s="624"/>
      <c r="M98" s="625"/>
      <c r="N98" s="1154"/>
      <c r="O98" s="1154"/>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5"/>
      <c r="O99" s="1155"/>
      <c r="P99" s="45"/>
      <c r="Q99" s="504"/>
    </row>
    <row r="100" spans="1:17" s="471" customFormat="1" ht="15" thickTop="1">
      <c r="A100" s="593"/>
      <c r="B100" s="538" t="s">
        <v>2611</v>
      </c>
      <c r="C100" s="554"/>
      <c r="D100" s="554"/>
      <c r="E100" s="554"/>
      <c r="F100" s="554"/>
      <c r="G100" s="554"/>
      <c r="H100" s="583"/>
      <c r="I100" s="583"/>
      <c r="J100" s="583"/>
      <c r="K100" s="584"/>
      <c r="L100" s="585"/>
      <c r="M100" s="586"/>
      <c r="N100" s="1156"/>
      <c r="O100" s="1156"/>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6"/>
      <c r="O101" s="1156"/>
      <c r="P101" s="558"/>
      <c r="Q101" s="559"/>
    </row>
    <row r="102" spans="1:17" ht="15" thickTop="1">
      <c r="A102" s="599"/>
      <c r="B102" s="538" t="s">
        <v>2612</v>
      </c>
      <c r="C102" s="554"/>
      <c r="D102" s="554"/>
      <c r="E102" s="554"/>
      <c r="F102" s="554"/>
      <c r="G102" s="554"/>
      <c r="H102" s="583"/>
      <c r="I102" s="583"/>
      <c r="J102" s="583"/>
      <c r="K102" s="584"/>
      <c r="L102" s="585"/>
      <c r="M102" s="586"/>
      <c r="N102" s="1154"/>
      <c r="O102" s="1154"/>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5"/>
      <c r="O103" s="1155"/>
      <c r="P103" s="45"/>
      <c r="Q103" s="504"/>
    </row>
    <row r="104" spans="1:17" ht="15" thickTop="1">
      <c r="A104" s="599"/>
      <c r="B104" s="538" t="s">
        <v>2614</v>
      </c>
      <c r="C104" s="554"/>
      <c r="D104" s="554"/>
      <c r="E104" s="554"/>
      <c r="F104" s="554"/>
      <c r="G104" s="554"/>
      <c r="H104" s="583"/>
      <c r="I104" s="583"/>
      <c r="J104" s="583"/>
      <c r="K104" s="584"/>
      <c r="L104" s="585"/>
      <c r="M104" s="586"/>
      <c r="N104" s="1154"/>
      <c r="O104" s="1154"/>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5"/>
      <c r="O105" s="1155"/>
      <c r="P105" s="45"/>
      <c r="Q105" s="504"/>
    </row>
    <row r="106" spans="1:17" ht="15" thickTop="1">
      <c r="A106" s="599"/>
      <c r="B106" s="635" t="s">
        <v>2700</v>
      </c>
      <c r="C106" s="578" t="s">
        <v>2591</v>
      </c>
      <c r="D106" s="578" t="s">
        <v>2592</v>
      </c>
      <c r="E106" s="578" t="s">
        <v>2593</v>
      </c>
      <c r="F106" s="578" t="s">
        <v>2594</v>
      </c>
      <c r="G106" s="578" t="s">
        <v>2595</v>
      </c>
      <c r="H106" s="539"/>
      <c r="I106" s="539"/>
      <c r="J106" s="539"/>
      <c r="K106" s="540"/>
      <c r="L106" s="541"/>
      <c r="M106" s="542"/>
      <c r="N106" s="1155"/>
      <c r="O106" s="1155"/>
      <c r="P106" s="636"/>
      <c r="Q106" s="637"/>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5"/>
      <c r="O107" s="1155"/>
      <c r="P107" s="45"/>
      <c r="Q107" s="504"/>
    </row>
    <row r="108" spans="1:17" s="471" customFormat="1" ht="15" thickTop="1">
      <c r="A108" s="593"/>
      <c r="B108" s="538">
        <f>B38</f>
        <v>111</v>
      </c>
      <c r="C108" s="554"/>
      <c r="D108" s="554"/>
      <c r="E108" s="554"/>
      <c r="F108" s="554"/>
      <c r="G108" s="554"/>
      <c r="H108" s="555"/>
      <c r="I108" s="555"/>
      <c r="J108" s="555"/>
      <c r="K108" s="555"/>
      <c r="L108" s="556"/>
      <c r="M108" s="557"/>
      <c r="N108" s="1156"/>
      <c r="O108" s="1156"/>
      <c r="P108" s="558"/>
      <c r="Q108" s="559"/>
    </row>
    <row r="109" spans="1:17" s="471" customFormat="1" ht="15.75" thickBot="1">
      <c r="A109" s="553"/>
      <c r="B109" s="535"/>
      <c r="C109" s="560"/>
      <c r="D109" s="536"/>
      <c r="E109" s="536"/>
      <c r="F109" s="536"/>
      <c r="G109" s="560"/>
      <c r="H109" s="562"/>
      <c r="I109" s="562"/>
      <c r="J109" s="562"/>
      <c r="K109" s="562"/>
      <c r="L109" s="562"/>
      <c r="M109" s="563"/>
      <c r="N109" s="1156"/>
      <c r="O109" s="1156"/>
      <c r="P109" s="558"/>
      <c r="Q109" s="559"/>
    </row>
    <row r="110" spans="1:17" ht="15" thickTop="1">
      <c r="A110" s="599"/>
      <c r="B110" s="538">
        <f>B39</f>
        <v>111</v>
      </c>
      <c r="C110" s="554"/>
      <c r="D110" s="554"/>
      <c r="E110" s="554"/>
      <c r="F110" s="554"/>
      <c r="G110" s="554"/>
      <c r="H110" s="555"/>
      <c r="I110" s="555"/>
      <c r="J110" s="555"/>
      <c r="K110" s="555"/>
      <c r="L110" s="556"/>
      <c r="M110" s="557"/>
      <c r="N110" s="1154"/>
      <c r="O110" s="1154"/>
      <c r="P110" s="45"/>
      <c r="Q110" s="504"/>
    </row>
    <row r="111" spans="1:17" ht="15.75" thickBot="1">
      <c r="A111" s="534"/>
      <c r="B111" s="543"/>
      <c r="C111" s="560"/>
      <c r="D111" s="536"/>
      <c r="E111" s="536"/>
      <c r="F111" s="536"/>
      <c r="G111" s="560"/>
      <c r="H111" s="562"/>
      <c r="I111" s="562"/>
      <c r="J111" s="562"/>
      <c r="K111" s="562"/>
      <c r="L111" s="562"/>
      <c r="M111" s="563"/>
      <c r="N111" s="1155"/>
      <c r="O111" s="1155"/>
      <c r="P111" s="45"/>
      <c r="Q111" s="504"/>
    </row>
    <row r="112" spans="1:17" ht="15" thickTop="1">
      <c r="A112" s="599"/>
      <c r="B112" s="546">
        <f>B40</f>
        <v>111</v>
      </c>
      <c r="C112" s="523"/>
      <c r="D112" s="523"/>
      <c r="E112" s="523"/>
      <c r="F112" s="523"/>
      <c r="G112" s="587"/>
      <c r="H112" s="587"/>
      <c r="I112" s="587"/>
      <c r="J112" s="587"/>
      <c r="K112" s="523"/>
      <c r="L112" s="524"/>
      <c r="M112" s="590"/>
      <c r="N112" s="1154"/>
      <c r="O112" s="1154"/>
      <c r="P112" s="45"/>
      <c r="Q112" s="504"/>
    </row>
    <row r="113" spans="1:17" ht="15.75" thickBot="1">
      <c r="A113" s="2638"/>
      <c r="B113" s="569"/>
      <c r="C113" s="570"/>
      <c r="D113" s="570"/>
      <c r="E113" s="570"/>
      <c r="F113" s="570"/>
      <c r="G113" s="591"/>
      <c r="H113" s="591"/>
      <c r="I113" s="591"/>
      <c r="J113" s="591"/>
      <c r="K113" s="591"/>
      <c r="L113" s="591"/>
      <c r="M113" s="592"/>
      <c r="N113" s="1155"/>
      <c r="O113" s="1155"/>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2701</v>
      </c>
      <c r="B1" s="1621"/>
      <c r="C1" s="1622" t="s">
        <v>2524</v>
      </c>
      <c r="D1" s="1623"/>
      <c r="E1" s="1624"/>
      <c r="F1" s="2586"/>
      <c r="G1" s="1625" t="s">
        <v>2637</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2321</v>
      </c>
      <c r="B2" s="1420" t="e">
        <f ca="1">IF(C2="——",IF(B37="元/平方米",ROUND(C39*D3/10000,0),ROUND(F3*C39/10000,0)),IF(B37="元/平方米",ROUND(C39*D3/10000,0),ROUND(F3*C39/10000,0))-D2)</f>
        <v>#DIV/0!</v>
      </c>
      <c r="C2" s="2588"/>
      <c r="D2" s="1126" t="e">
        <f ca="1">SUMIF(INDIRECT("'"&amp;F2&amp;"'"&amp;"!A:A"),"承租人权益价值",INDIRECT("'"&amp;F2&amp;"'"&amp;"!c:c"))</f>
        <v>#REF!</v>
      </c>
      <c r="E2" s="2589" t="s">
        <v>2322</v>
      </c>
      <c r="F2" s="2590"/>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8" customFormat="1" ht="28.5" customHeight="1" thickBot="1">
      <c r="A3" s="247" t="s">
        <v>2323</v>
      </c>
      <c r="B3" s="609" t="e">
        <f ca="1">IF(AND(C2="——",B37="元/平方米"),C39,ROUND(B2*10000/D3,0))</f>
        <v>#DIV/0!</v>
      </c>
      <c r="C3" s="400" t="s">
        <v>2638</v>
      </c>
      <c r="D3" s="399">
        <f>SUMIF('数据-汇总表'!$C19:$C33,D1,'数据-汇总表'!$E19:$E33)</f>
        <v>0</v>
      </c>
      <c r="E3" s="400" t="s">
        <v>2702</v>
      </c>
      <c r="F3" s="399">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1" t="s">
        <v>2642</v>
      </c>
      <c r="AC4" s="3180" t="s">
        <v>2643</v>
      </c>
    </row>
    <row r="5" spans="1:29" ht="15">
      <c r="A5" s="404"/>
      <c r="B5" s="405"/>
      <c r="C5" s="3192" t="s">
        <v>2536</v>
      </c>
      <c r="D5" s="3193"/>
      <c r="E5" s="3260" t="s">
        <v>2537</v>
      </c>
      <c r="F5" s="3191"/>
      <c r="G5" s="3192" t="s">
        <v>2538</v>
      </c>
      <c r="H5" s="3193"/>
      <c r="I5" s="3192" t="s">
        <v>2539</v>
      </c>
      <c r="J5" s="3193"/>
      <c r="K5" s="610"/>
      <c r="L5" s="1132"/>
      <c r="M5" s="1133"/>
      <c r="N5" s="1133"/>
      <c r="O5" s="1133"/>
      <c r="P5" s="3208"/>
      <c r="Q5" s="3209"/>
      <c r="R5" s="3188"/>
      <c r="S5" s="3189"/>
      <c r="T5" s="3188"/>
      <c r="U5" s="3189"/>
      <c r="V5" s="3183"/>
      <c r="W5" s="3183"/>
      <c r="X5" s="1815"/>
      <c r="Y5" s="3188"/>
      <c r="Z5" s="3189"/>
      <c r="AA5" s="3181"/>
      <c r="AB5" s="3181"/>
      <c r="AC5" s="3181"/>
    </row>
    <row r="6" spans="1:29" ht="15.75" thickBot="1">
      <c r="A6" s="406"/>
      <c r="B6" s="407"/>
      <c r="C6" s="3194" t="s">
        <v>2540</v>
      </c>
      <c r="D6" s="3195"/>
      <c r="E6" s="3197" t="s">
        <v>2540</v>
      </c>
      <c r="F6" s="3198"/>
      <c r="G6" s="3194" t="s">
        <v>2540</v>
      </c>
      <c r="H6" s="3195"/>
      <c r="I6" s="3194" t="s">
        <v>2540</v>
      </c>
      <c r="J6" s="3195"/>
      <c r="K6" s="610" t="s">
        <v>2541</v>
      </c>
      <c r="L6" s="1132"/>
      <c r="M6" s="1133"/>
      <c r="N6" s="1133"/>
      <c r="O6" s="1133"/>
      <c r="P6" s="3210"/>
      <c r="Q6" s="3211"/>
      <c r="R6" s="3188"/>
      <c r="S6" s="3189"/>
      <c r="T6" s="3212"/>
      <c r="U6" s="3213"/>
      <c r="V6" s="3183"/>
      <c r="W6" s="3183"/>
      <c r="X6" s="1815"/>
      <c r="Y6" s="3212"/>
      <c r="Z6" s="3213"/>
      <c r="AA6" s="3182"/>
      <c r="AB6" s="3182"/>
      <c r="AC6" s="3182"/>
    </row>
    <row r="7" spans="1:29" s="117" customFormat="1" ht="15.75" thickBot="1">
      <c r="A7" s="408" t="s">
        <v>2542</v>
      </c>
      <c r="B7" s="409"/>
      <c r="C7" s="410">
        <f>'数据-取费表'!B2</f>
        <v>43321</v>
      </c>
      <c r="D7" s="411">
        <v>100</v>
      </c>
      <c r="E7" s="412"/>
      <c r="F7" s="413">
        <f>SUMIF(48:48,YEAR(E7)&amp;"-"&amp;MONTH(E7),49:49)</f>
        <v>0</v>
      </c>
      <c r="G7" s="412"/>
      <c r="H7" s="411">
        <f>SUMIF(48:48,YEAR(G7)&amp;"-"&amp;MONTH(G7),49:49)</f>
        <v>0</v>
      </c>
      <c r="I7" s="412"/>
      <c r="J7" s="411">
        <f>SUMIF(48:48,YEAR(I7)&amp;"-"&amp;MONTH(I7),49:49)</f>
        <v>0</v>
      </c>
      <c r="K7" s="611"/>
      <c r="L7" s="1134"/>
      <c r="M7" s="1135"/>
      <c r="N7" s="1135"/>
      <c r="O7" s="1135"/>
      <c r="P7" s="3184" t="s">
        <v>2543</v>
      </c>
      <c r="Q7" s="3214"/>
      <c r="R7" s="769" t="s">
        <v>17</v>
      </c>
      <c r="S7" s="770">
        <f t="shared" ref="S7:S14" si="0">F7</f>
        <v>0</v>
      </c>
      <c r="T7" s="769" t="s">
        <v>17</v>
      </c>
      <c r="U7" s="770">
        <f t="shared" ref="U7:U14" si="1">H7</f>
        <v>0</v>
      </c>
      <c r="V7" s="769" t="s">
        <v>17</v>
      </c>
      <c r="W7" s="770">
        <f t="shared" ref="W7:W14" si="2">J7</f>
        <v>0</v>
      </c>
      <c r="X7" s="771"/>
      <c r="Y7" s="3184" t="s">
        <v>2543</v>
      </c>
      <c r="Z7" s="3185"/>
      <c r="AA7" s="772" t="e">
        <f>D7/F7</f>
        <v>#DIV/0!</v>
      </c>
      <c r="AB7" s="772" t="e">
        <f>D7/H7</f>
        <v>#DIV/0!</v>
      </c>
      <c r="AC7" s="772" t="e">
        <f>D7/J7</f>
        <v>#DIV/0!</v>
      </c>
    </row>
    <row r="8" spans="1:29" s="117" customFormat="1" ht="15.75" thickBot="1">
      <c r="A8" s="408" t="s">
        <v>2544</v>
      </c>
      <c r="B8" s="409"/>
      <c r="C8" s="414" t="s">
        <v>2646</v>
      </c>
      <c r="D8" s="411">
        <v>100</v>
      </c>
      <c r="E8" s="414"/>
      <c r="F8" s="413">
        <f>SUMIF(51:51,E8,52:52)-SUMIF(51:51,C8,52:52)+100</f>
        <v>0</v>
      </c>
      <c r="G8" s="414"/>
      <c r="H8" s="411">
        <f>SUMIF(51:51,G8,52:52)-SUMIF(51:51,C8,52:52)+100</f>
        <v>0</v>
      </c>
      <c r="I8" s="414"/>
      <c r="J8" s="411">
        <f>SUMIF(51:51,I8,52:52)-SUMIF(51:51,C8,52:52)+100</f>
        <v>0</v>
      </c>
      <c r="K8" s="611"/>
      <c r="L8" s="1134"/>
      <c r="M8" s="1135"/>
      <c r="N8" s="1135"/>
      <c r="O8" s="1135"/>
      <c r="P8" s="3184" t="s">
        <v>2546</v>
      </c>
      <c r="Q8" s="3185"/>
      <c r="R8" s="769" t="s">
        <v>17</v>
      </c>
      <c r="S8" s="770">
        <f t="shared" si="0"/>
        <v>0</v>
      </c>
      <c r="T8" s="769" t="s">
        <v>17</v>
      </c>
      <c r="U8" s="770">
        <f t="shared" si="1"/>
        <v>0</v>
      </c>
      <c r="V8" s="769" t="s">
        <v>17</v>
      </c>
      <c r="W8" s="770">
        <f t="shared" si="2"/>
        <v>0</v>
      </c>
      <c r="X8" s="771"/>
      <c r="Y8" s="3184" t="s">
        <v>2546</v>
      </c>
      <c r="Z8" s="3185"/>
      <c r="AA8" s="772" t="e">
        <f t="shared" ref="AA8:AA36" si="3">D8/F8</f>
        <v>#DIV/0!</v>
      </c>
      <c r="AB8" s="772" t="e">
        <f t="shared" ref="AB8:AB36" si="4">D8/H8</f>
        <v>#DIV/0!</v>
      </c>
      <c r="AC8" s="772" t="e">
        <f t="shared" ref="AC8:AC36" si="5">D8/J8</f>
        <v>#DIV/0!</v>
      </c>
    </row>
    <row r="9" spans="1:29" s="117" customFormat="1">
      <c r="A9" s="68" t="s">
        <v>2547</v>
      </c>
      <c r="B9" s="639" t="s">
        <v>2548</v>
      </c>
      <c r="C9" s="416"/>
      <c r="D9" s="135">
        <v>100</v>
      </c>
      <c r="E9" s="419"/>
      <c r="F9" s="135">
        <f>SUMIF(53:53,E9,54:54)-SUMIF(53:53,C9,54:54)+100</f>
        <v>100</v>
      </c>
      <c r="G9" s="417"/>
      <c r="H9" s="135">
        <f>SUMIF(53:53,G9,54:54)-SUMIF(53:53,C9,54:54)+100</f>
        <v>100</v>
      </c>
      <c r="I9" s="417"/>
      <c r="J9" s="135">
        <f>SUMIF(53:53,I9,54:54)-SUMIF(53:53,C9,54:54)+100</f>
        <v>100</v>
      </c>
      <c r="K9" s="611"/>
      <c r="L9" s="1134"/>
      <c r="M9" s="1135"/>
      <c r="N9" s="1135"/>
      <c r="O9" s="1135"/>
      <c r="P9" s="3224" t="s">
        <v>2549</v>
      </c>
      <c r="Q9" s="1797" t="str">
        <f t="shared" ref="Q9:Q14" si="6">B9</f>
        <v>用途</v>
      </c>
      <c r="R9" s="769" t="s">
        <v>17</v>
      </c>
      <c r="S9" s="770">
        <f t="shared" si="0"/>
        <v>100</v>
      </c>
      <c r="T9" s="769" t="s">
        <v>17</v>
      </c>
      <c r="U9" s="770">
        <f t="shared" si="1"/>
        <v>100</v>
      </c>
      <c r="V9" s="769" t="s">
        <v>17</v>
      </c>
      <c r="W9" s="770">
        <f t="shared" si="2"/>
        <v>100</v>
      </c>
      <c r="X9" s="771"/>
      <c r="Y9" s="3057" t="s">
        <v>2550</v>
      </c>
      <c r="Z9" s="55" t="str">
        <f t="shared" ref="Z9:Z14" si="7">Q9</f>
        <v>用途</v>
      </c>
      <c r="AA9" s="772">
        <f t="shared" si="3"/>
        <v>1</v>
      </c>
      <c r="AB9" s="772">
        <f t="shared" si="4"/>
        <v>1</v>
      </c>
      <c r="AC9" s="772">
        <f t="shared" si="5"/>
        <v>1</v>
      </c>
    </row>
    <row r="10" spans="1:29" s="427" customFormat="1" ht="27">
      <c r="A10" s="640"/>
      <c r="B10" s="641" t="s">
        <v>2551</v>
      </c>
      <c r="C10" s="423"/>
      <c r="D10" s="136">
        <v>100</v>
      </c>
      <c r="E10" s="423"/>
      <c r="F10" s="136">
        <f>SUMIF(55:55,E10,56:56)-SUMIF(55:55,C10,56:56)+100</f>
        <v>100</v>
      </c>
      <c r="G10" s="424"/>
      <c r="H10" s="136">
        <f>SUMIF(55:55,G10,56:56)-SUMIF(55:55,C10,56:56)+100</f>
        <v>100</v>
      </c>
      <c r="I10" s="423"/>
      <c r="J10" s="136">
        <f>SUMIF(55:55,I10,56:56)-SUMIF(55:55,C10,56:56)+100</f>
        <v>100</v>
      </c>
      <c r="K10" s="612"/>
      <c r="L10" s="1137"/>
      <c r="M10" s="1138"/>
      <c r="N10" s="1138"/>
      <c r="O10" s="1138"/>
      <c r="P10" s="3224"/>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
      <c r="A11" s="642"/>
      <c r="B11" s="643">
        <v>111</v>
      </c>
      <c r="C11" s="432"/>
      <c r="D11" s="136">
        <v>100</v>
      </c>
      <c r="E11" s="432"/>
      <c r="F11" s="136">
        <f>SUMIF(57:57,E11,58:58)-SUMIF(57:57,C11,58:58)+100</f>
        <v>100</v>
      </c>
      <c r="G11" s="432"/>
      <c r="H11" s="136">
        <f>SUMIF(57:57,G11,58:58)-SUMIF(57:57,C11,58:58)+100</f>
        <v>100</v>
      </c>
      <c r="I11" s="432"/>
      <c r="J11" s="136">
        <f>SUMIF(57:57,I11,58:58)-SUMIF(57:57,C11,58:58)+100</f>
        <v>100</v>
      </c>
      <c r="K11" s="613"/>
      <c r="L11" s="1140"/>
      <c r="M11" s="1133"/>
      <c r="N11" s="1133"/>
      <c r="O11" s="1133"/>
      <c r="P11" s="3224"/>
      <c r="Q11" s="1797">
        <f t="shared" si="6"/>
        <v>111</v>
      </c>
      <c r="R11" s="769" t="s">
        <v>17</v>
      </c>
      <c r="S11" s="770">
        <f t="shared" si="0"/>
        <v>100</v>
      </c>
      <c r="T11" s="769" t="s">
        <v>17</v>
      </c>
      <c r="U11" s="770">
        <f t="shared" si="1"/>
        <v>100</v>
      </c>
      <c r="V11" s="769" t="s">
        <v>17</v>
      </c>
      <c r="W11" s="770">
        <f t="shared" si="2"/>
        <v>100</v>
      </c>
      <c r="X11" s="771"/>
      <c r="Y11" s="3057"/>
      <c r="Z11" s="55">
        <f t="shared" si="7"/>
        <v>111</v>
      </c>
      <c r="AA11" s="772">
        <f t="shared" si="3"/>
        <v>1</v>
      </c>
      <c r="AB11" s="772">
        <f t="shared" si="4"/>
        <v>1</v>
      </c>
      <c r="AC11" s="772">
        <f t="shared" si="5"/>
        <v>1</v>
      </c>
    </row>
    <row r="12" spans="1:29" s="117" customFormat="1" ht="15">
      <c r="A12" s="644"/>
      <c r="B12" s="643">
        <v>111</v>
      </c>
      <c r="C12" s="432"/>
      <c r="D12" s="433">
        <v>100</v>
      </c>
      <c r="E12" s="432"/>
      <c r="F12" s="136">
        <f>SUMIF(59:59,E12,60:60)-SUMIF(59:59,C12,60:60)+100</f>
        <v>100</v>
      </c>
      <c r="G12" s="432"/>
      <c r="H12" s="136">
        <f>SUMIF(59:59,G12,60:60)-SUMIF(59:59,C12,60:60)+100</f>
        <v>100</v>
      </c>
      <c r="I12" s="432"/>
      <c r="J12" s="136">
        <f>SUMIF(59:59,I12,60:60)-SUMIF(59:59,C12,60:60)+100</f>
        <v>100</v>
      </c>
      <c r="K12" s="613"/>
      <c r="L12" s="1134"/>
      <c r="M12" s="1135"/>
      <c r="N12" s="1135"/>
      <c r="O12" s="1135"/>
      <c r="P12" s="3224"/>
      <c r="Q12" s="1797">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75" thickBot="1">
      <c r="A13" s="645"/>
      <c r="B13" s="643">
        <v>111</v>
      </c>
      <c r="C13" s="434"/>
      <c r="D13" s="435">
        <v>100</v>
      </c>
      <c r="E13" s="432"/>
      <c r="F13" s="136">
        <f>SUMIF(61:61,E13,62:62)-SUMIF(61:61,C13,62:62)+100</f>
        <v>100</v>
      </c>
      <c r="G13" s="432"/>
      <c r="H13" s="435">
        <f>SUMIF(61:61,G13,62:62)-SUMIF(61:61,C13,62:62)+100</f>
        <v>100</v>
      </c>
      <c r="I13" s="432"/>
      <c r="J13" s="435">
        <f>SUMIF(61:61,I13,62:62)-SUMIF(61:61,C13,62:62)+100</f>
        <v>100</v>
      </c>
      <c r="K13" s="613"/>
      <c r="L13" s="1142"/>
      <c r="M13" s="1133"/>
      <c r="N13" s="1133"/>
      <c r="O13" s="1133"/>
      <c r="P13" s="3224"/>
      <c r="Q13" s="1797">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85.5">
      <c r="A14" s="401" t="s">
        <v>2553</v>
      </c>
      <c r="B14" s="628" t="s">
        <v>2703</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2"/>
      <c r="M14" s="1133"/>
      <c r="N14" s="1133"/>
      <c r="O14" s="1133"/>
      <c r="P14" s="3217" t="s">
        <v>2554</v>
      </c>
      <c r="Q14" s="1812" t="str">
        <f t="shared" si="6"/>
        <v>交通便捷度</v>
      </c>
      <c r="R14" s="773" t="s">
        <v>17</v>
      </c>
      <c r="S14" s="774">
        <f t="shared" si="0"/>
        <v>100</v>
      </c>
      <c r="T14" s="773" t="s">
        <v>17</v>
      </c>
      <c r="U14" s="774">
        <f t="shared" si="1"/>
        <v>100</v>
      </c>
      <c r="V14" s="773" t="s">
        <v>17</v>
      </c>
      <c r="W14" s="774">
        <f t="shared" si="2"/>
        <v>100</v>
      </c>
      <c r="X14" s="1815"/>
      <c r="Y14" s="3217" t="s">
        <v>2554</v>
      </c>
      <c r="Z14" s="1816" t="str">
        <f t="shared" si="7"/>
        <v>交通便捷度</v>
      </c>
      <c r="AA14" s="1813">
        <f t="shared" si="3"/>
        <v>1</v>
      </c>
      <c r="AB14" s="1813">
        <f t="shared" si="4"/>
        <v>1</v>
      </c>
      <c r="AC14" s="1813">
        <f t="shared" si="5"/>
        <v>1</v>
      </c>
    </row>
    <row r="15" spans="1:29" ht="15">
      <c r="A15" s="404"/>
      <c r="B15" s="646"/>
      <c r="C15" s="447"/>
      <c r="D15" s="448"/>
      <c r="E15" s="447"/>
      <c r="F15" s="449"/>
      <c r="G15" s="447"/>
      <c r="H15" s="450"/>
      <c r="I15" s="447"/>
      <c r="J15" s="448"/>
      <c r="K15" s="615"/>
      <c r="L15" s="1142"/>
      <c r="M15" s="1133"/>
      <c r="N15" s="1133"/>
      <c r="O15" s="1133"/>
      <c r="P15" s="3218"/>
      <c r="Q15" s="1812"/>
      <c r="R15" s="773"/>
      <c r="S15" s="774"/>
      <c r="T15" s="773"/>
      <c r="U15" s="774"/>
      <c r="V15" s="773"/>
      <c r="W15" s="774"/>
      <c r="X15" s="1815"/>
      <c r="Y15" s="3218"/>
      <c r="Z15" s="1816"/>
      <c r="AA15" s="1813">
        <v>1</v>
      </c>
      <c r="AB15" s="1813">
        <v>1</v>
      </c>
      <c r="AC15" s="1813">
        <v>1</v>
      </c>
    </row>
    <row r="16" spans="1:29" ht="42.75">
      <c r="A16" s="404"/>
      <c r="B16" s="630" t="s">
        <v>2682</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2"/>
      <c r="M16" s="1133"/>
      <c r="N16" s="1133"/>
      <c r="O16" s="1133"/>
      <c r="P16" s="3218"/>
      <c r="Q16" s="1812" t="str">
        <f>B16</f>
        <v>公共配套设施</v>
      </c>
      <c r="R16" s="773" t="s">
        <v>17</v>
      </c>
      <c r="S16" s="774">
        <f>F16</f>
        <v>100</v>
      </c>
      <c r="T16" s="773" t="s">
        <v>17</v>
      </c>
      <c r="U16" s="774">
        <f>H16</f>
        <v>100</v>
      </c>
      <c r="V16" s="773" t="s">
        <v>17</v>
      </c>
      <c r="W16" s="774">
        <f>J16</f>
        <v>100</v>
      </c>
      <c r="X16" s="1815"/>
      <c r="Y16" s="3218"/>
      <c r="Z16" s="1816" t="str">
        <f>Q16</f>
        <v>公共配套设施</v>
      </c>
      <c r="AA16" s="1813">
        <f t="shared" si="3"/>
        <v>1</v>
      </c>
      <c r="AB16" s="1813">
        <f t="shared" si="4"/>
        <v>1</v>
      </c>
      <c r="AC16" s="1813">
        <f t="shared" si="5"/>
        <v>1</v>
      </c>
    </row>
    <row r="17" spans="1:29" ht="15">
      <c r="A17" s="404"/>
      <c r="B17" s="631"/>
      <c r="C17" s="2610"/>
      <c r="D17" s="448"/>
      <c r="E17" s="447"/>
      <c r="F17" s="449"/>
      <c r="G17" s="447"/>
      <c r="H17" s="448"/>
      <c r="I17" s="447"/>
      <c r="J17" s="448"/>
      <c r="K17" s="615"/>
      <c r="L17" s="1142"/>
      <c r="M17" s="1133"/>
      <c r="N17" s="1133"/>
      <c r="O17" s="1133"/>
      <c r="P17" s="3218"/>
      <c r="Q17" s="1812"/>
      <c r="R17" s="773"/>
      <c r="S17" s="774"/>
      <c r="T17" s="773"/>
      <c r="U17" s="774"/>
      <c r="V17" s="773"/>
      <c r="W17" s="774"/>
      <c r="X17" s="1815"/>
      <c r="Y17" s="3218"/>
      <c r="Z17" s="1816"/>
      <c r="AA17" s="1813">
        <v>1</v>
      </c>
      <c r="AB17" s="1813">
        <v>1</v>
      </c>
      <c r="AC17" s="1813">
        <v>1</v>
      </c>
    </row>
    <row r="18" spans="1:29" ht="28.5">
      <c r="A18" s="404"/>
      <c r="B18" s="632" t="s">
        <v>2683</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2"/>
      <c r="M18" s="1133"/>
      <c r="N18" s="1133"/>
      <c r="O18" s="1133"/>
      <c r="P18" s="3218"/>
      <c r="Q18" s="1812" t="str">
        <f>B18</f>
        <v>基础设施水平</v>
      </c>
      <c r="R18" s="773" t="s">
        <v>17</v>
      </c>
      <c r="S18" s="774">
        <f>F18</f>
        <v>100</v>
      </c>
      <c r="T18" s="773" t="s">
        <v>17</v>
      </c>
      <c r="U18" s="774">
        <f>H18</f>
        <v>100</v>
      </c>
      <c r="V18" s="773" t="s">
        <v>17</v>
      </c>
      <c r="W18" s="774">
        <f>J18</f>
        <v>100</v>
      </c>
      <c r="X18" s="1815"/>
      <c r="Y18" s="3218"/>
      <c r="Z18" s="1816" t="str">
        <f>Q18</f>
        <v>基础设施水平</v>
      </c>
      <c r="AA18" s="1813">
        <f t="shared" ref="AA18" si="8">D18/F18</f>
        <v>1</v>
      </c>
      <c r="AB18" s="1813">
        <f t="shared" ref="AB18" si="9">D18/H18</f>
        <v>1</v>
      </c>
      <c r="AC18" s="1813">
        <f t="shared" ref="AC18" si="10">D18/J18</f>
        <v>1</v>
      </c>
    </row>
    <row r="19" spans="1:29" ht="15">
      <c r="A19" s="404"/>
      <c r="B19" s="632"/>
      <c r="C19" s="2610"/>
      <c r="D19" s="450"/>
      <c r="E19" s="2610"/>
      <c r="F19" s="453"/>
      <c r="G19" s="2610"/>
      <c r="H19" s="448"/>
      <c r="I19" s="447"/>
      <c r="J19" s="448"/>
      <c r="K19" s="1385"/>
      <c r="L19" s="1142"/>
      <c r="M19" s="1133"/>
      <c r="N19" s="1133"/>
      <c r="O19" s="1133"/>
      <c r="P19" s="3218"/>
      <c r="Q19" s="1812"/>
      <c r="R19" s="773"/>
      <c r="S19" s="774"/>
      <c r="T19" s="773"/>
      <c r="U19" s="774"/>
      <c r="V19" s="773"/>
      <c r="W19" s="774"/>
      <c r="X19" s="1815"/>
      <c r="Y19" s="3218"/>
      <c r="Z19" s="1816"/>
      <c r="AA19" s="1813">
        <v>1</v>
      </c>
      <c r="AB19" s="1813">
        <v>1</v>
      </c>
      <c r="AC19" s="1813">
        <v>1</v>
      </c>
    </row>
    <row r="20" spans="1:29" ht="57">
      <c r="A20" s="404"/>
      <c r="B20" s="630" t="s">
        <v>2704</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2"/>
      <c r="M20" s="1133"/>
      <c r="N20" s="1133"/>
      <c r="O20" s="1133"/>
      <c r="P20" s="3218"/>
      <c r="Q20" s="1812" t="str">
        <f>B20</f>
        <v>自然及人文环境</v>
      </c>
      <c r="R20" s="773" t="s">
        <v>17</v>
      </c>
      <c r="S20" s="774">
        <f>F20</f>
        <v>100</v>
      </c>
      <c r="T20" s="773" t="s">
        <v>17</v>
      </c>
      <c r="U20" s="774">
        <f>H20</f>
        <v>100</v>
      </c>
      <c r="V20" s="773" t="s">
        <v>17</v>
      </c>
      <c r="W20" s="774">
        <f>J20</f>
        <v>100</v>
      </c>
      <c r="X20" s="1815"/>
      <c r="Y20" s="3218"/>
      <c r="Z20" s="1816" t="str">
        <f>Q20</f>
        <v>自然及人文环境</v>
      </c>
      <c r="AA20" s="1813">
        <f t="shared" si="3"/>
        <v>1</v>
      </c>
      <c r="AB20" s="1813">
        <f t="shared" si="4"/>
        <v>1</v>
      </c>
      <c r="AC20" s="1813">
        <f t="shared" si="5"/>
        <v>1</v>
      </c>
    </row>
    <row r="21" spans="1:29" ht="15">
      <c r="A21" s="404"/>
      <c r="B21" s="631"/>
      <c r="C21" s="447"/>
      <c r="D21" s="448"/>
      <c r="E21" s="447"/>
      <c r="F21" s="449"/>
      <c r="G21" s="447"/>
      <c r="H21" s="448"/>
      <c r="I21" s="447"/>
      <c r="J21" s="448"/>
      <c r="K21" s="615"/>
      <c r="L21" s="1142"/>
      <c r="M21" s="1133"/>
      <c r="N21" s="1133"/>
      <c r="O21" s="1133"/>
      <c r="P21" s="3218"/>
      <c r="Q21" s="1812"/>
      <c r="R21" s="773"/>
      <c r="S21" s="774"/>
      <c r="T21" s="773"/>
      <c r="U21" s="774"/>
      <c r="V21" s="773"/>
      <c r="W21" s="774"/>
      <c r="X21" s="1815"/>
      <c r="Y21" s="3218"/>
      <c r="Z21" s="1816"/>
      <c r="AA21" s="1813">
        <v>1</v>
      </c>
      <c r="AB21" s="1813">
        <v>1</v>
      </c>
      <c r="AC21" s="1813">
        <v>1</v>
      </c>
    </row>
    <row r="22" spans="1:29" ht="15">
      <c r="A22" s="404"/>
      <c r="B22" s="630" t="s">
        <v>2705</v>
      </c>
      <c r="C22" s="616"/>
      <c r="D22" s="450">
        <v>100</v>
      </c>
      <c r="E22" s="616"/>
      <c r="F22" s="461">
        <f>SUMIF(71:71,E22,72:72)-SUMIF(71:71,C22,72:72)+100</f>
        <v>100</v>
      </c>
      <c r="G22" s="616"/>
      <c r="H22" s="435">
        <f>SUMIF(71:71,G22,72:72)-SUMIF(71:71,C22,72:72)+100</f>
        <v>100</v>
      </c>
      <c r="I22" s="616"/>
      <c r="J22" s="435">
        <f>SUMIF(71:71,I22,72:72)-SUMIF(71:71,C22,72:72)+100</f>
        <v>100</v>
      </c>
      <c r="K22" s="612"/>
      <c r="L22" s="1142"/>
      <c r="M22" s="1133"/>
      <c r="N22" s="1133"/>
      <c r="O22" s="1133"/>
      <c r="P22" s="3218"/>
      <c r="Q22" s="1812" t="str">
        <f>B22</f>
        <v>楼层</v>
      </c>
      <c r="R22" s="773" t="s">
        <v>17</v>
      </c>
      <c r="S22" s="774">
        <f>F22</f>
        <v>100</v>
      </c>
      <c r="T22" s="773" t="s">
        <v>17</v>
      </c>
      <c r="U22" s="774">
        <f>H22</f>
        <v>100</v>
      </c>
      <c r="V22" s="773" t="s">
        <v>17</v>
      </c>
      <c r="W22" s="774">
        <f>J22</f>
        <v>100</v>
      </c>
      <c r="X22" s="1815"/>
      <c r="Y22" s="3218"/>
      <c r="Z22" s="1816" t="str">
        <f>Q22</f>
        <v>楼层</v>
      </c>
      <c r="AA22" s="1813">
        <f t="shared" si="3"/>
        <v>1</v>
      </c>
      <c r="AB22" s="1813">
        <f t="shared" si="4"/>
        <v>1</v>
      </c>
      <c r="AC22" s="1813">
        <f t="shared" si="5"/>
        <v>1</v>
      </c>
    </row>
    <row r="23" spans="1:29" ht="15">
      <c r="A23" s="404"/>
      <c r="B23" s="647">
        <v>111</v>
      </c>
      <c r="C23" s="432"/>
      <c r="D23" s="435">
        <v>100</v>
      </c>
      <c r="E23" s="432"/>
      <c r="F23" s="461">
        <f>SUMIF(73:73,E23,74:74)-SUMIF(73:73,C23,74:74)+100</f>
        <v>100</v>
      </c>
      <c r="G23" s="432"/>
      <c r="H23" s="435">
        <f>SUMIF(73:73,G23,74:74)-SUMIF(73:73,C23,74:74)+100</f>
        <v>100</v>
      </c>
      <c r="I23" s="432"/>
      <c r="J23" s="435">
        <f>SUMIF(73:73,I23,74:74)-SUMIF(73:73,C23,74:74)+100</f>
        <v>100</v>
      </c>
      <c r="K23" s="613"/>
      <c r="L23" s="1142"/>
      <c r="M23" s="1133"/>
      <c r="N23" s="1133"/>
      <c r="O23" s="1133"/>
      <c r="P23" s="3218"/>
      <c r="Q23" s="1812">
        <f>B23</f>
        <v>111</v>
      </c>
      <c r="R23" s="773" t="s">
        <v>17</v>
      </c>
      <c r="S23" s="774">
        <f>F23</f>
        <v>100</v>
      </c>
      <c r="T23" s="773" t="s">
        <v>17</v>
      </c>
      <c r="U23" s="774">
        <f>H23</f>
        <v>100</v>
      </c>
      <c r="V23" s="773" t="s">
        <v>17</v>
      </c>
      <c r="W23" s="774">
        <f>J23</f>
        <v>100</v>
      </c>
      <c r="X23" s="1815"/>
      <c r="Y23" s="3218"/>
      <c r="Z23" s="1816">
        <f>Q23</f>
        <v>111</v>
      </c>
      <c r="AA23" s="1813">
        <f t="shared" si="3"/>
        <v>1</v>
      </c>
      <c r="AB23" s="1813">
        <f t="shared" si="4"/>
        <v>1</v>
      </c>
      <c r="AC23" s="1813">
        <f t="shared" si="5"/>
        <v>1</v>
      </c>
    </row>
    <row r="24" spans="1:29" ht="15">
      <c r="A24" s="404"/>
      <c r="B24" s="647">
        <v>111</v>
      </c>
      <c r="C24" s="432"/>
      <c r="D24" s="435">
        <v>100</v>
      </c>
      <c r="E24" s="432"/>
      <c r="F24" s="461">
        <f>SUMIF(75:75,E24,76:76)-SUMIF(75:75,C24,76:76)+100</f>
        <v>100</v>
      </c>
      <c r="G24" s="432"/>
      <c r="H24" s="435">
        <f>SUMIF(75:75,G24,76:76)-SUMIF(75:75,C24,76:76)+100</f>
        <v>100</v>
      </c>
      <c r="I24" s="432"/>
      <c r="J24" s="435">
        <f>SUMIF(75:75,I24,76:76)-SUMIF(75:75,C24,76:76)+100</f>
        <v>100</v>
      </c>
      <c r="K24" s="613"/>
      <c r="L24" s="1142"/>
      <c r="M24" s="1133"/>
      <c r="N24" s="1133"/>
      <c r="O24" s="1133"/>
      <c r="P24" s="3218"/>
      <c r="Q24" s="1812">
        <f t="shared" ref="Q24:Q36" si="11">B24</f>
        <v>111</v>
      </c>
      <c r="R24" s="773" t="s">
        <v>17</v>
      </c>
      <c r="S24" s="774">
        <f>F24</f>
        <v>100</v>
      </c>
      <c r="T24" s="773" t="s">
        <v>17</v>
      </c>
      <c r="U24" s="774">
        <f>H24</f>
        <v>100</v>
      </c>
      <c r="V24" s="773" t="s">
        <v>17</v>
      </c>
      <c r="W24" s="774">
        <f>J24</f>
        <v>100</v>
      </c>
      <c r="X24" s="1815"/>
      <c r="Y24" s="3218"/>
      <c r="Z24" s="1816">
        <f>Q24</f>
        <v>111</v>
      </c>
      <c r="AA24" s="1813">
        <f t="shared" si="3"/>
        <v>1</v>
      </c>
      <c r="AB24" s="1813">
        <f t="shared" si="4"/>
        <v>1</v>
      </c>
      <c r="AC24" s="1813">
        <f t="shared" si="5"/>
        <v>1</v>
      </c>
    </row>
    <row r="25" spans="1:29" s="117" customFormat="1" ht="15.75" thickBot="1">
      <c r="A25" s="648"/>
      <c r="B25" s="634">
        <v>111</v>
      </c>
      <c r="C25" s="437"/>
      <c r="D25" s="649">
        <v>100</v>
      </c>
      <c r="E25" s="627"/>
      <c r="F25" s="650">
        <f>SUMIF(77:77,E25,78:78)-SUMIF(77:77,C25,78:78)+100</f>
        <v>100</v>
      </c>
      <c r="G25" s="627"/>
      <c r="H25" s="649">
        <f>SUMIF(77:77,G25,78:78)-SUMIF(77:77,C25,78:78)+100</f>
        <v>100</v>
      </c>
      <c r="I25" s="627"/>
      <c r="J25" s="649">
        <f>SUMIF(77:77,I25,78:78)-SUMIF(77:77,C25,78:78)+100</f>
        <v>100</v>
      </c>
      <c r="K25" s="613"/>
      <c r="L25" s="1134"/>
      <c r="M25" s="1135"/>
      <c r="N25" s="1135"/>
      <c r="O25" s="1135"/>
      <c r="P25" s="3218"/>
      <c r="Q25" s="1797">
        <f t="shared" si="11"/>
        <v>111</v>
      </c>
      <c r="R25" s="769" t="s">
        <v>17</v>
      </c>
      <c r="S25" s="770">
        <f>F25</f>
        <v>100</v>
      </c>
      <c r="T25" s="769" t="s">
        <v>17</v>
      </c>
      <c r="U25" s="770">
        <f>H25</f>
        <v>100</v>
      </c>
      <c r="V25" s="769" t="s">
        <v>17</v>
      </c>
      <c r="W25" s="770">
        <f>J25</f>
        <v>100</v>
      </c>
      <c r="X25" s="771"/>
      <c r="Y25" s="3218"/>
      <c r="Z25" s="55">
        <f>Q25</f>
        <v>111</v>
      </c>
      <c r="AA25" s="1813">
        <f>D25/F25</f>
        <v>1</v>
      </c>
      <c r="AB25" s="1813">
        <f>D25/H25</f>
        <v>1</v>
      </c>
      <c r="AC25" s="1813">
        <f>D25/J25</f>
        <v>1</v>
      </c>
    </row>
    <row r="26" spans="1:29" ht="15">
      <c r="A26" s="651" t="s">
        <v>2557</v>
      </c>
      <c r="B26" s="70" t="s">
        <v>2706</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2"/>
      <c r="M26" s="1133"/>
      <c r="N26" s="1133"/>
      <c r="O26" s="1133"/>
      <c r="P26" s="3276" t="s">
        <v>2559</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222" t="s">
        <v>2559</v>
      </c>
      <c r="Z26" s="1816" t="str">
        <f t="shared" ref="Z26:Z36" si="15">Q26</f>
        <v>配套类型</v>
      </c>
      <c r="AA26" s="1813">
        <f t="shared" si="3"/>
        <v>1</v>
      </c>
      <c r="AB26" s="1813">
        <f t="shared" si="4"/>
        <v>1</v>
      </c>
      <c r="AC26" s="1813">
        <f t="shared" si="5"/>
        <v>1</v>
      </c>
    </row>
    <row r="27" spans="1:29" s="471" customFormat="1" ht="15">
      <c r="A27" s="652"/>
      <c r="B27" s="653" t="s">
        <v>2707</v>
      </c>
      <c r="C27" s="654"/>
      <c r="D27" s="136">
        <v>100</v>
      </c>
      <c r="E27" s="654"/>
      <c r="F27" s="461">
        <f>SUMIF(81:81,E27,82:82)-SUMIF(81:81,C27,82:82)+100</f>
        <v>100</v>
      </c>
      <c r="G27" s="654"/>
      <c r="H27" s="435">
        <f>SUMIF(81:81,G27,82:82)-SUMIF(81:81,C27,82:82)+100</f>
        <v>100</v>
      </c>
      <c r="I27" s="654"/>
      <c r="J27" s="435">
        <f>SUMIF(81:81,I27,82:82)-SUMIF(81:81,C27,82:82)+100</f>
        <v>100</v>
      </c>
      <c r="K27" s="613"/>
      <c r="L27" s="1140"/>
      <c r="M27" s="1143"/>
      <c r="N27" s="1143"/>
      <c r="O27" s="1143"/>
      <c r="P27" s="3222"/>
      <c r="Q27" s="775" t="str">
        <f t="shared" si="11"/>
        <v>项目停车位配比</v>
      </c>
      <c r="R27" s="776" t="s">
        <v>17</v>
      </c>
      <c r="S27" s="777">
        <f t="shared" si="12"/>
        <v>100</v>
      </c>
      <c r="T27" s="776" t="s">
        <v>17</v>
      </c>
      <c r="U27" s="777">
        <f t="shared" si="13"/>
        <v>100</v>
      </c>
      <c r="V27" s="776" t="s">
        <v>17</v>
      </c>
      <c r="W27" s="777">
        <f t="shared" si="14"/>
        <v>100</v>
      </c>
      <c r="X27" s="778"/>
      <c r="Y27" s="3222"/>
      <c r="Z27" s="779" t="str">
        <f t="shared" si="15"/>
        <v>项目停车位配比</v>
      </c>
      <c r="AA27" s="1813">
        <f t="shared" si="3"/>
        <v>1</v>
      </c>
      <c r="AB27" s="1813">
        <f t="shared" si="4"/>
        <v>1</v>
      </c>
      <c r="AC27" s="1813">
        <f t="shared" si="5"/>
        <v>1</v>
      </c>
    </row>
    <row r="28" spans="1:29" ht="15">
      <c r="A28" s="655"/>
      <c r="B28" s="653" t="s">
        <v>2708</v>
      </c>
      <c r="C28" s="460"/>
      <c r="D28" s="435">
        <v>100</v>
      </c>
      <c r="E28" s="460"/>
      <c r="F28" s="461">
        <f>SUMIF(83:83,E28,84:84)-SUMIF(83:83,C28,84:84)+100</f>
        <v>100</v>
      </c>
      <c r="G28" s="460"/>
      <c r="H28" s="435">
        <f>SUMIF(83:83,G28,84:84)-SUMIF(83:83,C28,84:84)+100</f>
        <v>100</v>
      </c>
      <c r="I28" s="460"/>
      <c r="J28" s="435">
        <f>SUMIF(83:83,I28,84:84)-SUMIF(83:83,C28,84:84)+100</f>
        <v>100</v>
      </c>
      <c r="K28" s="612"/>
      <c r="L28" s="1142"/>
      <c r="M28" s="1133"/>
      <c r="N28" s="1133"/>
      <c r="O28" s="1133"/>
      <c r="P28" s="3222"/>
      <c r="Q28" s="1812" t="str">
        <f t="shared" si="11"/>
        <v>公共部分装修</v>
      </c>
      <c r="R28" s="773" t="s">
        <v>17</v>
      </c>
      <c r="S28" s="774">
        <f t="shared" si="12"/>
        <v>100</v>
      </c>
      <c r="T28" s="773" t="s">
        <v>17</v>
      </c>
      <c r="U28" s="774">
        <f t="shared" si="13"/>
        <v>100</v>
      </c>
      <c r="V28" s="773" t="s">
        <v>17</v>
      </c>
      <c r="W28" s="774">
        <f t="shared" si="14"/>
        <v>100</v>
      </c>
      <c r="X28" s="1815"/>
      <c r="Y28" s="3222"/>
      <c r="Z28" s="1816" t="str">
        <f t="shared" si="15"/>
        <v>公共部分装修</v>
      </c>
      <c r="AA28" s="1813">
        <f t="shared" si="3"/>
        <v>1</v>
      </c>
      <c r="AB28" s="1813">
        <f t="shared" si="4"/>
        <v>1</v>
      </c>
      <c r="AC28" s="1813">
        <f t="shared" si="5"/>
        <v>1</v>
      </c>
    </row>
    <row r="29" spans="1:29" ht="15">
      <c r="A29" s="655"/>
      <c r="B29" s="653" t="s">
        <v>2709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2"/>
      <c r="M29" s="1133"/>
      <c r="N29" s="1133"/>
      <c r="O29" s="1133"/>
      <c r="P29" s="3222"/>
      <c r="Q29" s="1812" t="str">
        <f t="shared" si="11"/>
        <v>成新率</v>
      </c>
      <c r="R29" s="773" t="s">
        <v>17</v>
      </c>
      <c r="S29" s="774" t="e">
        <f t="shared" si="12"/>
        <v>#N/A</v>
      </c>
      <c r="T29" s="773" t="s">
        <v>17</v>
      </c>
      <c r="U29" s="774" t="e">
        <f t="shared" si="13"/>
        <v>#N/A</v>
      </c>
      <c r="V29" s="773" t="s">
        <v>17</v>
      </c>
      <c r="W29" s="774" t="e">
        <f t="shared" si="14"/>
        <v>#N/A</v>
      </c>
      <c r="X29" s="1815"/>
      <c r="Y29" s="3222"/>
      <c r="Z29" s="1816" t="str">
        <f t="shared" si="15"/>
        <v>成新率</v>
      </c>
      <c r="AA29" s="1813" t="e">
        <f t="shared" si="3"/>
        <v>#N/A</v>
      </c>
      <c r="AB29" s="1813" t="e">
        <f t="shared" si="4"/>
        <v>#N/A</v>
      </c>
      <c r="AC29" s="1813" t="e">
        <f t="shared" si="5"/>
        <v>#N/A</v>
      </c>
    </row>
    <row r="30" spans="1:29" ht="15">
      <c r="A30" s="655"/>
      <c r="B30" s="653" t="s">
        <v>2710</v>
      </c>
      <c r="C30" s="656"/>
      <c r="D30" s="435">
        <v>100</v>
      </c>
      <c r="E30" s="656"/>
      <c r="F30" s="461">
        <f>SUMIF(88:88,E30,89:89)-SUMIF(88:88,C30,89:89)+100</f>
        <v>100</v>
      </c>
      <c r="G30" s="656"/>
      <c r="H30" s="435">
        <f>SUMIF(88:88,E30,89:89)-SUMIF(88:88,C30,89:89)+100</f>
        <v>100</v>
      </c>
      <c r="I30" s="656"/>
      <c r="J30" s="435">
        <f>SUMIF(88:88,E30,89:89)-SUMIF(88:88,C30,89:89)+100</f>
        <v>100</v>
      </c>
      <c r="K30" s="612"/>
      <c r="L30" s="1142"/>
      <c r="M30" s="1133"/>
      <c r="N30" s="1133"/>
      <c r="O30" s="1133"/>
      <c r="P30" s="3222"/>
      <c r="Q30" s="1812" t="str">
        <f t="shared" si="11"/>
        <v>物业等级</v>
      </c>
      <c r="R30" s="773" t="s">
        <v>17</v>
      </c>
      <c r="S30" s="774">
        <f t="shared" si="12"/>
        <v>100</v>
      </c>
      <c r="T30" s="773" t="s">
        <v>17</v>
      </c>
      <c r="U30" s="774">
        <f t="shared" si="13"/>
        <v>100</v>
      </c>
      <c r="V30" s="773" t="s">
        <v>17</v>
      </c>
      <c r="W30" s="774">
        <f t="shared" si="14"/>
        <v>100</v>
      </c>
      <c r="X30" s="1815"/>
      <c r="Y30" s="3222"/>
      <c r="Z30" s="1816" t="str">
        <f t="shared" si="15"/>
        <v>物业等级</v>
      </c>
      <c r="AA30" s="1813">
        <f t="shared" si="3"/>
        <v>1</v>
      </c>
      <c r="AB30" s="1813">
        <f t="shared" si="4"/>
        <v>1</v>
      </c>
      <c r="AC30" s="1813">
        <f t="shared" si="5"/>
        <v>1</v>
      </c>
    </row>
    <row r="31" spans="1:29" s="117" customFormat="1" ht="15">
      <c r="A31" s="657"/>
      <c r="B31" s="653" t="s">
        <v>2711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4"/>
      <c r="M31" s="1135"/>
      <c r="N31" s="1135"/>
      <c r="O31" s="1135"/>
      <c r="P31" s="3222"/>
      <c r="Q31" s="1797" t="str">
        <f t="shared" si="11"/>
        <v>停车位面积</v>
      </c>
      <c r="R31" s="769" t="s">
        <v>17</v>
      </c>
      <c r="S31" s="770" t="e">
        <f t="shared" si="12"/>
        <v>#N/A</v>
      </c>
      <c r="T31" s="769" t="s">
        <v>17</v>
      </c>
      <c r="U31" s="770" t="e">
        <f t="shared" si="13"/>
        <v>#N/A</v>
      </c>
      <c r="V31" s="769" t="s">
        <v>17</v>
      </c>
      <c r="W31" s="770" t="e">
        <f t="shared" si="14"/>
        <v>#N/A</v>
      </c>
      <c r="X31" s="771"/>
      <c r="Y31" s="3222"/>
      <c r="Z31" s="55" t="str">
        <f t="shared" si="15"/>
        <v>停车位面积</v>
      </c>
      <c r="AA31" s="772" t="e">
        <f t="shared" si="3"/>
        <v>#N/A</v>
      </c>
      <c r="AB31" s="772" t="e">
        <f t="shared" si="4"/>
        <v>#N/A</v>
      </c>
      <c r="AC31" s="772" t="e">
        <f t="shared" si="5"/>
        <v>#N/A</v>
      </c>
    </row>
    <row r="32" spans="1:29" ht="15">
      <c r="A32" s="655"/>
      <c r="B32" s="653" t="s">
        <v>2712</v>
      </c>
      <c r="C32" s="460"/>
      <c r="D32" s="435">
        <v>100</v>
      </c>
      <c r="E32" s="460"/>
      <c r="F32" s="461">
        <f>SUMIF(93:93,E32,94:94)-SUMIF(93:93,C32,94:94)+100</f>
        <v>100</v>
      </c>
      <c r="G32" s="460"/>
      <c r="H32" s="435">
        <f>SUMIF(93:93,G32,94:94)-SUMIF(93:93,C32,94:94)+100</f>
        <v>100</v>
      </c>
      <c r="I32" s="460"/>
      <c r="J32" s="435">
        <f>SUMIF(93:93,I32,94:94)-SUMIF(93:93,C32,94:94)+100</f>
        <v>100</v>
      </c>
      <c r="K32" s="612"/>
      <c r="L32" s="1142"/>
      <c r="M32" s="1133"/>
      <c r="N32" s="1133"/>
      <c r="O32" s="1133"/>
      <c r="P32" s="3222" t="s">
        <v>2559</v>
      </c>
      <c r="Q32" s="1812" t="str">
        <f t="shared" si="11"/>
        <v>车位类型</v>
      </c>
      <c r="R32" s="773" t="s">
        <v>17</v>
      </c>
      <c r="S32" s="774">
        <f t="shared" si="12"/>
        <v>100</v>
      </c>
      <c r="T32" s="773" t="s">
        <v>17</v>
      </c>
      <c r="U32" s="774">
        <f t="shared" si="13"/>
        <v>100</v>
      </c>
      <c r="V32" s="773" t="s">
        <v>17</v>
      </c>
      <c r="W32" s="774">
        <f t="shared" si="14"/>
        <v>100</v>
      </c>
      <c r="X32" s="1815"/>
      <c r="Y32" s="3222" t="s">
        <v>2559</v>
      </c>
      <c r="Z32" s="1816" t="str">
        <f t="shared" si="15"/>
        <v>车位类型</v>
      </c>
      <c r="AA32" s="1813">
        <f t="shared" si="3"/>
        <v>1</v>
      </c>
      <c r="AB32" s="1813">
        <f t="shared" si="4"/>
        <v>1</v>
      </c>
      <c r="AC32" s="1813">
        <f t="shared" si="5"/>
        <v>1</v>
      </c>
    </row>
    <row r="33" spans="1:29" ht="15">
      <c r="A33" s="655"/>
      <c r="B33" s="653" t="s">
        <v>2713</v>
      </c>
      <c r="C33" s="460"/>
      <c r="D33" s="435">
        <v>100</v>
      </c>
      <c r="E33" s="460"/>
      <c r="F33" s="461">
        <f>SUMIF(95:95,E33,96:96)-SUMIF(95:95,C33,96:96)+100</f>
        <v>100</v>
      </c>
      <c r="G33" s="460"/>
      <c r="H33" s="435">
        <f>SUMIF(95:95,G33,96:96)-SUMIF(95:95,C33,96:96)+100</f>
        <v>100</v>
      </c>
      <c r="I33" s="460"/>
      <c r="J33" s="435">
        <f>SUMIF(95:95,I33,96:96)-SUMIF(95:95,C33,96:96)+100</f>
        <v>100</v>
      </c>
      <c r="K33" s="612"/>
      <c r="L33" s="1142"/>
      <c r="M33" s="1133"/>
      <c r="N33" s="1133"/>
      <c r="O33" s="1133"/>
      <c r="P33" s="3222"/>
      <c r="Q33" s="1812" t="str">
        <f t="shared" si="11"/>
        <v>是否直接入户</v>
      </c>
      <c r="R33" s="773" t="s">
        <v>17</v>
      </c>
      <c r="S33" s="774">
        <f t="shared" si="12"/>
        <v>100</v>
      </c>
      <c r="T33" s="773" t="s">
        <v>17</v>
      </c>
      <c r="U33" s="774">
        <f t="shared" si="13"/>
        <v>100</v>
      </c>
      <c r="V33" s="773" t="s">
        <v>17</v>
      </c>
      <c r="W33" s="774">
        <f t="shared" si="14"/>
        <v>100</v>
      </c>
      <c r="X33" s="1815"/>
      <c r="Y33" s="3222"/>
      <c r="Z33" s="1816" t="str">
        <f t="shared" si="15"/>
        <v>是否直接入户</v>
      </c>
      <c r="AA33" s="1813">
        <f t="shared" si="3"/>
        <v>1</v>
      </c>
      <c r="AB33" s="1813">
        <f t="shared" si="4"/>
        <v>1</v>
      </c>
      <c r="AC33" s="1813">
        <f t="shared" si="5"/>
        <v>1</v>
      </c>
    </row>
    <row r="34" spans="1:29" ht="15">
      <c r="A34" s="655"/>
      <c r="B34" s="647">
        <v>111</v>
      </c>
      <c r="C34" s="432"/>
      <c r="D34" s="435">
        <v>100</v>
      </c>
      <c r="E34" s="432"/>
      <c r="F34" s="461">
        <f>SUMIF(97:97,E34,98:98)-SUMIF(97:97,C34,98:98)+100</f>
        <v>100</v>
      </c>
      <c r="G34" s="432"/>
      <c r="H34" s="435">
        <f>SUMIF(97:97,G34,98:98)-SUMIF(97:97,C34,98:98)+100</f>
        <v>100</v>
      </c>
      <c r="I34" s="432"/>
      <c r="J34" s="435">
        <f>SUMIF(97:97,I34,98:98)-SUMIF(97:97,C34,98:98)+100</f>
        <v>100</v>
      </c>
      <c r="K34" s="613"/>
      <c r="L34" s="1142"/>
      <c r="M34" s="1133"/>
      <c r="N34" s="1133"/>
      <c r="O34" s="1133"/>
      <c r="P34" s="3222"/>
      <c r="Q34" s="1812">
        <f t="shared" si="11"/>
        <v>111</v>
      </c>
      <c r="R34" s="773" t="s">
        <v>17</v>
      </c>
      <c r="S34" s="774">
        <f t="shared" si="12"/>
        <v>100</v>
      </c>
      <c r="T34" s="773" t="s">
        <v>17</v>
      </c>
      <c r="U34" s="774">
        <f t="shared" si="13"/>
        <v>100</v>
      </c>
      <c r="V34" s="773" t="s">
        <v>17</v>
      </c>
      <c r="W34" s="774">
        <f t="shared" si="14"/>
        <v>100</v>
      </c>
      <c r="X34" s="1815"/>
      <c r="Y34" s="3222"/>
      <c r="Z34" s="1816">
        <f t="shared" si="15"/>
        <v>111</v>
      </c>
      <c r="AA34" s="1813">
        <f t="shared" si="3"/>
        <v>1</v>
      </c>
      <c r="AB34" s="1813">
        <f t="shared" si="4"/>
        <v>1</v>
      </c>
      <c r="AC34" s="1813">
        <f t="shared" si="5"/>
        <v>1</v>
      </c>
    </row>
    <row r="35" spans="1:29" s="471" customFormat="1" ht="15">
      <c r="A35" s="652"/>
      <c r="B35" s="647">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0"/>
      <c r="M35" s="1143"/>
      <c r="N35" s="1143"/>
      <c r="O35" s="1143"/>
      <c r="P35" s="3222"/>
      <c r="Q35" s="775">
        <f t="shared" si="11"/>
        <v>111</v>
      </c>
      <c r="R35" s="776" t="s">
        <v>17</v>
      </c>
      <c r="S35" s="777">
        <f t="shared" si="12"/>
        <v>100</v>
      </c>
      <c r="T35" s="776" t="s">
        <v>17</v>
      </c>
      <c r="U35" s="777">
        <f t="shared" si="13"/>
        <v>100</v>
      </c>
      <c r="V35" s="776" t="s">
        <v>17</v>
      </c>
      <c r="W35" s="777">
        <f t="shared" si="14"/>
        <v>100</v>
      </c>
      <c r="X35" s="778"/>
      <c r="Y35" s="3222"/>
      <c r="Z35" s="779">
        <f t="shared" si="15"/>
        <v>111</v>
      </c>
      <c r="AA35" s="1813">
        <f t="shared" si="3"/>
        <v>1</v>
      </c>
      <c r="AB35" s="1813">
        <f t="shared" si="4"/>
        <v>1</v>
      </c>
      <c r="AC35" s="1813">
        <f t="shared" si="5"/>
        <v>1</v>
      </c>
    </row>
    <row r="36" spans="1:29" ht="15.75" thickBot="1">
      <c r="A36" s="658"/>
      <c r="B36" s="634">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2"/>
      <c r="M36" s="1133"/>
      <c r="N36" s="1133"/>
      <c r="O36" s="1133"/>
      <c r="P36" s="3222"/>
      <c r="Q36" s="1812">
        <f t="shared" si="11"/>
        <v>111</v>
      </c>
      <c r="R36" s="773" t="s">
        <v>17</v>
      </c>
      <c r="S36" s="774">
        <f t="shared" si="12"/>
        <v>100</v>
      </c>
      <c r="T36" s="773" t="s">
        <v>17</v>
      </c>
      <c r="U36" s="774">
        <f t="shared" si="13"/>
        <v>100</v>
      </c>
      <c r="V36" s="773" t="s">
        <v>17</v>
      </c>
      <c r="W36" s="774">
        <f t="shared" si="14"/>
        <v>100</v>
      </c>
      <c r="X36" s="1815"/>
      <c r="Y36" s="3222"/>
      <c r="Z36" s="1816">
        <f t="shared" si="15"/>
        <v>111</v>
      </c>
      <c r="AA36" s="1813">
        <f t="shared" si="3"/>
        <v>1</v>
      </c>
      <c r="AB36" s="1813">
        <f t="shared" si="4"/>
        <v>1</v>
      </c>
      <c r="AC36" s="1813">
        <f t="shared" si="5"/>
        <v>1</v>
      </c>
    </row>
    <row r="37" spans="1:29" ht="15">
      <c r="A37" s="479" t="s">
        <v>2714</v>
      </c>
      <c r="B37" s="2697" t="s">
        <v>2715</v>
      </c>
      <c r="C37" s="1409" t="s">
        <v>1</v>
      </c>
      <c r="D37" s="1410"/>
      <c r="E37" s="1411"/>
      <c r="F37" s="1412"/>
      <c r="G37" s="1413"/>
      <c r="H37" s="1414"/>
      <c r="I37" s="1411"/>
      <c r="J37" s="1414"/>
      <c r="K37" s="618"/>
      <c r="L37" s="1145"/>
      <c r="M37" s="1146"/>
      <c r="N37" s="1133"/>
      <c r="O37" s="1146"/>
      <c r="P37" s="3224" t="str">
        <f>A37</f>
        <v>成交单价</v>
      </c>
      <c r="Q37" s="3224"/>
      <c r="R37" s="3225">
        <f>E37</f>
        <v>0</v>
      </c>
      <c r="S37" s="3225"/>
      <c r="T37" s="3225">
        <f>G37</f>
        <v>0</v>
      </c>
      <c r="U37" s="3225"/>
      <c r="V37" s="3225">
        <f>I37</f>
        <v>0</v>
      </c>
      <c r="W37" s="3225"/>
      <c r="X37" s="758"/>
      <c r="Y37" s="780"/>
      <c r="Z37" s="758"/>
      <c r="AA37" s="758"/>
      <c r="AB37" s="758"/>
      <c r="AC37" s="758"/>
    </row>
    <row r="38" spans="1:29" ht="15.75" thickBot="1">
      <c r="A38" s="486" t="s">
        <v>2716</v>
      </c>
      <c r="B38" s="487" t="str">
        <f>B37</f>
        <v>元/车位</v>
      </c>
      <c r="C38" s="1415" t="e">
        <f>R39</f>
        <v>#DIV/0!</v>
      </c>
      <c r="D38" s="1416"/>
      <c r="E38" s="1417" t="e">
        <f>R38</f>
        <v>#DIV/0!</v>
      </c>
      <c r="F38" s="1417"/>
      <c r="G38" s="1415" t="e">
        <f>T38</f>
        <v>#DIV/0!</v>
      </c>
      <c r="H38" s="1416"/>
      <c r="I38" s="1417" t="e">
        <f>V38</f>
        <v>#DIV/0!</v>
      </c>
      <c r="J38" s="1416"/>
      <c r="K38" s="619"/>
      <c r="L38" s="1145"/>
      <c r="M38" s="1146"/>
      <c r="N38" s="1146"/>
      <c r="O38" s="1146"/>
      <c r="P38" s="3224" t="str">
        <f>A38</f>
        <v>比较价值（元/平方米）</v>
      </c>
      <c r="Q38" s="3224"/>
      <c r="R38" s="3225" t="e">
        <f>IF(F1="售价",ROUND(PRODUCT(R37,AA7:AA36),0),ROUND(PRODUCT(R37,AA7:AA36),1))</f>
        <v>#DIV/0!</v>
      </c>
      <c r="S38" s="3225"/>
      <c r="T38" s="3225" t="e">
        <f>IF(F1="售价",ROUND(PRODUCT(T37,AB7:AB36),0),ROUND(PRODUCT(T37,AB7:AB36),1))</f>
        <v>#DIV/0!</v>
      </c>
      <c r="U38" s="3225"/>
      <c r="V38" s="3225" t="e">
        <f>IF(F1="售价",ROUND(PRODUCT(V37,AC7:AC36),0),ROUND(PRODUCT(V37,AC7:AC36),1))</f>
        <v>#DIV/0!</v>
      </c>
      <c r="W38" s="3225"/>
      <c r="X38" s="758"/>
      <c r="Y38" s="758"/>
      <c r="Z38" s="758"/>
      <c r="AA38" s="758"/>
      <c r="AB38" s="758"/>
      <c r="AC38" s="758"/>
    </row>
    <row r="39" spans="1:29" ht="15.75" thickBot="1">
      <c r="A39" s="492" t="s">
        <v>2717</v>
      </c>
      <c r="B39" s="493"/>
      <c r="C39" s="1419" t="e">
        <f>R39</f>
        <v>#DIV/0!</v>
      </c>
      <c r="D39" s="1419"/>
      <c r="E39" s="1419"/>
      <c r="F39" s="1419"/>
      <c r="G39" s="1419"/>
      <c r="H39" s="1419"/>
      <c r="I39" s="1419"/>
      <c r="J39" s="1419"/>
      <c r="K39" s="620"/>
      <c r="L39" s="1145"/>
      <c r="M39" s="1146"/>
      <c r="N39" s="1146"/>
      <c r="O39" s="1146"/>
      <c r="P39" s="3226" t="str">
        <f>A39</f>
        <v>估价对象XX用房的比较价值（楼面单价，元/平方米）</v>
      </c>
      <c r="Q39" s="3227"/>
      <c r="R39" s="3228" t="e">
        <f>IF(F1="售价",ROUND(AVERAGE(R38:V38),0),ROUND(AVERAGE(R38:V38),1))</f>
        <v>#DIV/0!</v>
      </c>
      <c r="S39" s="3228"/>
      <c r="T39" s="3228"/>
      <c r="U39" s="3228"/>
      <c r="V39" s="3228"/>
      <c r="W39" s="3228"/>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7" t="s">
        <v>2718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7" t="s">
        <v>2719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2" customFormat="1" ht="13.5" customHeight="1">
      <c r="A44" s="1147"/>
      <c r="B44" s="1147"/>
      <c r="C44" s="497" t="s">
        <v>2720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2"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2721</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8" customFormat="1" ht="15">
      <c r="A48" s="505" t="s">
        <v>2722</v>
      </c>
      <c r="B48" s="506"/>
      <c r="C48" s="1576" t="str">
        <f>YEAR(C7)&amp;"-"&amp;MONTH(C7)</f>
        <v>2018-8</v>
      </c>
      <c r="D48" s="1577">
        <f>EDATE(C48,-1)</f>
        <v>43282</v>
      </c>
      <c r="E48" s="1577">
        <f t="shared" ref="E48:O48" si="16">EDATE(D48,-1)</f>
        <v>43252</v>
      </c>
      <c r="F48" s="1577">
        <f t="shared" si="16"/>
        <v>43221</v>
      </c>
      <c r="G48" s="1577">
        <f t="shared" si="16"/>
        <v>43191</v>
      </c>
      <c r="H48" s="1577">
        <f t="shared" si="16"/>
        <v>43160</v>
      </c>
      <c r="I48" s="1577">
        <f t="shared" si="16"/>
        <v>43132</v>
      </c>
      <c r="J48" s="1577">
        <f t="shared" si="16"/>
        <v>43101</v>
      </c>
      <c r="K48" s="1577">
        <f t="shared" si="16"/>
        <v>43070</v>
      </c>
      <c r="L48" s="1577">
        <f t="shared" si="16"/>
        <v>43040</v>
      </c>
      <c r="M48" s="1577">
        <f t="shared" si="16"/>
        <v>43009</v>
      </c>
      <c r="N48" s="1577">
        <f t="shared" si="16"/>
        <v>42979</v>
      </c>
      <c r="O48" s="1577">
        <f t="shared" si="16"/>
        <v>42948</v>
      </c>
      <c r="P48" s="1440"/>
      <c r="Q48" s="1441"/>
      <c r="R48" s="1441"/>
      <c r="S48" s="1441"/>
      <c r="T48" s="1441"/>
      <c r="U48" s="1441"/>
      <c r="V48" s="1441"/>
      <c r="W48" s="1441"/>
      <c r="X48" s="1441"/>
      <c r="Y48" s="1441"/>
      <c r="Z48" s="1441"/>
      <c r="AA48" s="1441"/>
      <c r="AB48" s="1441"/>
      <c r="AC48" s="1441"/>
    </row>
    <row r="49" spans="1:29" s="117" customFormat="1" ht="15">
      <c r="A49" s="509"/>
      <c r="B49" s="510"/>
      <c r="C49" s="1568">
        <v>100</v>
      </c>
      <c r="D49" s="512"/>
      <c r="E49" s="512"/>
      <c r="F49" s="512"/>
      <c r="G49" s="512"/>
      <c r="H49" s="512"/>
      <c r="I49" s="512"/>
      <c r="J49" s="512"/>
      <c r="K49" s="512"/>
      <c r="L49" s="512"/>
      <c r="M49" s="513"/>
      <c r="N49" s="512"/>
      <c r="O49" s="513"/>
      <c r="P49" s="1430"/>
      <c r="Q49" s="1429"/>
      <c r="R49" s="1429"/>
      <c r="S49" s="1429"/>
      <c r="T49" s="1429"/>
      <c r="U49" s="1429"/>
      <c r="V49" s="1429"/>
      <c r="W49" s="1429"/>
      <c r="X49" s="1429"/>
      <c r="Y49" s="1429"/>
      <c r="Z49" s="1429"/>
      <c r="AA49" s="1429"/>
      <c r="AB49" s="1429"/>
      <c r="AC49" s="1429"/>
    </row>
    <row r="50" spans="1:29" s="117" customFormat="1" ht="15.75" thickBot="1">
      <c r="A50" s="515" t="s">
        <v>2579</v>
      </c>
      <c r="B50" s="516"/>
      <c r="C50" s="517"/>
      <c r="D50" s="518"/>
      <c r="E50" s="518"/>
      <c r="F50" s="518"/>
      <c r="G50" s="518"/>
      <c r="H50" s="518"/>
      <c r="I50" s="518"/>
      <c r="J50" s="518"/>
      <c r="K50" s="518"/>
      <c r="L50" s="518"/>
      <c r="M50" s="519"/>
      <c r="N50" s="518"/>
      <c r="O50" s="519"/>
      <c r="P50" s="1430"/>
      <c r="Q50" s="1425"/>
      <c r="R50" s="1429"/>
      <c r="S50" s="1429"/>
      <c r="T50" s="1429"/>
      <c r="U50" s="1429"/>
      <c r="V50" s="1429"/>
      <c r="W50" s="1429"/>
      <c r="X50" s="1429"/>
      <c r="Y50" s="1429"/>
      <c r="Z50" s="1429"/>
      <c r="AA50" s="1429"/>
      <c r="AB50" s="1429"/>
      <c r="AC50" s="1429"/>
    </row>
    <row r="51" spans="1:29" s="117" customFormat="1" ht="15">
      <c r="A51" s="521" t="s">
        <v>2544</v>
      </c>
      <c r="B51" s="510"/>
      <c r="C51" s="522" t="s">
        <v>2646</v>
      </c>
      <c r="D51" s="523"/>
      <c r="E51" s="523"/>
      <c r="F51" s="523"/>
      <c r="G51" s="523"/>
      <c r="H51" s="523"/>
      <c r="I51" s="523"/>
      <c r="J51" s="523"/>
      <c r="K51" s="523"/>
      <c r="L51" s="524"/>
      <c r="M51" s="525"/>
      <c r="N51" s="1153"/>
      <c r="O51" s="1153"/>
      <c r="P51" s="1428"/>
      <c r="Q51" s="1425"/>
      <c r="R51" s="1429"/>
      <c r="S51" s="1429"/>
      <c r="T51" s="1429"/>
      <c r="U51" s="1429"/>
      <c r="V51" s="1429"/>
      <c r="W51" s="1429"/>
      <c r="X51" s="1429"/>
      <c r="Y51" s="1429"/>
      <c r="Z51" s="1429"/>
      <c r="AA51" s="1429"/>
      <c r="AB51" s="1429"/>
      <c r="AC51" s="1429"/>
    </row>
    <row r="52" spans="1:29" s="117" customFormat="1" ht="15.75" thickBot="1">
      <c r="A52" s="521"/>
      <c r="B52" s="510"/>
      <c r="C52" s="638">
        <v>100</v>
      </c>
      <c r="D52" s="512"/>
      <c r="E52" s="512"/>
      <c r="F52" s="512"/>
      <c r="G52" s="512"/>
      <c r="H52" s="512"/>
      <c r="I52" s="512"/>
      <c r="J52" s="512"/>
      <c r="K52" s="512"/>
      <c r="L52" s="512"/>
      <c r="M52" s="514"/>
      <c r="N52" s="1153"/>
      <c r="O52" s="1153"/>
      <c r="P52" s="1430"/>
      <c r="Q52" s="1425"/>
      <c r="R52" s="1429"/>
      <c r="S52" s="1429"/>
      <c r="T52" s="1429"/>
      <c r="U52" s="1429"/>
      <c r="V52" s="1429"/>
      <c r="W52" s="1429"/>
      <c r="X52" s="1429"/>
      <c r="Y52" s="1429"/>
      <c r="Z52" s="1429"/>
      <c r="AA52" s="1429"/>
      <c r="AB52" s="1429"/>
      <c r="AC52" s="1429"/>
    </row>
    <row r="53" spans="1:29">
      <c r="A53" s="527" t="s">
        <v>2582</v>
      </c>
      <c r="B53" s="528" t="s">
        <v>2548</v>
      </c>
      <c r="C53" s="529">
        <f>C9</f>
        <v>0</v>
      </c>
      <c r="D53" s="530"/>
      <c r="E53" s="530"/>
      <c r="F53" s="530"/>
      <c r="G53" s="530"/>
      <c r="H53" s="530"/>
      <c r="I53" s="530"/>
      <c r="J53" s="530"/>
      <c r="K53" s="531"/>
      <c r="L53" s="532"/>
      <c r="M53" s="533"/>
      <c r="N53" s="1154"/>
      <c r="O53" s="1154"/>
      <c r="P53" s="1431"/>
      <c r="Q53" s="1425"/>
      <c r="R53" s="1146"/>
      <c r="S53" s="1146"/>
      <c r="T53" s="1146"/>
      <c r="U53" s="1146"/>
      <c r="V53" s="1146"/>
      <c r="W53" s="1146"/>
      <c r="X53" s="1146"/>
      <c r="Y53" s="1146"/>
      <c r="Z53" s="1146"/>
      <c r="AA53" s="1146"/>
      <c r="AB53" s="1146"/>
      <c r="AC53" s="1146"/>
    </row>
    <row r="54" spans="1:29" ht="15.75" thickBot="1">
      <c r="A54" s="534"/>
      <c r="B54" s="535"/>
      <c r="C54" s="536">
        <v>100</v>
      </c>
      <c r="D54" s="536"/>
      <c r="E54" s="536"/>
      <c r="F54" s="536"/>
      <c r="G54" s="536"/>
      <c r="H54" s="536"/>
      <c r="I54" s="536"/>
      <c r="J54" s="536"/>
      <c r="K54" s="536"/>
      <c r="L54" s="536"/>
      <c r="M54" s="537"/>
      <c r="N54" s="1155"/>
      <c r="O54" s="1155"/>
      <c r="P54" s="1431"/>
      <c r="Q54" s="1425"/>
      <c r="R54" s="1146"/>
      <c r="S54" s="1146"/>
      <c r="T54" s="1146"/>
      <c r="U54" s="1146"/>
      <c r="V54" s="1146"/>
      <c r="W54" s="1146"/>
      <c r="X54" s="1146"/>
      <c r="Y54" s="1146"/>
      <c r="Z54" s="1146"/>
      <c r="AA54" s="1146"/>
      <c r="AB54" s="1146"/>
      <c r="AC54" s="1146"/>
    </row>
    <row r="55" spans="1:29" ht="27.75" thickTop="1">
      <c r="A55" s="534"/>
      <c r="B55" s="538" t="s">
        <v>2551</v>
      </c>
      <c r="C55" s="539" t="s">
        <v>2583</v>
      </c>
      <c r="D55" s="539" t="s">
        <v>2584</v>
      </c>
      <c r="E55" s="539" t="s">
        <v>2585</v>
      </c>
      <c r="F55" s="539" t="s">
        <v>2586</v>
      </c>
      <c r="G55" s="539" t="s">
        <v>2587</v>
      </c>
      <c r="H55" s="539" t="s">
        <v>2588</v>
      </c>
      <c r="I55" s="539" t="s">
        <v>2589</v>
      </c>
      <c r="J55" s="539"/>
      <c r="K55" s="540"/>
      <c r="L55" s="541"/>
      <c r="M55" s="542"/>
      <c r="N55" s="1154"/>
      <c r="O55" s="1154"/>
      <c r="P55" s="1431"/>
      <c r="Q55" s="1425"/>
      <c r="R55" s="1146"/>
      <c r="S55" s="1146"/>
      <c r="T55" s="1146"/>
      <c r="U55" s="1146"/>
      <c r="V55" s="1146"/>
      <c r="W55" s="1146"/>
      <c r="X55" s="1146"/>
      <c r="Y55" s="1146"/>
      <c r="Z55" s="1146"/>
      <c r="AA55" s="1146"/>
      <c r="AB55" s="1146"/>
      <c r="AC55" s="1146"/>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5"/>
      <c r="O56" s="1155"/>
      <c r="P56" s="1431"/>
      <c r="Q56" s="1425"/>
      <c r="R56" s="1146"/>
      <c r="S56" s="1146"/>
      <c r="T56" s="1146"/>
      <c r="U56" s="1146"/>
      <c r="V56" s="1146"/>
      <c r="W56" s="1146"/>
      <c r="X56" s="1146"/>
      <c r="Y56" s="1146"/>
      <c r="Z56" s="1146"/>
      <c r="AA56" s="1146"/>
      <c r="AB56" s="1146"/>
      <c r="AC56" s="1146"/>
    </row>
    <row r="57" spans="1:29" ht="15.75" thickTop="1">
      <c r="A57" s="534"/>
      <c r="B57" s="659">
        <f>B11</f>
        <v>111</v>
      </c>
      <c r="C57" s="549"/>
      <c r="D57" s="549"/>
      <c r="E57" s="549"/>
      <c r="F57" s="549"/>
      <c r="G57" s="549"/>
      <c r="H57" s="549"/>
      <c r="I57" s="549"/>
      <c r="J57" s="549"/>
      <c r="K57" s="550"/>
      <c r="L57" s="551"/>
      <c r="M57" s="552"/>
      <c r="N57" s="1154"/>
      <c r="O57" s="1154"/>
      <c r="P57" s="1431"/>
      <c r="Q57" s="1425"/>
      <c r="R57" s="1146"/>
      <c r="S57" s="1146"/>
      <c r="T57" s="1146"/>
      <c r="U57" s="1146"/>
      <c r="V57" s="1146"/>
      <c r="W57" s="1146"/>
      <c r="X57" s="1146"/>
      <c r="Y57" s="1146"/>
      <c r="Z57" s="1146"/>
      <c r="AA57" s="1146"/>
      <c r="AB57" s="1146"/>
      <c r="AC57" s="1146"/>
    </row>
    <row r="58" spans="1:29" ht="15.75" thickBot="1">
      <c r="A58" s="534"/>
      <c r="B58" s="535"/>
      <c r="C58" s="560"/>
      <c r="D58" s="536"/>
      <c r="E58" s="536"/>
      <c r="F58" s="536"/>
      <c r="G58" s="536"/>
      <c r="H58" s="536"/>
      <c r="I58" s="536"/>
      <c r="J58" s="536"/>
      <c r="K58" s="536"/>
      <c r="L58" s="536"/>
      <c r="M58" s="537"/>
      <c r="N58" s="1155"/>
      <c r="O58" s="1155"/>
      <c r="P58" s="1431"/>
      <c r="Q58" s="1425"/>
      <c r="R58" s="1146"/>
      <c r="S58" s="1146"/>
      <c r="T58" s="1146"/>
      <c r="U58" s="1146"/>
      <c r="V58" s="1146"/>
      <c r="W58" s="1146"/>
      <c r="X58" s="1146"/>
      <c r="Y58" s="1146"/>
      <c r="Z58" s="1146"/>
      <c r="AA58" s="1146"/>
      <c r="AB58" s="1146"/>
      <c r="AC58" s="1146"/>
    </row>
    <row r="59" spans="1:29" s="471" customFormat="1" ht="15.75" thickTop="1">
      <c r="A59" s="553"/>
      <c r="B59" s="538">
        <f>B12</f>
        <v>111</v>
      </c>
      <c r="C59" s="549"/>
      <c r="D59" s="549"/>
      <c r="E59" s="549"/>
      <c r="F59" s="549"/>
      <c r="G59" s="554"/>
      <c r="H59" s="555"/>
      <c r="I59" s="555"/>
      <c r="J59" s="555"/>
      <c r="K59" s="555"/>
      <c r="L59" s="556"/>
      <c r="M59" s="557"/>
      <c r="N59" s="1156"/>
      <c r="O59" s="1156"/>
      <c r="P59" s="1432"/>
      <c r="Q59" s="1433"/>
      <c r="R59" s="1434"/>
      <c r="S59" s="1434"/>
      <c r="T59" s="1434"/>
      <c r="U59" s="1434"/>
      <c r="V59" s="1434"/>
      <c r="W59" s="1434"/>
      <c r="X59" s="1434"/>
      <c r="Y59" s="1434"/>
      <c r="Z59" s="1434"/>
      <c r="AA59" s="1434"/>
      <c r="AB59" s="1434"/>
      <c r="AC59" s="1434"/>
    </row>
    <row r="60" spans="1:29" s="471" customFormat="1" ht="15.75" thickBot="1">
      <c r="A60" s="553"/>
      <c r="B60" s="543"/>
      <c r="C60" s="560"/>
      <c r="D60" s="536"/>
      <c r="E60" s="536"/>
      <c r="F60" s="536"/>
      <c r="G60" s="536"/>
      <c r="H60" s="536"/>
      <c r="I60" s="536"/>
      <c r="J60" s="536"/>
      <c r="K60" s="536"/>
      <c r="L60" s="536"/>
      <c r="M60" s="537"/>
      <c r="N60" s="1155"/>
      <c r="O60" s="1155"/>
      <c r="P60" s="1432"/>
      <c r="Q60" s="1433"/>
      <c r="R60" s="1434"/>
      <c r="S60" s="1434"/>
      <c r="T60" s="1434"/>
      <c r="U60" s="1434"/>
      <c r="V60" s="1434"/>
      <c r="W60" s="1434"/>
      <c r="X60" s="1434"/>
      <c r="Y60" s="1434"/>
      <c r="Z60" s="1434"/>
      <c r="AA60" s="1434"/>
      <c r="AB60" s="1434"/>
      <c r="AC60" s="1434"/>
    </row>
    <row r="61" spans="1:29" s="471" customFormat="1" ht="15.75" thickTop="1">
      <c r="A61" s="553"/>
      <c r="B61" s="538">
        <f>B13</f>
        <v>111</v>
      </c>
      <c r="C61" s="554"/>
      <c r="D61" s="554"/>
      <c r="E61" s="554"/>
      <c r="F61" s="554"/>
      <c r="G61" s="554"/>
      <c r="H61" s="555"/>
      <c r="I61" s="555"/>
      <c r="J61" s="555"/>
      <c r="K61" s="555"/>
      <c r="L61" s="556"/>
      <c r="M61" s="557"/>
      <c r="N61" s="1156"/>
      <c r="O61" s="1156"/>
      <c r="P61" s="1435"/>
      <c r="Q61" s="1436"/>
      <c r="R61" s="1434"/>
      <c r="S61" s="1434"/>
      <c r="T61" s="1434"/>
      <c r="U61" s="1434"/>
      <c r="V61" s="1434"/>
      <c r="W61" s="1434"/>
      <c r="X61" s="1434"/>
      <c r="Y61" s="1434"/>
      <c r="Z61" s="1434"/>
      <c r="AA61" s="1434"/>
      <c r="AB61" s="1434"/>
      <c r="AC61" s="1434"/>
    </row>
    <row r="62" spans="1:29" s="471" customFormat="1" ht="15.75" thickBot="1">
      <c r="A62" s="553"/>
      <c r="B62" s="543"/>
      <c r="C62" s="560"/>
      <c r="D62" s="560"/>
      <c r="E62" s="560"/>
      <c r="F62" s="560"/>
      <c r="G62" s="560"/>
      <c r="H62" s="562"/>
      <c r="I62" s="562"/>
      <c r="J62" s="562"/>
      <c r="K62" s="562"/>
      <c r="L62" s="562"/>
      <c r="M62" s="563"/>
      <c r="N62" s="1156"/>
      <c r="O62" s="1156"/>
      <c r="P62" s="1432"/>
      <c r="Q62" s="1433"/>
      <c r="R62" s="1434"/>
      <c r="S62" s="1434"/>
      <c r="T62" s="1434"/>
      <c r="U62" s="1434"/>
      <c r="V62" s="1434"/>
      <c r="W62" s="1434"/>
      <c r="X62" s="1434"/>
      <c r="Y62" s="1434"/>
      <c r="Z62" s="1434"/>
      <c r="AA62" s="1434"/>
      <c r="AB62" s="1434"/>
      <c r="AC62" s="1434"/>
    </row>
    <row r="63" spans="1:29" ht="15" thickTop="1">
      <c r="A63" s="527" t="s">
        <v>2553</v>
      </c>
      <c r="B63" s="528" t="s">
        <v>2596</v>
      </c>
      <c r="C63" s="573" t="s">
        <v>2591</v>
      </c>
      <c r="D63" s="573" t="s">
        <v>2592</v>
      </c>
      <c r="E63" s="573" t="s">
        <v>2593</v>
      </c>
      <c r="F63" s="573" t="s">
        <v>2594</v>
      </c>
      <c r="G63" s="573" t="s">
        <v>2595</v>
      </c>
      <c r="H63" s="529"/>
      <c r="I63" s="529"/>
      <c r="J63" s="529"/>
      <c r="K63" s="574"/>
      <c r="L63" s="575"/>
      <c r="M63" s="576"/>
      <c r="N63" s="1154"/>
      <c r="O63" s="1154"/>
      <c r="P63" s="1437"/>
      <c r="Q63" s="1425"/>
      <c r="R63" s="1146"/>
      <c r="S63" s="1146"/>
      <c r="T63" s="1146"/>
      <c r="U63" s="1146"/>
      <c r="V63" s="1146"/>
      <c r="W63" s="1146"/>
      <c r="X63" s="1146"/>
      <c r="Y63" s="1146"/>
      <c r="Z63" s="1146"/>
      <c r="AA63" s="1146"/>
      <c r="AB63" s="1146"/>
      <c r="AC63" s="1146"/>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5"/>
      <c r="O64" s="1155"/>
      <c r="P64" s="1431"/>
      <c r="Q64" s="1425"/>
      <c r="R64" s="1146"/>
      <c r="S64" s="1146"/>
      <c r="T64" s="1146"/>
      <c r="U64" s="1146"/>
      <c r="V64" s="1146"/>
      <c r="W64" s="1146"/>
      <c r="X64" s="1146"/>
      <c r="Y64" s="1146"/>
      <c r="Z64" s="1146"/>
      <c r="AA64" s="1146"/>
      <c r="AB64" s="1146"/>
      <c r="AC64" s="1146"/>
    </row>
    <row r="65" spans="1:29" ht="15.75" thickTop="1">
      <c r="A65" s="534"/>
      <c r="B65" s="538" t="s">
        <v>2597</v>
      </c>
      <c r="C65" s="578" t="s">
        <v>2591</v>
      </c>
      <c r="D65" s="578" t="s">
        <v>2592</v>
      </c>
      <c r="E65" s="578" t="s">
        <v>2593</v>
      </c>
      <c r="F65" s="578" t="s">
        <v>2594</v>
      </c>
      <c r="G65" s="578" t="s">
        <v>2595</v>
      </c>
      <c r="H65" s="539"/>
      <c r="I65" s="539"/>
      <c r="J65" s="539"/>
      <c r="K65" s="540"/>
      <c r="L65" s="541"/>
      <c r="M65" s="542"/>
      <c r="N65" s="1154"/>
      <c r="O65" s="1154"/>
      <c r="P65" s="1431"/>
      <c r="Q65" s="1425"/>
      <c r="R65" s="1146"/>
      <c r="S65" s="1146"/>
      <c r="T65" s="1146"/>
      <c r="U65" s="1146"/>
      <c r="V65" s="1146"/>
      <c r="W65" s="1146"/>
      <c r="X65" s="1146"/>
      <c r="Y65" s="1146"/>
      <c r="Z65" s="1146"/>
      <c r="AA65" s="1146"/>
      <c r="AB65" s="1146"/>
      <c r="AC65" s="1146"/>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5"/>
      <c r="O66" s="1155"/>
      <c r="P66" s="1431"/>
      <c r="Q66" s="1425"/>
      <c r="R66" s="1146"/>
      <c r="S66" s="1146"/>
      <c r="T66" s="1146"/>
      <c r="U66" s="1146"/>
      <c r="V66" s="1146"/>
      <c r="W66" s="1146"/>
      <c r="X66" s="1146"/>
      <c r="Y66" s="1146"/>
      <c r="Z66" s="1146"/>
      <c r="AA66" s="1146"/>
      <c r="AB66" s="1146"/>
      <c r="AC66" s="1146"/>
    </row>
    <row r="67" spans="1:29" ht="15.75" thickTop="1">
      <c r="A67" s="534"/>
      <c r="B67" s="546" t="s">
        <v>2683</v>
      </c>
      <c r="C67" s="659" t="s">
        <v>2669</v>
      </c>
      <c r="D67" s="659" t="s">
        <v>2670</v>
      </c>
      <c r="E67" s="659" t="s">
        <v>2671</v>
      </c>
      <c r="F67" s="659" t="s">
        <v>2672</v>
      </c>
      <c r="G67" s="659" t="s">
        <v>2673</v>
      </c>
      <c r="H67" s="539"/>
      <c r="I67" s="539"/>
      <c r="J67" s="539"/>
      <c r="K67" s="539"/>
      <c r="L67" s="539"/>
      <c r="M67" s="1384"/>
      <c r="N67" s="1155"/>
      <c r="O67" s="1155"/>
      <c r="P67" s="1431"/>
      <c r="Q67" s="1425"/>
      <c r="R67" s="1146"/>
      <c r="S67" s="1146"/>
      <c r="T67" s="1146"/>
      <c r="U67" s="1146"/>
      <c r="V67" s="1146"/>
      <c r="W67" s="1146"/>
      <c r="X67" s="1146"/>
      <c r="Y67" s="1146"/>
      <c r="Z67" s="1146"/>
      <c r="AA67" s="1146"/>
      <c r="AB67" s="1146"/>
      <c r="AC67" s="1146"/>
    </row>
    <row r="68" spans="1:29" ht="15.75" thickBot="1">
      <c r="A68" s="534"/>
      <c r="B68" s="546"/>
      <c r="C68" s="544">
        <v>100</v>
      </c>
      <c r="D68" s="544">
        <f>C68-$K18</f>
        <v>100</v>
      </c>
      <c r="E68" s="544">
        <f>D68-$K18</f>
        <v>100</v>
      </c>
      <c r="F68" s="544">
        <f>E68-$K18</f>
        <v>100</v>
      </c>
      <c r="G68" s="544">
        <f>F68-$K18</f>
        <v>100</v>
      </c>
      <c r="H68" s="659"/>
      <c r="I68" s="659"/>
      <c r="J68" s="659"/>
      <c r="K68" s="659"/>
      <c r="L68" s="659"/>
      <c r="M68" s="450"/>
      <c r="N68" s="1155"/>
      <c r="O68" s="1155"/>
      <c r="P68" s="1431"/>
      <c r="Q68" s="1425"/>
      <c r="R68" s="1146"/>
      <c r="S68" s="1146"/>
      <c r="T68" s="1146"/>
      <c r="U68" s="1146"/>
      <c r="V68" s="1146"/>
      <c r="W68" s="1146"/>
      <c r="X68" s="1146"/>
      <c r="Y68" s="1146"/>
      <c r="Z68" s="1146"/>
      <c r="AA68" s="1146"/>
      <c r="AB68" s="1146"/>
      <c r="AC68" s="1146"/>
    </row>
    <row r="69" spans="1:29" ht="15.75" thickTop="1">
      <c r="A69" s="534"/>
      <c r="B69" s="538" t="s">
        <v>2603</v>
      </c>
      <c r="C69" s="578" t="s">
        <v>2591</v>
      </c>
      <c r="D69" s="578" t="s">
        <v>2592</v>
      </c>
      <c r="E69" s="578" t="s">
        <v>2593</v>
      </c>
      <c r="F69" s="578" t="s">
        <v>2594</v>
      </c>
      <c r="G69" s="578" t="s">
        <v>2595</v>
      </c>
      <c r="H69" s="539"/>
      <c r="I69" s="539"/>
      <c r="J69" s="539"/>
      <c r="K69" s="540"/>
      <c r="L69" s="541"/>
      <c r="M69" s="542"/>
      <c r="N69" s="1154"/>
      <c r="O69" s="1154"/>
      <c r="P69" s="1431"/>
      <c r="Q69" s="1425"/>
      <c r="R69" s="1146"/>
      <c r="S69" s="1146"/>
      <c r="T69" s="1146"/>
      <c r="U69" s="1146"/>
      <c r="V69" s="1146"/>
      <c r="W69" s="1146"/>
      <c r="X69" s="1146"/>
      <c r="Y69" s="1146"/>
      <c r="Z69" s="1146"/>
      <c r="AA69" s="1146"/>
      <c r="AB69" s="1146"/>
      <c r="AC69" s="1146"/>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5"/>
      <c r="O70" s="1155"/>
      <c r="P70" s="1431"/>
      <c r="Q70" s="1425"/>
      <c r="R70" s="1146"/>
      <c r="S70" s="1146"/>
      <c r="T70" s="1146"/>
      <c r="U70" s="1146"/>
      <c r="V70" s="1146"/>
      <c r="W70" s="1146"/>
      <c r="X70" s="1146"/>
      <c r="Y70" s="1146"/>
      <c r="Z70" s="1146"/>
      <c r="AA70" s="1146"/>
      <c r="AB70" s="1146"/>
      <c r="AC70" s="1146"/>
    </row>
    <row r="71" spans="1:29" ht="15.75" thickTop="1">
      <c r="A71" s="534"/>
      <c r="B71" s="538" t="s">
        <v>2723</v>
      </c>
      <c r="C71" s="554"/>
      <c r="D71" s="554"/>
      <c r="E71" s="554"/>
      <c r="F71" s="554"/>
      <c r="G71" s="554"/>
      <c r="H71" s="583"/>
      <c r="I71" s="583"/>
      <c r="J71" s="583"/>
      <c r="K71" s="584"/>
      <c r="L71" s="585"/>
      <c r="M71" s="586"/>
      <c r="N71" s="1154"/>
      <c r="O71" s="1154"/>
      <c r="P71" s="1431"/>
      <c r="Q71" s="1425"/>
      <c r="R71" s="1146"/>
      <c r="S71" s="1146"/>
      <c r="T71" s="1146"/>
      <c r="U71" s="1146"/>
      <c r="V71" s="1146"/>
      <c r="W71" s="1146"/>
      <c r="X71" s="1146"/>
      <c r="Y71" s="1146"/>
      <c r="Z71" s="1146"/>
      <c r="AA71" s="1146"/>
      <c r="AB71" s="1146"/>
      <c r="AC71" s="1146"/>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5"/>
      <c r="O72" s="1155"/>
      <c r="P72" s="1431"/>
      <c r="Q72" s="1425"/>
      <c r="R72" s="1146"/>
      <c r="S72" s="1146"/>
      <c r="T72" s="1146"/>
      <c r="U72" s="1146"/>
      <c r="V72" s="1146"/>
      <c r="W72" s="1146"/>
      <c r="X72" s="1146"/>
      <c r="Y72" s="1146"/>
      <c r="Z72" s="1146"/>
      <c r="AA72" s="1146"/>
      <c r="AB72" s="1146"/>
      <c r="AC72" s="1146"/>
    </row>
    <row r="73" spans="1:29" s="117" customFormat="1" ht="15.75" thickTop="1">
      <c r="A73" s="579"/>
      <c r="B73" s="538">
        <f>B23</f>
        <v>111</v>
      </c>
      <c r="C73" s="549"/>
      <c r="D73" s="549"/>
      <c r="E73" s="549"/>
      <c r="F73" s="549"/>
      <c r="G73" s="554"/>
      <c r="H73" s="554"/>
      <c r="I73" s="554"/>
      <c r="J73" s="554"/>
      <c r="K73" s="554"/>
      <c r="L73" s="580"/>
      <c r="M73" s="581"/>
      <c r="N73" s="1153"/>
      <c r="O73" s="1153"/>
      <c r="P73" s="1431"/>
      <c r="Q73" s="1425"/>
      <c r="R73" s="1429"/>
      <c r="S73" s="1429"/>
      <c r="T73" s="1429"/>
      <c r="U73" s="1429"/>
      <c r="V73" s="1429"/>
      <c r="W73" s="1429"/>
      <c r="X73" s="1429"/>
      <c r="Y73" s="1429"/>
      <c r="Z73" s="1429"/>
      <c r="AA73" s="1429"/>
      <c r="AB73" s="1429"/>
      <c r="AC73" s="1429"/>
    </row>
    <row r="74" spans="1:29" s="117" customFormat="1" ht="15.75" thickBot="1">
      <c r="A74" s="579"/>
      <c r="B74" s="543"/>
      <c r="C74" s="560"/>
      <c r="D74" s="536"/>
      <c r="E74" s="536"/>
      <c r="F74" s="536"/>
      <c r="G74" s="536"/>
      <c r="H74" s="536"/>
      <c r="I74" s="536"/>
      <c r="J74" s="536"/>
      <c r="K74" s="536"/>
      <c r="L74" s="536"/>
      <c r="M74" s="537"/>
      <c r="N74" s="1155"/>
      <c r="O74" s="1155"/>
      <c r="P74" s="1431"/>
      <c r="Q74" s="1425"/>
      <c r="R74" s="1429"/>
      <c r="S74" s="1429"/>
      <c r="T74" s="1429"/>
      <c r="U74" s="1429"/>
      <c r="V74" s="1429"/>
      <c r="W74" s="1429"/>
      <c r="X74" s="1429"/>
      <c r="Y74" s="1429"/>
      <c r="Z74" s="1429"/>
      <c r="AA74" s="1429"/>
      <c r="AB74" s="1429"/>
      <c r="AC74" s="1429"/>
    </row>
    <row r="75" spans="1:29" s="117" customFormat="1" ht="15.75" thickTop="1">
      <c r="A75" s="579"/>
      <c r="B75" s="538">
        <f>B24</f>
        <v>111</v>
      </c>
      <c r="C75" s="549"/>
      <c r="D75" s="549"/>
      <c r="E75" s="549"/>
      <c r="F75" s="549"/>
      <c r="G75" s="554"/>
      <c r="H75" s="554"/>
      <c r="I75" s="554"/>
      <c r="J75" s="554"/>
      <c r="K75" s="554"/>
      <c r="L75" s="554"/>
      <c r="M75" s="581"/>
      <c r="N75" s="1153"/>
      <c r="O75" s="1153"/>
      <c r="P75" s="1431"/>
      <c r="Q75" s="1425"/>
      <c r="R75" s="1429"/>
      <c r="S75" s="1429"/>
      <c r="T75" s="1429"/>
      <c r="U75" s="1429"/>
      <c r="V75" s="1429"/>
      <c r="W75" s="1429"/>
      <c r="X75" s="1429"/>
      <c r="Y75" s="1429"/>
      <c r="Z75" s="1429"/>
      <c r="AA75" s="1429"/>
      <c r="AB75" s="1429"/>
      <c r="AC75" s="1429"/>
    </row>
    <row r="76" spans="1:29" s="117" customFormat="1" ht="15.75" thickBot="1">
      <c r="A76" s="579"/>
      <c r="B76" s="543"/>
      <c r="C76" s="560"/>
      <c r="D76" s="536"/>
      <c r="E76" s="536"/>
      <c r="F76" s="536"/>
      <c r="G76" s="536"/>
      <c r="H76" s="536"/>
      <c r="I76" s="536"/>
      <c r="J76" s="536"/>
      <c r="K76" s="536"/>
      <c r="L76" s="536"/>
      <c r="M76" s="537"/>
      <c r="N76" s="1155"/>
      <c r="O76" s="1155"/>
      <c r="P76" s="1431"/>
      <c r="Q76" s="1425"/>
      <c r="R76" s="1429"/>
      <c r="S76" s="1429"/>
      <c r="T76" s="1429"/>
      <c r="U76" s="1429"/>
      <c r="V76" s="1429"/>
      <c r="W76" s="1429"/>
      <c r="X76" s="1429"/>
      <c r="Y76" s="1429"/>
      <c r="Z76" s="1429"/>
      <c r="AA76" s="1429"/>
      <c r="AB76" s="1429"/>
      <c r="AC76" s="1429"/>
    </row>
    <row r="77" spans="1:29" s="471" customFormat="1" ht="15.75" thickTop="1">
      <c r="A77" s="553"/>
      <c r="B77" s="538">
        <f>B25</f>
        <v>111</v>
      </c>
      <c r="C77" s="554"/>
      <c r="D77" s="554"/>
      <c r="E77" s="554"/>
      <c r="F77" s="554"/>
      <c r="G77" s="554"/>
      <c r="H77" s="555"/>
      <c r="I77" s="555"/>
      <c r="J77" s="555"/>
      <c r="K77" s="555"/>
      <c r="L77" s="556"/>
      <c r="M77" s="557"/>
      <c r="N77" s="1156"/>
      <c r="O77" s="1156"/>
      <c r="P77" s="1432"/>
      <c r="Q77" s="1433"/>
      <c r="R77" s="1434"/>
      <c r="S77" s="1434"/>
      <c r="T77" s="1434"/>
      <c r="U77" s="1434"/>
      <c r="V77" s="1434"/>
      <c r="W77" s="1434"/>
      <c r="X77" s="1434"/>
      <c r="Y77" s="1434"/>
      <c r="Z77" s="1434"/>
      <c r="AA77" s="1434"/>
      <c r="AB77" s="1434"/>
      <c r="AC77" s="1434"/>
    </row>
    <row r="78" spans="1:29" s="471" customFormat="1" ht="15.75" thickBot="1">
      <c r="A78" s="553"/>
      <c r="B78" s="543"/>
      <c r="C78" s="560"/>
      <c r="D78" s="560"/>
      <c r="E78" s="560"/>
      <c r="F78" s="560"/>
      <c r="G78" s="536"/>
      <c r="H78" s="536"/>
      <c r="I78" s="536"/>
      <c r="J78" s="536"/>
      <c r="K78" s="536"/>
      <c r="L78" s="536"/>
      <c r="M78" s="537"/>
      <c r="N78" s="1156"/>
      <c r="O78" s="1156"/>
      <c r="P78" s="1432"/>
      <c r="Q78" s="1433"/>
      <c r="R78" s="1434"/>
      <c r="S78" s="1434"/>
      <c r="T78" s="1434"/>
      <c r="U78" s="1434"/>
      <c r="V78" s="1434"/>
      <c r="W78" s="1434"/>
      <c r="X78" s="1434"/>
      <c r="Y78" s="1434"/>
      <c r="Z78" s="1434"/>
      <c r="AA78" s="1434"/>
      <c r="AB78" s="1434"/>
      <c r="AC78" s="1434"/>
    </row>
    <row r="79" spans="1:29" ht="27.75" thickTop="1">
      <c r="A79" s="527" t="s">
        <v>2557</v>
      </c>
      <c r="B79" s="528" t="s">
        <v>2724</v>
      </c>
      <c r="C79" s="529">
        <f>C26</f>
        <v>0</v>
      </c>
      <c r="D79" s="530"/>
      <c r="E79" s="530"/>
      <c r="F79" s="530"/>
      <c r="G79" s="530"/>
      <c r="H79" s="530"/>
      <c r="I79" s="530"/>
      <c r="J79" s="530"/>
      <c r="K79" s="531"/>
      <c r="L79" s="532"/>
      <c r="M79" s="533"/>
      <c r="N79" s="1154"/>
      <c r="O79" s="1154"/>
      <c r="P79" s="1431"/>
      <c r="Q79" s="1425"/>
      <c r="R79" s="1146"/>
      <c r="S79" s="1146"/>
      <c r="T79" s="1146"/>
      <c r="U79" s="1146"/>
      <c r="V79" s="1146"/>
      <c r="W79" s="1146"/>
      <c r="X79" s="1146"/>
      <c r="Y79" s="1146"/>
      <c r="Z79" s="1146"/>
      <c r="AA79" s="1146"/>
      <c r="AB79" s="1146"/>
      <c r="AC79" s="1146"/>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4"/>
      <c r="B81" s="538" t="s">
        <v>2725</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1" customFormat="1" ht="15.75" thickBot="1">
      <c r="A82" s="553"/>
      <c r="B82" s="543"/>
      <c r="C82" s="560"/>
      <c r="D82" s="536"/>
      <c r="E82" s="536"/>
      <c r="F82" s="536"/>
      <c r="G82" s="536"/>
      <c r="H82" s="536"/>
      <c r="I82" s="536"/>
      <c r="J82" s="536"/>
      <c r="K82" s="536"/>
      <c r="L82" s="536"/>
      <c r="M82" s="537"/>
      <c r="N82" s="1155"/>
      <c r="O82" s="1155"/>
      <c r="P82" s="1432"/>
      <c r="Q82" s="1433"/>
      <c r="R82" s="1434"/>
      <c r="S82" s="1434"/>
      <c r="T82" s="1434"/>
      <c r="U82" s="1434"/>
      <c r="V82" s="1434"/>
      <c r="W82" s="1434"/>
      <c r="X82" s="1434"/>
      <c r="Y82" s="1434"/>
      <c r="Z82" s="1434"/>
      <c r="AA82" s="1434"/>
      <c r="AB82" s="1434"/>
      <c r="AC82" s="1434"/>
    </row>
    <row r="83" spans="1:29" ht="15" thickTop="1">
      <c r="A83" s="599"/>
      <c r="B83" s="538" t="s">
        <v>2610</v>
      </c>
      <c r="C83" s="554"/>
      <c r="D83" s="554"/>
      <c r="E83" s="583"/>
      <c r="F83" s="583"/>
      <c r="G83" s="583"/>
      <c r="H83" s="583"/>
      <c r="I83" s="583"/>
      <c r="J83" s="583"/>
      <c r="K83" s="584"/>
      <c r="L83" s="585"/>
      <c r="M83" s="586"/>
      <c r="N83" s="1154"/>
      <c r="O83" s="1154"/>
      <c r="P83" s="1431"/>
      <c r="Q83" s="1425"/>
      <c r="R83" s="1146"/>
      <c r="S83" s="1146"/>
      <c r="T83" s="1146"/>
      <c r="U83" s="1146"/>
      <c r="V83" s="1146"/>
      <c r="W83" s="1146"/>
      <c r="X83" s="1146"/>
      <c r="Y83" s="1146"/>
      <c r="Z83" s="1146"/>
      <c r="AA83" s="1146"/>
      <c r="AB83" s="1146"/>
      <c r="AC83" s="1146"/>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9"/>
      <c r="B85" s="538" t="s">
        <v>2726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4"/>
      <c r="O85" s="1154"/>
      <c r="P85" s="1431"/>
      <c r="Q85" s="1425"/>
      <c r="R85" s="1146"/>
      <c r="S85" s="1146"/>
      <c r="T85" s="1146"/>
      <c r="U85" s="1146"/>
      <c r="V85" s="1146"/>
      <c r="W85" s="1146"/>
      <c r="X85" s="1146"/>
      <c r="Y85" s="1146"/>
      <c r="Z85" s="1146"/>
      <c r="AA85" s="1146"/>
      <c r="AB85" s="1146"/>
      <c r="AC85" s="1146"/>
    </row>
    <row r="86" spans="1:29">
      <c r="A86" s="599"/>
      <c r="B86" s="546"/>
      <c r="C86" s="603">
        <v>0.5</v>
      </c>
      <c r="D86" s="603">
        <v>0.6</v>
      </c>
      <c r="E86" s="603">
        <v>0.7</v>
      </c>
      <c r="F86" s="603">
        <v>0.8</v>
      </c>
      <c r="G86" s="603">
        <v>0.9</v>
      </c>
      <c r="H86" s="603">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9"/>
      <c r="B88" s="546" t="s">
        <v>2727</v>
      </c>
      <c r="C88" s="530"/>
      <c r="D88" s="530"/>
      <c r="E88" s="530"/>
      <c r="F88" s="530"/>
      <c r="G88" s="530"/>
      <c r="H88" s="530"/>
      <c r="I88" s="530"/>
      <c r="J88" s="530"/>
      <c r="K88" s="531"/>
      <c r="L88" s="532"/>
      <c r="M88" s="533"/>
      <c r="N88" s="1154"/>
      <c r="O88" s="1154"/>
      <c r="P88" s="1431"/>
      <c r="Q88" s="1425"/>
      <c r="R88" s="1146"/>
      <c r="S88" s="1146"/>
      <c r="T88" s="1146"/>
      <c r="U88" s="1146"/>
      <c r="V88" s="1146"/>
      <c r="W88" s="1146"/>
      <c r="X88" s="1146"/>
      <c r="Y88" s="1146"/>
      <c r="Z88" s="1146"/>
      <c r="AA88" s="1146"/>
      <c r="AB88" s="1146"/>
      <c r="AC88" s="1146"/>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5"/>
      <c r="O89" s="1155"/>
      <c r="P89" s="1431"/>
      <c r="Q89" s="1425"/>
      <c r="R89" s="1146"/>
      <c r="S89" s="1146"/>
      <c r="T89" s="1146"/>
      <c r="U89" s="1146"/>
      <c r="V89" s="1146"/>
      <c r="W89" s="1146"/>
      <c r="X89" s="1146"/>
      <c r="Y89" s="1146"/>
      <c r="Z89" s="1146"/>
      <c r="AA89" s="1146"/>
      <c r="AB89" s="1146"/>
      <c r="AC89" s="1146"/>
    </row>
    <row r="90" spans="1:29" s="471" customFormat="1" ht="15" thickTop="1">
      <c r="A90" s="593"/>
      <c r="B90" s="538" t="s">
        <v>2728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1" customFormat="1">
      <c r="A91" s="593"/>
      <c r="B91" s="546"/>
      <c r="C91" s="595"/>
      <c r="D91" s="595"/>
      <c r="E91" s="595"/>
      <c r="F91" s="595"/>
      <c r="G91" s="595"/>
      <c r="H91" s="595"/>
      <c r="I91" s="595"/>
      <c r="J91" s="596"/>
      <c r="K91" s="596"/>
      <c r="L91" s="597"/>
      <c r="M91" s="598"/>
      <c r="N91" s="1156"/>
      <c r="O91" s="1156"/>
      <c r="P91" s="1432"/>
      <c r="Q91" s="1433"/>
      <c r="R91" s="1434"/>
      <c r="S91" s="1434"/>
      <c r="T91" s="1434"/>
      <c r="U91" s="1434"/>
      <c r="V91" s="1434"/>
      <c r="W91" s="1434"/>
      <c r="X91" s="1434"/>
      <c r="Y91" s="1434"/>
      <c r="Z91" s="1434"/>
      <c r="AA91" s="1434"/>
      <c r="AB91" s="1434"/>
      <c r="AC91" s="1434"/>
    </row>
    <row r="92" spans="1:29" s="471" customFormat="1" ht="15.75" thickBot="1">
      <c r="A92" s="553"/>
      <c r="B92" s="543"/>
      <c r="C92" s="560"/>
      <c r="D92" s="536"/>
      <c r="E92" s="536"/>
      <c r="F92" s="536"/>
      <c r="G92" s="536"/>
      <c r="H92" s="536"/>
      <c r="I92" s="536"/>
      <c r="J92" s="536"/>
      <c r="K92" s="536"/>
      <c r="L92" s="536"/>
      <c r="M92" s="537"/>
      <c r="N92" s="1156"/>
      <c r="O92" s="1156"/>
      <c r="P92" s="1432"/>
      <c r="Q92" s="1433"/>
      <c r="R92" s="1434"/>
      <c r="S92" s="1434"/>
      <c r="T92" s="1434"/>
      <c r="U92" s="1434"/>
      <c r="V92" s="1434"/>
      <c r="W92" s="1434"/>
      <c r="X92" s="1434"/>
      <c r="Y92" s="1434"/>
      <c r="Z92" s="1434"/>
      <c r="AA92" s="1434"/>
      <c r="AB92" s="1434"/>
      <c r="AC92" s="1434"/>
    </row>
    <row r="93" spans="1:29" ht="15" thickTop="1">
      <c r="A93" s="599"/>
      <c r="B93" s="538" t="s">
        <v>2729</v>
      </c>
      <c r="C93" s="554"/>
      <c r="D93" s="554"/>
      <c r="E93" s="583"/>
      <c r="F93" s="583"/>
      <c r="G93" s="583"/>
      <c r="H93" s="583"/>
      <c r="I93" s="583"/>
      <c r="J93" s="583"/>
      <c r="K93" s="584"/>
      <c r="L93" s="585"/>
      <c r="M93" s="586"/>
      <c r="N93" s="1154"/>
      <c r="O93" s="1154"/>
      <c r="P93" s="1431"/>
      <c r="Q93" s="1425"/>
      <c r="R93" s="1146"/>
      <c r="S93" s="1146"/>
      <c r="T93" s="1146"/>
      <c r="U93" s="1146"/>
      <c r="V93" s="1146"/>
      <c r="W93" s="1146"/>
      <c r="X93" s="1146"/>
      <c r="Y93" s="1146"/>
      <c r="Z93" s="1146"/>
      <c r="AA93" s="1146"/>
      <c r="AB93" s="1146"/>
      <c r="AC93" s="1146"/>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9"/>
      <c r="B95" s="538" t="s">
        <v>2730</v>
      </c>
      <c r="C95" s="530"/>
      <c r="D95" s="530"/>
      <c r="E95" s="530"/>
      <c r="F95" s="530"/>
      <c r="G95" s="530"/>
      <c r="H95" s="530"/>
      <c r="I95" s="530"/>
      <c r="J95" s="530"/>
      <c r="K95" s="531"/>
      <c r="L95" s="532"/>
      <c r="M95" s="533"/>
      <c r="N95" s="1154"/>
      <c r="O95" s="1154"/>
      <c r="P95" s="1431"/>
      <c r="Q95" s="1425"/>
      <c r="R95" s="1146"/>
      <c r="S95" s="1146"/>
      <c r="T95" s="1146"/>
      <c r="U95" s="1146"/>
      <c r="V95" s="1146"/>
      <c r="W95" s="1146"/>
      <c r="X95" s="1146"/>
      <c r="Y95" s="1146"/>
      <c r="Z95" s="1146"/>
      <c r="AA95" s="1146"/>
      <c r="AB95" s="1146"/>
      <c r="AC95" s="1146"/>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5"/>
      <c r="O96" s="1155"/>
      <c r="P96" s="1431"/>
      <c r="Q96" s="1425"/>
      <c r="R96" s="1146"/>
      <c r="S96" s="1146"/>
      <c r="T96" s="1146"/>
      <c r="U96" s="1146"/>
      <c r="V96" s="1146"/>
      <c r="W96" s="1146"/>
      <c r="X96" s="1146"/>
      <c r="Y96" s="1146"/>
      <c r="Z96" s="1146"/>
      <c r="AA96" s="1146"/>
      <c r="AB96" s="1146"/>
      <c r="AC96" s="1146"/>
    </row>
    <row r="97" spans="1:29" ht="15" thickTop="1">
      <c r="A97" s="599"/>
      <c r="B97" s="635">
        <f>B34</f>
        <v>111</v>
      </c>
      <c r="C97" s="549"/>
      <c r="D97" s="549"/>
      <c r="E97" s="549"/>
      <c r="F97" s="549"/>
      <c r="G97" s="554"/>
      <c r="H97" s="555"/>
      <c r="I97" s="555"/>
      <c r="J97" s="555"/>
      <c r="K97" s="555"/>
      <c r="L97" s="556"/>
      <c r="M97" s="557"/>
      <c r="N97" s="1155"/>
      <c r="O97" s="1155"/>
      <c r="P97" s="1438"/>
      <c r="Q97" s="1439"/>
      <c r="R97" s="1146"/>
      <c r="S97" s="1146"/>
      <c r="T97" s="1146"/>
      <c r="U97" s="1146"/>
      <c r="V97" s="1146"/>
      <c r="W97" s="1146"/>
      <c r="X97" s="1146"/>
      <c r="Y97" s="1146"/>
      <c r="Z97" s="1146"/>
      <c r="AA97" s="1146"/>
      <c r="AB97" s="1146"/>
      <c r="AC97" s="1146"/>
    </row>
    <row r="98" spans="1:29" ht="15.75" thickBot="1">
      <c r="A98" s="534"/>
      <c r="B98" s="543"/>
      <c r="C98" s="560"/>
      <c r="D98" s="536"/>
      <c r="E98" s="536"/>
      <c r="F98" s="536"/>
      <c r="G98" s="560"/>
      <c r="H98" s="562"/>
      <c r="I98" s="562"/>
      <c r="J98" s="562"/>
      <c r="K98" s="562"/>
      <c r="L98" s="562"/>
      <c r="M98" s="563"/>
      <c r="N98" s="1155"/>
      <c r="O98" s="1155"/>
      <c r="P98" s="1431"/>
      <c r="Q98" s="1425"/>
      <c r="R98" s="1146"/>
      <c r="S98" s="1146"/>
      <c r="T98" s="1146"/>
      <c r="U98" s="1146"/>
      <c r="V98" s="1146"/>
      <c r="W98" s="1146"/>
      <c r="X98" s="1146"/>
      <c r="Y98" s="1146"/>
      <c r="Z98" s="1146"/>
      <c r="AA98" s="1146"/>
      <c r="AB98" s="1146"/>
      <c r="AC98" s="1146"/>
    </row>
    <row r="99" spans="1:29" s="471" customFormat="1" ht="15" thickTop="1">
      <c r="A99" s="593"/>
      <c r="B99" s="538">
        <f>B35</f>
        <v>111</v>
      </c>
      <c r="C99" s="549"/>
      <c r="D99" s="549"/>
      <c r="E99" s="549"/>
      <c r="F99" s="549"/>
      <c r="G99" s="554"/>
      <c r="H99" s="555"/>
      <c r="I99" s="555"/>
      <c r="J99" s="555"/>
      <c r="K99" s="555"/>
      <c r="L99" s="556"/>
      <c r="M99" s="557"/>
      <c r="N99" s="1156"/>
      <c r="O99" s="1156"/>
      <c r="P99" s="1432"/>
      <c r="Q99" s="1433"/>
      <c r="R99" s="1434"/>
      <c r="S99" s="1434"/>
      <c r="T99" s="1434"/>
      <c r="U99" s="1434"/>
      <c r="V99" s="1434"/>
      <c r="W99" s="1434"/>
      <c r="X99" s="1434"/>
      <c r="Y99" s="1434"/>
      <c r="Z99" s="1434"/>
      <c r="AA99" s="1434"/>
      <c r="AB99" s="1434"/>
      <c r="AC99" s="1434"/>
    </row>
    <row r="100" spans="1:29" s="471" customFormat="1" ht="15.75" thickBot="1">
      <c r="A100" s="553"/>
      <c r="B100" s="535"/>
      <c r="C100" s="560"/>
      <c r="D100" s="536"/>
      <c r="E100" s="536"/>
      <c r="F100" s="536"/>
      <c r="G100" s="560"/>
      <c r="H100" s="562"/>
      <c r="I100" s="562"/>
      <c r="J100" s="562"/>
      <c r="K100" s="562"/>
      <c r="L100" s="562"/>
      <c r="M100" s="563"/>
      <c r="N100" s="1156"/>
      <c r="O100" s="1156"/>
      <c r="P100" s="1432"/>
      <c r="Q100" s="1433"/>
      <c r="R100" s="1434"/>
      <c r="S100" s="1434"/>
      <c r="T100" s="1434"/>
      <c r="U100" s="1434"/>
      <c r="V100" s="1434"/>
      <c r="W100" s="1434"/>
      <c r="X100" s="1434"/>
      <c r="Y100" s="1434"/>
      <c r="Z100" s="1434"/>
      <c r="AA100" s="1434"/>
      <c r="AB100" s="1434"/>
      <c r="AC100" s="1434"/>
    </row>
    <row r="101" spans="1:29" ht="15" thickTop="1">
      <c r="A101" s="599"/>
      <c r="B101" s="538">
        <f>B36</f>
        <v>111</v>
      </c>
      <c r="C101" s="554"/>
      <c r="D101" s="554"/>
      <c r="E101" s="554"/>
      <c r="F101" s="554"/>
      <c r="G101" s="554"/>
      <c r="H101" s="555"/>
      <c r="I101" s="555"/>
      <c r="J101" s="555"/>
      <c r="K101" s="555"/>
      <c r="L101" s="556"/>
      <c r="M101" s="557"/>
      <c r="N101" s="1154"/>
      <c r="O101" s="1154"/>
      <c r="P101" s="1431"/>
      <c r="Q101" s="1425"/>
      <c r="R101" s="1146"/>
      <c r="S101" s="1146"/>
      <c r="T101" s="1146"/>
      <c r="U101" s="1146"/>
      <c r="V101" s="1146"/>
      <c r="W101" s="1146"/>
      <c r="X101" s="1146"/>
      <c r="Y101" s="1146"/>
      <c r="Z101" s="1146"/>
      <c r="AA101" s="1146"/>
      <c r="AB101" s="1146"/>
      <c r="AC101" s="1146"/>
    </row>
    <row r="102" spans="1:29" ht="15.75" thickBot="1">
      <c r="A102" s="534"/>
      <c r="B102" s="543"/>
      <c r="C102" s="560"/>
      <c r="D102" s="560"/>
      <c r="E102" s="560"/>
      <c r="F102" s="560"/>
      <c r="G102" s="560"/>
      <c r="H102" s="562"/>
      <c r="I102" s="562"/>
      <c r="J102" s="562"/>
      <c r="K102" s="562"/>
      <c r="L102" s="562"/>
      <c r="M102" s="563"/>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2701</v>
      </c>
      <c r="B1" s="1621"/>
      <c r="C1" s="1622" t="s">
        <v>2524</v>
      </c>
      <c r="D1" s="1623"/>
      <c r="E1" s="1632"/>
      <c r="F1" s="2586"/>
      <c r="G1" s="1633" t="s">
        <v>2637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2321</v>
      </c>
      <c r="B2" s="1420" t="e">
        <f ca="1">IF(C2="——",ROUND(C37*D3/10000,0),ROUND(C37*D3/10000,0)-D2)</f>
        <v>#DIV/0!</v>
      </c>
      <c r="C2" s="2588"/>
      <c r="D2" s="1126" t="e">
        <f ca="1">SUMIF(INDIRECT("'"&amp;F2&amp;"'"&amp;"!A:A"),"承租人权益价值",INDIRECT("'"&amp;F2&amp;"'"&amp;"!c:c"))</f>
        <v>#REF!</v>
      </c>
      <c r="E2" s="2589" t="s">
        <v>2322</v>
      </c>
      <c r="F2" s="2590"/>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2323</v>
      </c>
      <c r="B3" s="609" t="e">
        <f ca="1">IF(C2="——",C37,ROUND(B2*10000/D3,0))</f>
        <v>#DIV/0!</v>
      </c>
      <c r="C3" s="400" t="s">
        <v>2638</v>
      </c>
      <c r="D3" s="399">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1" t="s">
        <v>2642</v>
      </c>
      <c r="AC4" s="3180" t="s">
        <v>2643</v>
      </c>
    </row>
    <row r="5" spans="1:29" ht="15">
      <c r="A5" s="404"/>
      <c r="B5" s="405"/>
      <c r="C5" s="3192" t="s">
        <v>2536</v>
      </c>
      <c r="D5" s="3193"/>
      <c r="E5" s="3260" t="s">
        <v>2537</v>
      </c>
      <c r="F5" s="3191"/>
      <c r="G5" s="3192" t="s">
        <v>2538</v>
      </c>
      <c r="H5" s="3193"/>
      <c r="I5" s="3192" t="s">
        <v>2539</v>
      </c>
      <c r="J5" s="3193"/>
      <c r="K5" s="610"/>
      <c r="L5" s="1132"/>
      <c r="M5" s="1133"/>
      <c r="N5" s="1133"/>
      <c r="O5" s="1133"/>
      <c r="P5" s="3208"/>
      <c r="Q5" s="3209"/>
      <c r="R5" s="3188"/>
      <c r="S5" s="3189"/>
      <c r="T5" s="3188"/>
      <c r="U5" s="3189"/>
      <c r="V5" s="3183"/>
      <c r="W5" s="3183"/>
      <c r="X5" s="1815"/>
      <c r="Y5" s="3188"/>
      <c r="Z5" s="3189"/>
      <c r="AA5" s="3181"/>
      <c r="AB5" s="3181"/>
      <c r="AC5" s="3181"/>
    </row>
    <row r="6" spans="1:29" ht="15.75" thickBot="1">
      <c r="A6" s="406"/>
      <c r="B6" s="407"/>
      <c r="C6" s="3194" t="s">
        <v>2540</v>
      </c>
      <c r="D6" s="3195"/>
      <c r="E6" s="3197" t="s">
        <v>2540</v>
      </c>
      <c r="F6" s="3198"/>
      <c r="G6" s="3194" t="s">
        <v>2540</v>
      </c>
      <c r="H6" s="3195"/>
      <c r="I6" s="3194" t="s">
        <v>2540</v>
      </c>
      <c r="J6" s="3195"/>
      <c r="K6" s="610" t="s">
        <v>2541</v>
      </c>
      <c r="L6" s="1132"/>
      <c r="M6" s="1133"/>
      <c r="N6" s="1133"/>
      <c r="O6" s="1133"/>
      <c r="P6" s="3210"/>
      <c r="Q6" s="3211"/>
      <c r="R6" s="3188"/>
      <c r="S6" s="3189"/>
      <c r="T6" s="3212"/>
      <c r="U6" s="3213"/>
      <c r="V6" s="3183"/>
      <c r="W6" s="3183"/>
      <c r="X6" s="1815"/>
      <c r="Y6" s="3212"/>
      <c r="Z6" s="3213"/>
      <c r="AA6" s="3182"/>
      <c r="AB6" s="3182"/>
      <c r="AC6" s="3182"/>
    </row>
    <row r="7" spans="1:29" s="117" customFormat="1" ht="15.75" thickBot="1">
      <c r="A7" s="408" t="s">
        <v>2542</v>
      </c>
      <c r="B7" s="409"/>
      <c r="C7" s="410">
        <f>'数据-取费表'!B2</f>
        <v>43321</v>
      </c>
      <c r="D7" s="411">
        <v>100</v>
      </c>
      <c r="E7" s="412"/>
      <c r="F7" s="413">
        <f>SUMIF(46:46,YEAR(E7)&amp;"-"&amp;MONTH(E7),47:47)</f>
        <v>0</v>
      </c>
      <c r="G7" s="2698"/>
      <c r="H7" s="411">
        <f>SUMIF(46:46,YEAR(G7)&amp;"-"&amp;MONTH(G7),47:47)</f>
        <v>0</v>
      </c>
      <c r="I7" s="412"/>
      <c r="J7" s="411">
        <f>SUMIF(46:46,YEAR(I7)&amp;"-"&amp;MONTH(I7),47:47)</f>
        <v>0</v>
      </c>
      <c r="K7" s="611"/>
      <c r="L7" s="1134"/>
      <c r="M7" s="1135"/>
      <c r="N7" s="1135"/>
      <c r="O7" s="1135"/>
      <c r="P7" s="3184" t="s">
        <v>2543</v>
      </c>
      <c r="Q7" s="3214"/>
      <c r="R7" s="769" t="s">
        <v>17</v>
      </c>
      <c r="S7" s="770">
        <f t="shared" ref="S7:S14" si="0">F7</f>
        <v>0</v>
      </c>
      <c r="T7" s="769" t="s">
        <v>17</v>
      </c>
      <c r="U7" s="770">
        <f t="shared" ref="U7:U14" si="1">H7</f>
        <v>0</v>
      </c>
      <c r="V7" s="769" t="s">
        <v>17</v>
      </c>
      <c r="W7" s="770">
        <f t="shared" ref="W7:W14" si="2">J7</f>
        <v>0</v>
      </c>
      <c r="X7" s="771"/>
      <c r="Y7" s="3184" t="s">
        <v>2543</v>
      </c>
      <c r="Z7" s="3185"/>
      <c r="AA7" s="772" t="e">
        <f>D7/F7</f>
        <v>#DIV/0!</v>
      </c>
      <c r="AB7" s="772" t="e">
        <f>D7/H7</f>
        <v>#DIV/0!</v>
      </c>
      <c r="AC7" s="772" t="e">
        <f>D7/J7</f>
        <v>#DIV/0!</v>
      </c>
    </row>
    <row r="8" spans="1:29" s="117" customFormat="1" ht="15.75" thickBot="1">
      <c r="A8" s="408" t="s">
        <v>2544</v>
      </c>
      <c r="B8" s="409"/>
      <c r="C8" s="414" t="s">
        <v>2646</v>
      </c>
      <c r="D8" s="411">
        <v>100</v>
      </c>
      <c r="E8" s="414"/>
      <c r="F8" s="413">
        <f>SUMIF(49:49,E8,50:50)-SUMIF(49:49,C8,50:50)+100</f>
        <v>0</v>
      </c>
      <c r="G8" s="414"/>
      <c r="H8" s="411">
        <f>SUMIF(49:49,G8,50:50)-SUMIF(49:49,C8,50:50)+100</f>
        <v>0</v>
      </c>
      <c r="I8" s="414"/>
      <c r="J8" s="411">
        <f>SUMIF(49:49,I8,50:50)-SUMIF(49:49,C8,50:50)+100</f>
        <v>0</v>
      </c>
      <c r="K8" s="611"/>
      <c r="L8" s="1134"/>
      <c r="M8" s="1135"/>
      <c r="N8" s="1135"/>
      <c r="O8" s="1135"/>
      <c r="P8" s="3184" t="s">
        <v>2546</v>
      </c>
      <c r="Q8" s="3185"/>
      <c r="R8" s="769" t="s">
        <v>17</v>
      </c>
      <c r="S8" s="770">
        <f t="shared" si="0"/>
        <v>0</v>
      </c>
      <c r="T8" s="769" t="s">
        <v>17</v>
      </c>
      <c r="U8" s="770">
        <f t="shared" si="1"/>
        <v>0</v>
      </c>
      <c r="V8" s="769" t="s">
        <v>17</v>
      </c>
      <c r="W8" s="770">
        <f t="shared" si="2"/>
        <v>0</v>
      </c>
      <c r="X8" s="771"/>
      <c r="Y8" s="3184" t="s">
        <v>2546</v>
      </c>
      <c r="Z8" s="3185"/>
      <c r="AA8" s="772" t="e">
        <f t="shared" ref="AA8:AA34" si="3">D8/F8</f>
        <v>#DIV/0!</v>
      </c>
      <c r="AB8" s="772" t="e">
        <f t="shared" ref="AB8:AB34" si="4">D8/H8</f>
        <v>#DIV/0!</v>
      </c>
      <c r="AC8" s="772" t="e">
        <f t="shared" ref="AC8:AC34" si="5">D8/J8</f>
        <v>#DIV/0!</v>
      </c>
    </row>
    <row r="9" spans="1:29" s="117" customFormat="1">
      <c r="A9" s="415" t="s">
        <v>2547</v>
      </c>
      <c r="B9" s="71" t="s">
        <v>2548</v>
      </c>
      <c r="C9" s="416"/>
      <c r="D9" s="135">
        <v>100</v>
      </c>
      <c r="E9" s="419"/>
      <c r="F9" s="418">
        <f>SUMIF(51:51,E9,52:52)-SUMIF(51:51,C9,52:52)+100</f>
        <v>100</v>
      </c>
      <c r="G9" s="419"/>
      <c r="H9" s="135">
        <f>SUMIF(51:51,G9,52:52)-SUMIF(51:51,C9,52:52)+100</f>
        <v>100</v>
      </c>
      <c r="I9" s="419"/>
      <c r="J9" s="135">
        <f>SUMIF(51:51,I9,52:52)-SUMIF(51:51,C9,52:52)+100</f>
        <v>100</v>
      </c>
      <c r="K9" s="611"/>
      <c r="L9" s="1134"/>
      <c r="M9" s="1135"/>
      <c r="N9" s="1135"/>
      <c r="O9" s="1136"/>
      <c r="P9" s="3224" t="s">
        <v>2549</v>
      </c>
      <c r="Q9" s="1797" t="str">
        <f t="shared" ref="Q9:Q14" si="6">B9</f>
        <v>用途</v>
      </c>
      <c r="R9" s="769" t="s">
        <v>17</v>
      </c>
      <c r="S9" s="770">
        <f t="shared" si="0"/>
        <v>100</v>
      </c>
      <c r="T9" s="769" t="s">
        <v>17</v>
      </c>
      <c r="U9" s="770">
        <f t="shared" si="1"/>
        <v>100</v>
      </c>
      <c r="V9" s="769" t="s">
        <v>17</v>
      </c>
      <c r="W9" s="770">
        <f t="shared" si="2"/>
        <v>100</v>
      </c>
      <c r="X9" s="771"/>
      <c r="Y9" s="3057" t="s">
        <v>2550</v>
      </c>
      <c r="Z9" s="55" t="str">
        <f t="shared" ref="Z9:Z14" si="7">Q9</f>
        <v>用途</v>
      </c>
      <c r="AA9" s="772">
        <f t="shared" si="3"/>
        <v>1</v>
      </c>
      <c r="AB9" s="772">
        <f t="shared" si="4"/>
        <v>1</v>
      </c>
      <c r="AC9" s="772">
        <f t="shared" si="5"/>
        <v>1</v>
      </c>
    </row>
    <row r="10" spans="1:29" s="427" customFormat="1" ht="27">
      <c r="A10" s="421"/>
      <c r="B10" s="422" t="s">
        <v>2551</v>
      </c>
      <c r="C10" s="423"/>
      <c r="D10" s="136">
        <v>100</v>
      </c>
      <c r="E10" s="423"/>
      <c r="F10" s="425">
        <f>SUMIF(53:53,E10,54:54)-SUMIF(53:53,C10,54:54)+100</f>
        <v>100</v>
      </c>
      <c r="G10" s="423"/>
      <c r="H10" s="136">
        <f>SUMIF(53:53,G10,54:54)-SUMIF(53:53,C10,54:54)+100</f>
        <v>100</v>
      </c>
      <c r="I10" s="423"/>
      <c r="J10" s="136">
        <f>SUMIF(53:53,I10,54:54)-SUMIF(53:53,C10,54:54)+100</f>
        <v>100</v>
      </c>
      <c r="K10" s="612"/>
      <c r="L10" s="1137"/>
      <c r="M10" s="1138"/>
      <c r="N10" s="1138"/>
      <c r="O10" s="1139"/>
      <c r="P10" s="3224"/>
      <c r="Q10" s="1797"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0"/>
      <c r="M11" s="1133"/>
      <c r="N11" s="1133"/>
      <c r="O11" s="1141"/>
      <c r="P11" s="3224"/>
      <c r="Q11" s="1797">
        <f t="shared" si="6"/>
        <v>111</v>
      </c>
      <c r="R11" s="769" t="s">
        <v>17</v>
      </c>
      <c r="S11" s="770">
        <f t="shared" si="0"/>
        <v>100</v>
      </c>
      <c r="T11" s="769" t="s">
        <v>17</v>
      </c>
      <c r="U11" s="770">
        <f t="shared" si="1"/>
        <v>100</v>
      </c>
      <c r="V11" s="769" t="s">
        <v>17</v>
      </c>
      <c r="W11" s="770">
        <f t="shared" si="2"/>
        <v>100</v>
      </c>
      <c r="X11" s="771"/>
      <c r="Y11" s="3057"/>
      <c r="Z11" s="55">
        <f t="shared" si="7"/>
        <v>111</v>
      </c>
      <c r="AA11" s="772">
        <f t="shared" si="3"/>
        <v>1</v>
      </c>
      <c r="AB11" s="772">
        <f t="shared" si="4"/>
        <v>1</v>
      </c>
      <c r="AC11" s="772">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4"/>
      <c r="M12" s="1135"/>
      <c r="N12" s="1135"/>
      <c r="O12" s="1136"/>
      <c r="P12" s="3224"/>
      <c r="Q12" s="1797">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2"/>
      <c r="M13" s="1133"/>
      <c r="N13" s="1133"/>
      <c r="O13" s="1141"/>
      <c r="P13" s="3224"/>
      <c r="Q13" s="1797">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85.5">
      <c r="A14" s="440" t="s">
        <v>2553</v>
      </c>
      <c r="B14" s="69" t="s">
        <v>2703</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2"/>
      <c r="M14" s="1133"/>
      <c r="N14" s="1133"/>
      <c r="O14" s="1141"/>
      <c r="P14" s="3217" t="s">
        <v>2554</v>
      </c>
      <c r="Q14" s="1812" t="str">
        <f t="shared" si="6"/>
        <v>交通便捷度</v>
      </c>
      <c r="R14" s="773" t="s">
        <v>17</v>
      </c>
      <c r="S14" s="774">
        <f t="shared" si="0"/>
        <v>100</v>
      </c>
      <c r="T14" s="773" t="s">
        <v>17</v>
      </c>
      <c r="U14" s="774">
        <f t="shared" si="1"/>
        <v>100</v>
      </c>
      <c r="V14" s="773" t="s">
        <v>17</v>
      </c>
      <c r="W14" s="774">
        <f t="shared" si="2"/>
        <v>100</v>
      </c>
      <c r="X14" s="1815"/>
      <c r="Y14" s="3217" t="s">
        <v>2554</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2"/>
      <c r="M15" s="1133"/>
      <c r="N15" s="1133"/>
      <c r="O15" s="1141"/>
      <c r="P15" s="3218"/>
      <c r="Q15" s="1812"/>
      <c r="R15" s="773"/>
      <c r="S15" s="774"/>
      <c r="T15" s="773"/>
      <c r="U15" s="774"/>
      <c r="V15" s="773"/>
      <c r="W15" s="774"/>
      <c r="X15" s="1815"/>
      <c r="Y15" s="3218"/>
      <c r="Z15" s="1816"/>
      <c r="AA15" s="1813">
        <v>1</v>
      </c>
      <c r="AB15" s="1813">
        <v>1</v>
      </c>
      <c r="AC15" s="1813">
        <v>1</v>
      </c>
    </row>
    <row r="16" spans="1:29" ht="42.75">
      <c r="A16" s="428"/>
      <c r="B16" s="451" t="s">
        <v>2682</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2"/>
      <c r="M16" s="1133"/>
      <c r="N16" s="1133"/>
      <c r="O16" s="1141"/>
      <c r="P16" s="3218"/>
      <c r="Q16" s="1812" t="str">
        <f>B16</f>
        <v>公共配套设施</v>
      </c>
      <c r="R16" s="773" t="s">
        <v>17</v>
      </c>
      <c r="S16" s="774">
        <f>F16</f>
        <v>100</v>
      </c>
      <c r="T16" s="773" t="s">
        <v>17</v>
      </c>
      <c r="U16" s="774">
        <f>H16</f>
        <v>100</v>
      </c>
      <c r="V16" s="773" t="s">
        <v>17</v>
      </c>
      <c r="W16" s="774">
        <f>J16</f>
        <v>100</v>
      </c>
      <c r="X16" s="1815"/>
      <c r="Y16" s="3218"/>
      <c r="Z16" s="1816" t="str">
        <f>Q16</f>
        <v>公共配套设施</v>
      </c>
      <c r="AA16" s="1813">
        <f t="shared" si="3"/>
        <v>1</v>
      </c>
      <c r="AB16" s="1813">
        <f t="shared" si="4"/>
        <v>1</v>
      </c>
      <c r="AC16" s="1813">
        <f t="shared" si="5"/>
        <v>1</v>
      </c>
    </row>
    <row r="17" spans="1:29" ht="15">
      <c r="A17" s="428"/>
      <c r="B17" s="456"/>
      <c r="C17" s="2610"/>
      <c r="D17" s="448"/>
      <c r="E17" s="447"/>
      <c r="F17" s="449"/>
      <c r="G17" s="447"/>
      <c r="H17" s="448"/>
      <c r="I17" s="447"/>
      <c r="J17" s="448"/>
      <c r="K17" s="615"/>
      <c r="L17" s="1142"/>
      <c r="M17" s="1133"/>
      <c r="N17" s="1133"/>
      <c r="O17" s="1141"/>
      <c r="P17" s="3218"/>
      <c r="Q17" s="1812"/>
      <c r="R17" s="773"/>
      <c r="S17" s="774"/>
      <c r="T17" s="773"/>
      <c r="U17" s="774"/>
      <c r="V17" s="773"/>
      <c r="W17" s="774"/>
      <c r="X17" s="1815"/>
      <c r="Y17" s="3218"/>
      <c r="Z17" s="1816"/>
      <c r="AA17" s="1813">
        <v>1</v>
      </c>
      <c r="AB17" s="1813">
        <v>1</v>
      </c>
      <c r="AC17" s="1813">
        <v>1</v>
      </c>
    </row>
    <row r="18" spans="1:29" ht="28.5">
      <c r="A18" s="428"/>
      <c r="B18" s="1386" t="s">
        <v>2683</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2"/>
      <c r="M18" s="1133"/>
      <c r="N18" s="1133"/>
      <c r="O18" s="1141"/>
      <c r="P18" s="3218"/>
      <c r="Q18" s="1812" t="str">
        <f>B18</f>
        <v>基础设施水平</v>
      </c>
      <c r="R18" s="773" t="s">
        <v>17</v>
      </c>
      <c r="S18" s="774">
        <f>F18</f>
        <v>100</v>
      </c>
      <c r="T18" s="773" t="s">
        <v>17</v>
      </c>
      <c r="U18" s="774">
        <f>H18</f>
        <v>100</v>
      </c>
      <c r="V18" s="773" t="s">
        <v>17</v>
      </c>
      <c r="W18" s="774">
        <f>J18</f>
        <v>100</v>
      </c>
      <c r="X18" s="1815"/>
      <c r="Y18" s="3218"/>
      <c r="Z18" s="1816" t="str">
        <f>Q18</f>
        <v>基础设施水平</v>
      </c>
      <c r="AA18" s="1813">
        <f t="shared" ref="AA18" si="8">D18/F18</f>
        <v>1</v>
      </c>
      <c r="AB18" s="1813">
        <f t="shared" ref="AB18" si="9">D18/H18</f>
        <v>1</v>
      </c>
      <c r="AC18" s="1813">
        <f t="shared" ref="AC18" si="10">D18/J18</f>
        <v>1</v>
      </c>
    </row>
    <row r="19" spans="1:29" ht="15">
      <c r="A19" s="428"/>
      <c r="B19" s="1386"/>
      <c r="C19" s="2610"/>
      <c r="D19" s="450"/>
      <c r="E19" s="2610"/>
      <c r="F19" s="453"/>
      <c r="G19" s="2610"/>
      <c r="H19" s="448"/>
      <c r="I19" s="447"/>
      <c r="J19" s="448"/>
      <c r="K19" s="1385"/>
      <c r="L19" s="1142"/>
      <c r="M19" s="1133"/>
      <c r="N19" s="1133"/>
      <c r="O19" s="1141"/>
      <c r="P19" s="3218"/>
      <c r="Q19" s="1812"/>
      <c r="R19" s="773"/>
      <c r="S19" s="774"/>
      <c r="T19" s="773"/>
      <c r="U19" s="774"/>
      <c r="V19" s="773"/>
      <c r="W19" s="774"/>
      <c r="X19" s="1815"/>
      <c r="Y19" s="3218"/>
      <c r="Z19" s="1816"/>
      <c r="AA19" s="1813">
        <v>1</v>
      </c>
      <c r="AB19" s="1813">
        <v>1</v>
      </c>
      <c r="AC19" s="1813">
        <v>1</v>
      </c>
    </row>
    <row r="20" spans="1:29" ht="57">
      <c r="A20" s="428"/>
      <c r="B20" s="451" t="s">
        <v>2704</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2"/>
      <c r="M20" s="1133"/>
      <c r="N20" s="1133"/>
      <c r="O20" s="1141"/>
      <c r="P20" s="3218"/>
      <c r="Q20" s="1812" t="str">
        <f>B20</f>
        <v>自然及人文环境</v>
      </c>
      <c r="R20" s="773" t="s">
        <v>17</v>
      </c>
      <c r="S20" s="774">
        <f>F20</f>
        <v>100</v>
      </c>
      <c r="T20" s="773" t="s">
        <v>17</v>
      </c>
      <c r="U20" s="774">
        <f>H20</f>
        <v>100</v>
      </c>
      <c r="V20" s="773" t="s">
        <v>17</v>
      </c>
      <c r="W20" s="774">
        <f>J20</f>
        <v>100</v>
      </c>
      <c r="X20" s="1815"/>
      <c r="Y20" s="3218"/>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2"/>
      <c r="M21" s="1133"/>
      <c r="N21" s="1133"/>
      <c r="O21" s="1141"/>
      <c r="P21" s="3218"/>
      <c r="Q21" s="1812"/>
      <c r="R21" s="773"/>
      <c r="S21" s="774"/>
      <c r="T21" s="773"/>
      <c r="U21" s="774"/>
      <c r="V21" s="773"/>
      <c r="W21" s="774"/>
      <c r="X21" s="1815"/>
      <c r="Y21" s="3218"/>
      <c r="Z21" s="1816"/>
      <c r="AA21" s="1813">
        <v>1</v>
      </c>
      <c r="AB21" s="1813">
        <v>1</v>
      </c>
      <c r="AC21" s="1813">
        <v>1</v>
      </c>
    </row>
    <row r="22" spans="1:29" ht="15">
      <c r="A22" s="428"/>
      <c r="B22" s="451" t="s">
        <v>2705</v>
      </c>
      <c r="C22" s="616"/>
      <c r="D22" s="450">
        <v>100</v>
      </c>
      <c r="E22" s="616"/>
      <c r="F22" s="461">
        <f>SUMIF(69:69,E22,70:70)-SUMIF(69:69,C22,70:70)+100</f>
        <v>100</v>
      </c>
      <c r="G22" s="616"/>
      <c r="H22" s="435">
        <f>SUMIF(69:69,G22,70:70)-SUMIF(69:69,C22,70:70)+100</f>
        <v>100</v>
      </c>
      <c r="I22" s="616"/>
      <c r="J22" s="435">
        <f>SUMIF(69:69,I22,70:70)-SUMIF(69:69,C22,70:70)+100</f>
        <v>100</v>
      </c>
      <c r="K22" s="612"/>
      <c r="L22" s="1142"/>
      <c r="M22" s="1133"/>
      <c r="N22" s="1133"/>
      <c r="O22" s="1141"/>
      <c r="P22" s="3218"/>
      <c r="Q22" s="1812" t="str">
        <f>B22</f>
        <v>楼层</v>
      </c>
      <c r="R22" s="773" t="s">
        <v>17</v>
      </c>
      <c r="S22" s="774">
        <f>F22</f>
        <v>100</v>
      </c>
      <c r="T22" s="773" t="s">
        <v>17</v>
      </c>
      <c r="U22" s="774">
        <f>H22</f>
        <v>100</v>
      </c>
      <c r="V22" s="773" t="s">
        <v>17</v>
      </c>
      <c r="W22" s="774">
        <f>J22</f>
        <v>100</v>
      </c>
      <c r="X22" s="1815"/>
      <c r="Y22" s="3218"/>
      <c r="Z22" s="1816" t="str">
        <f>Q22</f>
        <v>楼层</v>
      </c>
      <c r="AA22" s="1813">
        <f t="shared" si="3"/>
        <v>1</v>
      </c>
      <c r="AB22" s="1813">
        <f t="shared" si="4"/>
        <v>1</v>
      </c>
      <c r="AC22" s="1813">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2"/>
      <c r="M23" s="1133"/>
      <c r="N23" s="1133"/>
      <c r="O23" s="1141"/>
      <c r="P23" s="3218"/>
      <c r="Q23" s="1812">
        <f>B23</f>
        <v>111</v>
      </c>
      <c r="R23" s="773" t="s">
        <v>17</v>
      </c>
      <c r="S23" s="774">
        <f>F23</f>
        <v>100</v>
      </c>
      <c r="T23" s="773" t="s">
        <v>17</v>
      </c>
      <c r="U23" s="774">
        <f>H23</f>
        <v>100</v>
      </c>
      <c r="V23" s="773" t="s">
        <v>17</v>
      </c>
      <c r="W23" s="774">
        <f>J23</f>
        <v>100</v>
      </c>
      <c r="X23" s="1815"/>
      <c r="Y23" s="3218"/>
      <c r="Z23" s="1816">
        <f>Q23</f>
        <v>111</v>
      </c>
      <c r="AA23" s="1813">
        <f t="shared" si="3"/>
        <v>1</v>
      </c>
      <c r="AB23" s="1813">
        <f t="shared" si="4"/>
        <v>1</v>
      </c>
      <c r="AC23" s="1813">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2"/>
      <c r="M24" s="1133"/>
      <c r="N24" s="1133"/>
      <c r="O24" s="1141"/>
      <c r="P24" s="3218"/>
      <c r="Q24" s="1812">
        <f t="shared" ref="Q24:Q34" si="11">B24</f>
        <v>111</v>
      </c>
      <c r="R24" s="773" t="s">
        <v>17</v>
      </c>
      <c r="S24" s="774">
        <f>F24</f>
        <v>100</v>
      </c>
      <c r="T24" s="773" t="s">
        <v>17</v>
      </c>
      <c r="U24" s="774">
        <f>H24</f>
        <v>100</v>
      </c>
      <c r="V24" s="773" t="s">
        <v>17</v>
      </c>
      <c r="W24" s="774">
        <f>J24</f>
        <v>100</v>
      </c>
      <c r="X24" s="1815"/>
      <c r="Y24" s="3218"/>
      <c r="Z24" s="1816">
        <f>Q24</f>
        <v>111</v>
      </c>
      <c r="AA24" s="1813">
        <f t="shared" si="3"/>
        <v>1</v>
      </c>
      <c r="AB24" s="1813">
        <f t="shared" si="4"/>
        <v>1</v>
      </c>
      <c r="AC24" s="1813">
        <f t="shared" si="5"/>
        <v>1</v>
      </c>
    </row>
    <row r="25" spans="1:29" s="117" customFormat="1" ht="15.75" thickBot="1">
      <c r="A25" s="431"/>
      <c r="B25" s="2602">
        <v>111</v>
      </c>
      <c r="C25" s="2700"/>
      <c r="D25" s="664">
        <v>100</v>
      </c>
      <c r="E25" s="2700"/>
      <c r="F25" s="665">
        <f>SUMIF(75:75,E25,76:76)-SUMIF(75:75,C25,76:76)+100</f>
        <v>100</v>
      </c>
      <c r="G25" s="2700"/>
      <c r="H25" s="664">
        <f>SUMIF(75:75,G25,76:76)-SUMIF(75:75,C25,76:76)+100</f>
        <v>100</v>
      </c>
      <c r="I25" s="2700"/>
      <c r="J25" s="664">
        <f>SUMIF(75:75,I25,76:76)-SUMIF(75:75,C25,76:76)+100</f>
        <v>100</v>
      </c>
      <c r="K25" s="613"/>
      <c r="L25" s="1134"/>
      <c r="M25" s="1135"/>
      <c r="N25" s="1135"/>
      <c r="O25" s="1136"/>
      <c r="P25" s="3218"/>
      <c r="Q25" s="1797">
        <f t="shared" si="11"/>
        <v>111</v>
      </c>
      <c r="R25" s="769" t="s">
        <v>17</v>
      </c>
      <c r="S25" s="770">
        <f>F25</f>
        <v>100</v>
      </c>
      <c r="T25" s="769" t="s">
        <v>17</v>
      </c>
      <c r="U25" s="770">
        <f>H25</f>
        <v>100</v>
      </c>
      <c r="V25" s="769" t="s">
        <v>17</v>
      </c>
      <c r="W25" s="770">
        <f>J25</f>
        <v>100</v>
      </c>
      <c r="X25" s="771"/>
      <c r="Y25" s="3218"/>
      <c r="Z25" s="55">
        <f>Q25</f>
        <v>111</v>
      </c>
      <c r="AA25" s="1813">
        <f>D25/F25</f>
        <v>1</v>
      </c>
      <c r="AB25" s="1813">
        <f>D25/H25</f>
        <v>1</v>
      </c>
      <c r="AC25" s="1813">
        <f>D25/J25</f>
        <v>1</v>
      </c>
    </row>
    <row r="26" spans="1:29" ht="15">
      <c r="A26" s="466" t="s">
        <v>2557</v>
      </c>
      <c r="B26" s="71" t="s">
        <v>2708</v>
      </c>
      <c r="C26" s="2681"/>
      <c r="D26" s="467">
        <v>100</v>
      </c>
      <c r="E26" s="2681"/>
      <c r="F26" s="666">
        <f>SUMIF(77:77,E26,78:78)-SUMIF(77:77,C26,78:78)+100</f>
        <v>100</v>
      </c>
      <c r="G26" s="2681"/>
      <c r="H26" s="467">
        <f>SUMIF(77:77,G26,78:78)-SUMIF(77:77,C26,78:78)+100</f>
        <v>100</v>
      </c>
      <c r="I26" s="2681"/>
      <c r="J26" s="467">
        <f>SUMIF(77:77,I26,78:78)-SUMIF(77:77,C26,78:78)+100</f>
        <v>100</v>
      </c>
      <c r="K26" s="612"/>
      <c r="L26" s="1142"/>
      <c r="M26" s="1133"/>
      <c r="N26" s="1133"/>
      <c r="O26" s="1141"/>
      <c r="P26" s="3276" t="s">
        <v>2559</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222" t="s">
        <v>2559</v>
      </c>
      <c r="Z26" s="1816" t="str">
        <f t="shared" ref="Z26:Z34" si="15">Q26</f>
        <v>公共部分装修</v>
      </c>
      <c r="AA26" s="1813">
        <f t="shared" si="3"/>
        <v>1</v>
      </c>
      <c r="AB26" s="1813">
        <f t="shared" si="4"/>
        <v>1</v>
      </c>
      <c r="AC26" s="1813">
        <f t="shared" si="5"/>
        <v>1</v>
      </c>
    </row>
    <row r="27" spans="1:29" s="471" customFormat="1" ht="15">
      <c r="A27" s="468"/>
      <c r="B27" s="422" t="s">
        <v>2709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0"/>
      <c r="M27" s="1143"/>
      <c r="N27" s="1143"/>
      <c r="O27" s="1144"/>
      <c r="P27" s="3222"/>
      <c r="Q27" s="775" t="str">
        <f t="shared" si="11"/>
        <v>成新率</v>
      </c>
      <c r="R27" s="776" t="s">
        <v>17</v>
      </c>
      <c r="S27" s="777" t="e">
        <f t="shared" si="12"/>
        <v>#N/A</v>
      </c>
      <c r="T27" s="776" t="s">
        <v>17</v>
      </c>
      <c r="U27" s="777" t="e">
        <f t="shared" si="13"/>
        <v>#N/A</v>
      </c>
      <c r="V27" s="776" t="s">
        <v>17</v>
      </c>
      <c r="W27" s="777" t="e">
        <f t="shared" si="14"/>
        <v>#N/A</v>
      </c>
      <c r="X27" s="778"/>
      <c r="Y27" s="3222"/>
      <c r="Z27" s="779" t="str">
        <f t="shared" si="15"/>
        <v>成新率</v>
      </c>
      <c r="AA27" s="1813" t="e">
        <f t="shared" si="3"/>
        <v>#N/A</v>
      </c>
      <c r="AB27" s="1813" t="e">
        <f t="shared" si="4"/>
        <v>#N/A</v>
      </c>
      <c r="AC27" s="1813" t="e">
        <f t="shared" si="5"/>
        <v>#N/A</v>
      </c>
    </row>
    <row r="28" spans="1:29" ht="15">
      <c r="A28" s="472"/>
      <c r="B28" s="422" t="s">
        <v>2710</v>
      </c>
      <c r="C28" s="460"/>
      <c r="D28" s="435">
        <v>100</v>
      </c>
      <c r="E28" s="460"/>
      <c r="F28" s="461">
        <f>SUMIF(82:82,E28,83:83)-SUMIF(82:82,C28,83:83)+100</f>
        <v>100</v>
      </c>
      <c r="G28" s="460"/>
      <c r="H28" s="435">
        <f>SUMIF(82:82,G28,83:83)-SUMIF(82:82,C28,83:83)+100</f>
        <v>100</v>
      </c>
      <c r="I28" s="460"/>
      <c r="J28" s="435">
        <f>SUMIF(82:82,I28,83:83)-SUMIF(82:82,C28,83:83)+100</f>
        <v>100</v>
      </c>
      <c r="K28" s="612"/>
      <c r="L28" s="1142"/>
      <c r="M28" s="1133"/>
      <c r="N28" s="1133"/>
      <c r="O28" s="1141"/>
      <c r="P28" s="3222"/>
      <c r="Q28" s="1812" t="str">
        <f t="shared" si="11"/>
        <v>物业等级</v>
      </c>
      <c r="R28" s="773" t="s">
        <v>17</v>
      </c>
      <c r="S28" s="774">
        <f t="shared" si="12"/>
        <v>100</v>
      </c>
      <c r="T28" s="773" t="s">
        <v>17</v>
      </c>
      <c r="U28" s="774">
        <f t="shared" si="13"/>
        <v>100</v>
      </c>
      <c r="V28" s="773" t="s">
        <v>17</v>
      </c>
      <c r="W28" s="774">
        <f t="shared" si="14"/>
        <v>100</v>
      </c>
      <c r="X28" s="1815"/>
      <c r="Y28" s="3222"/>
      <c r="Z28" s="1816" t="str">
        <f t="shared" si="15"/>
        <v>物业等级</v>
      </c>
      <c r="AA28" s="1813">
        <f t="shared" si="3"/>
        <v>1</v>
      </c>
      <c r="AB28" s="1813">
        <f t="shared" si="4"/>
        <v>1</v>
      </c>
      <c r="AC28" s="1813">
        <f t="shared" si="5"/>
        <v>1</v>
      </c>
    </row>
    <row r="29" spans="1:29" ht="15">
      <c r="A29" s="472"/>
      <c r="B29" s="422" t="s">
        <v>2731</v>
      </c>
      <c r="C29" s="656"/>
      <c r="D29" s="435">
        <v>100</v>
      </c>
      <c r="E29" s="656"/>
      <c r="F29" s="461">
        <f>SUMIF(84:84,E29,85:85)-SUMIF(84:84,C29,85:85)+100</f>
        <v>100</v>
      </c>
      <c r="G29" s="656"/>
      <c r="H29" s="435">
        <f>SUMIF(84:84,G29,85:85)-SUMIF(84:84,C29,85:85)+100</f>
        <v>100</v>
      </c>
      <c r="I29" s="656"/>
      <c r="J29" s="435">
        <f>SUMIF(84:84,I29,85:85)-SUMIF(84:84,C29,85:85)+100</f>
        <v>100</v>
      </c>
      <c r="K29" s="612"/>
      <c r="L29" s="1142"/>
      <c r="M29" s="1133"/>
      <c r="N29" s="1133"/>
      <c r="O29" s="1141"/>
      <c r="P29" s="3222"/>
      <c r="Q29" s="1812" t="str">
        <f t="shared" si="11"/>
        <v>有无电梯</v>
      </c>
      <c r="R29" s="773" t="s">
        <v>17</v>
      </c>
      <c r="S29" s="774">
        <f t="shared" si="12"/>
        <v>100</v>
      </c>
      <c r="T29" s="773" t="s">
        <v>17</v>
      </c>
      <c r="U29" s="774">
        <f t="shared" si="13"/>
        <v>100</v>
      </c>
      <c r="V29" s="773" t="s">
        <v>17</v>
      </c>
      <c r="W29" s="774">
        <f t="shared" si="14"/>
        <v>100</v>
      </c>
      <c r="X29" s="1815"/>
      <c r="Y29" s="3222"/>
      <c r="Z29" s="1816" t="str">
        <f t="shared" si="15"/>
        <v>有无电梯</v>
      </c>
      <c r="AA29" s="1813">
        <f t="shared" si="3"/>
        <v>1</v>
      </c>
      <c r="AB29" s="1813">
        <f t="shared" si="4"/>
        <v>1</v>
      </c>
      <c r="AC29" s="1813">
        <f t="shared" si="5"/>
        <v>1</v>
      </c>
    </row>
    <row r="30" spans="1:29" ht="15">
      <c r="A30" s="472"/>
      <c r="B30" s="422" t="s">
        <v>2732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2"/>
      <c r="M30" s="1133"/>
      <c r="N30" s="1133"/>
      <c r="O30" s="1141"/>
      <c r="P30" s="3222"/>
      <c r="Q30" s="1812" t="str">
        <f t="shared" si="11"/>
        <v>建筑面积</v>
      </c>
      <c r="R30" s="773" t="s">
        <v>17</v>
      </c>
      <c r="S30" s="774" t="e">
        <f t="shared" si="12"/>
        <v>#N/A</v>
      </c>
      <c r="T30" s="773" t="s">
        <v>17</v>
      </c>
      <c r="U30" s="774" t="e">
        <f t="shared" si="13"/>
        <v>#N/A</v>
      </c>
      <c r="V30" s="773" t="s">
        <v>17</v>
      </c>
      <c r="W30" s="774" t="e">
        <f t="shared" si="14"/>
        <v>#N/A</v>
      </c>
      <c r="X30" s="1815"/>
      <c r="Y30" s="3222"/>
      <c r="Z30" s="1816" t="str">
        <f t="shared" si="15"/>
        <v>建筑面积</v>
      </c>
      <c r="AA30" s="1813" t="e">
        <f t="shared" si="3"/>
        <v>#N/A</v>
      </c>
      <c r="AB30" s="1813" t="e">
        <f t="shared" si="4"/>
        <v>#N/A</v>
      </c>
      <c r="AC30" s="1813" t="e">
        <f t="shared" si="5"/>
        <v>#N/A</v>
      </c>
    </row>
    <row r="31" spans="1:29" s="117" customFormat="1" ht="15">
      <c r="A31" s="473"/>
      <c r="B31" s="422" t="s">
        <v>2733</v>
      </c>
      <c r="C31" s="656"/>
      <c r="D31" s="136">
        <v>100</v>
      </c>
      <c r="E31" s="656"/>
      <c r="F31" s="461">
        <f>SUMIF(89:89,E31,90:90)-SUMIF(89:89,C31,90:90)+100</f>
        <v>100</v>
      </c>
      <c r="G31" s="656"/>
      <c r="H31" s="435">
        <f>SUMIF(89:89,G31,90:90)-SUMIF(89:89,C31,90:90)+100</f>
        <v>100</v>
      </c>
      <c r="I31" s="656"/>
      <c r="J31" s="435">
        <f>SUMIF(89:89,I31,90:90)-SUMIF(89:89,C31,90:90)+100</f>
        <v>100</v>
      </c>
      <c r="K31" s="612"/>
      <c r="L31" s="1134"/>
      <c r="M31" s="1135"/>
      <c r="N31" s="1135"/>
      <c r="O31" s="1136"/>
      <c r="P31" s="3222"/>
      <c r="Q31" s="1797" t="str">
        <f t="shared" si="11"/>
        <v>是否封闭</v>
      </c>
      <c r="R31" s="769" t="s">
        <v>17</v>
      </c>
      <c r="S31" s="770">
        <f t="shared" si="12"/>
        <v>100</v>
      </c>
      <c r="T31" s="769" t="s">
        <v>17</v>
      </c>
      <c r="U31" s="770">
        <f t="shared" si="13"/>
        <v>100</v>
      </c>
      <c r="V31" s="769" t="s">
        <v>17</v>
      </c>
      <c r="W31" s="770">
        <f t="shared" si="14"/>
        <v>100</v>
      </c>
      <c r="X31" s="771"/>
      <c r="Y31" s="3222"/>
      <c r="Z31" s="55" t="str">
        <f t="shared" si="15"/>
        <v>是否封闭</v>
      </c>
      <c r="AA31" s="772">
        <f t="shared" si="3"/>
        <v>1</v>
      </c>
      <c r="AB31" s="772">
        <f t="shared" si="4"/>
        <v>1</v>
      </c>
      <c r="AC31" s="772">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2"/>
      <c r="M32" s="1133"/>
      <c r="N32" s="1133"/>
      <c r="O32" s="1141"/>
      <c r="P32" s="3222" t="s">
        <v>2559</v>
      </c>
      <c r="Q32" s="1812">
        <f t="shared" si="11"/>
        <v>111</v>
      </c>
      <c r="R32" s="773" t="s">
        <v>17</v>
      </c>
      <c r="S32" s="774">
        <f t="shared" si="12"/>
        <v>100</v>
      </c>
      <c r="T32" s="773" t="s">
        <v>17</v>
      </c>
      <c r="U32" s="774">
        <f t="shared" si="13"/>
        <v>100</v>
      </c>
      <c r="V32" s="773" t="s">
        <v>17</v>
      </c>
      <c r="W32" s="774">
        <f t="shared" si="14"/>
        <v>100</v>
      </c>
      <c r="X32" s="1815"/>
      <c r="Y32" s="3222" t="s">
        <v>2559</v>
      </c>
      <c r="Z32" s="1816">
        <f t="shared" si="15"/>
        <v>111</v>
      </c>
      <c r="AA32" s="1813">
        <f t="shared" si="3"/>
        <v>1</v>
      </c>
      <c r="AB32" s="1813">
        <f t="shared" si="4"/>
        <v>1</v>
      </c>
      <c r="AC32" s="1813">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2"/>
      <c r="M33" s="1133"/>
      <c r="N33" s="1133"/>
      <c r="O33" s="1141"/>
      <c r="P33" s="3222"/>
      <c r="Q33" s="1812">
        <f t="shared" si="11"/>
        <v>111</v>
      </c>
      <c r="R33" s="773" t="s">
        <v>17</v>
      </c>
      <c r="S33" s="774">
        <f t="shared" si="12"/>
        <v>100</v>
      </c>
      <c r="T33" s="773" t="s">
        <v>17</v>
      </c>
      <c r="U33" s="774">
        <f t="shared" si="13"/>
        <v>100</v>
      </c>
      <c r="V33" s="773" t="s">
        <v>17</v>
      </c>
      <c r="W33" s="774">
        <f t="shared" si="14"/>
        <v>100</v>
      </c>
      <c r="X33" s="1815"/>
      <c r="Y33" s="3222"/>
      <c r="Z33" s="1816">
        <f t="shared" si="15"/>
        <v>111</v>
      </c>
      <c r="AA33" s="1813">
        <f t="shared" si="3"/>
        <v>1</v>
      </c>
      <c r="AB33" s="1813">
        <f t="shared" si="4"/>
        <v>1</v>
      </c>
      <c r="AC33" s="1813">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2"/>
      <c r="M34" s="1133"/>
      <c r="N34" s="1133"/>
      <c r="O34" s="1141"/>
      <c r="P34" s="3222"/>
      <c r="Q34" s="1812">
        <f t="shared" si="11"/>
        <v>111</v>
      </c>
      <c r="R34" s="773" t="s">
        <v>17</v>
      </c>
      <c r="S34" s="774">
        <f t="shared" si="12"/>
        <v>100</v>
      </c>
      <c r="T34" s="773" t="s">
        <v>17</v>
      </c>
      <c r="U34" s="774">
        <f t="shared" si="13"/>
        <v>100</v>
      </c>
      <c r="V34" s="773" t="s">
        <v>17</v>
      </c>
      <c r="W34" s="774">
        <f t="shared" si="14"/>
        <v>100</v>
      </c>
      <c r="X34" s="1815"/>
      <c r="Y34" s="3222"/>
      <c r="Z34" s="1816">
        <f t="shared" si="15"/>
        <v>111</v>
      </c>
      <c r="AA34" s="1813">
        <f t="shared" si="3"/>
        <v>1</v>
      </c>
      <c r="AB34" s="1813">
        <f t="shared" si="4"/>
        <v>1</v>
      </c>
      <c r="AC34" s="1813">
        <f t="shared" si="5"/>
        <v>1</v>
      </c>
    </row>
    <row r="35" spans="1:29" ht="15">
      <c r="A35" s="479" t="s">
        <v>2571</v>
      </c>
      <c r="B35" s="480"/>
      <c r="C35" s="1409" t="s">
        <v>1</v>
      </c>
      <c r="D35" s="1410"/>
      <c r="E35" s="1411"/>
      <c r="F35" s="1412"/>
      <c r="G35" s="1413"/>
      <c r="H35" s="1414"/>
      <c r="I35" s="1411"/>
      <c r="J35" s="1414"/>
      <c r="K35" s="782"/>
      <c r="L35" s="1145"/>
      <c r="M35" s="1146"/>
      <c r="N35" s="1133"/>
      <c r="O35" s="1146"/>
      <c r="P35" s="3224" t="str">
        <f>A35</f>
        <v>成交单价（元/平方米）</v>
      </c>
      <c r="Q35" s="3224"/>
      <c r="R35" s="3225">
        <f>E35</f>
        <v>0</v>
      </c>
      <c r="S35" s="3225"/>
      <c r="T35" s="3225">
        <f>G35</f>
        <v>0</v>
      </c>
      <c r="U35" s="3225"/>
      <c r="V35" s="3225">
        <f>I35</f>
        <v>0</v>
      </c>
      <c r="W35" s="3225"/>
      <c r="X35" s="758"/>
      <c r="Y35" s="780"/>
      <c r="Z35" s="758"/>
      <c r="AA35" s="758"/>
      <c r="AB35" s="758"/>
      <c r="AC35" s="758"/>
    </row>
    <row r="36" spans="1:29" ht="15.75" thickBot="1">
      <c r="A36" s="486" t="s">
        <v>2663</v>
      </c>
      <c r="B36" s="487"/>
      <c r="C36" s="1415" t="e">
        <f>R37</f>
        <v>#DIV/0!</v>
      </c>
      <c r="D36" s="1416"/>
      <c r="E36" s="1417" t="e">
        <f>R36</f>
        <v>#DIV/0!</v>
      </c>
      <c r="F36" s="1417"/>
      <c r="G36" s="1415" t="e">
        <f>T36</f>
        <v>#DIV/0!</v>
      </c>
      <c r="H36" s="1416"/>
      <c r="I36" s="1417" t="e">
        <f>V36</f>
        <v>#DIV/0!</v>
      </c>
      <c r="J36" s="1416"/>
      <c r="K36" s="783"/>
      <c r="L36" s="1145"/>
      <c r="M36" s="1146"/>
      <c r="N36" s="1133"/>
      <c r="O36" s="1146"/>
      <c r="P36" s="3224" t="str">
        <f>A36</f>
        <v>比较价值（元/平方米）</v>
      </c>
      <c r="Q36" s="3224"/>
      <c r="R36" s="3225" t="e">
        <f>IF(F1="售价",ROUND(PRODUCT(R35,AA7:AA34),0),ROUND(PRODUCT(R35,AA7:AA34),1))</f>
        <v>#DIV/0!</v>
      </c>
      <c r="S36" s="3225"/>
      <c r="T36" s="3225" t="e">
        <f>IF(F1="售价",ROUND(PRODUCT(T35,AB7:AB34),0),ROUND(PRODUCT(T35,AB7:AB34),1))</f>
        <v>#DIV/0!</v>
      </c>
      <c r="U36" s="3225"/>
      <c r="V36" s="3225" t="e">
        <f>IF(F1="售价",ROUND(PRODUCT(V35,AC7:AC34),0),ROUND(PRODUCT(V35,AC7:AC34),1))</f>
        <v>#DIV/0!</v>
      </c>
      <c r="W36" s="3225"/>
      <c r="X36" s="758"/>
      <c r="Y36" s="758"/>
      <c r="Z36" s="758"/>
      <c r="AA36" s="758"/>
      <c r="AB36" s="758"/>
      <c r="AC36" s="758"/>
    </row>
    <row r="37" spans="1:29" ht="15.75" thickBot="1">
      <c r="A37" s="492" t="s">
        <v>2664</v>
      </c>
      <c r="B37" s="493"/>
      <c r="C37" s="1419" t="e">
        <f>R37</f>
        <v>#DIV/0!</v>
      </c>
      <c r="D37" s="1419"/>
      <c r="E37" s="1419"/>
      <c r="F37" s="1419"/>
      <c r="G37" s="1419"/>
      <c r="H37" s="1419"/>
      <c r="I37" s="1419"/>
      <c r="J37" s="1419"/>
      <c r="K37" s="784"/>
      <c r="L37" s="1145"/>
      <c r="M37" s="1146"/>
      <c r="N37" s="1146"/>
      <c r="O37" s="1146"/>
      <c r="P37" s="3226" t="str">
        <f>A37</f>
        <v>估价对象XX用房的比较价值（楼面单价，元/平方米）</v>
      </c>
      <c r="Q37" s="3227"/>
      <c r="R37" s="3228" t="e">
        <f>IF(F1="售价",ROUND(AVERAGE(R36:V36),0),ROUND(AVERAGE(R36:V36),1))</f>
        <v>#DIV/0!</v>
      </c>
      <c r="S37" s="3228"/>
      <c r="T37" s="3228"/>
      <c r="U37" s="3228"/>
      <c r="V37" s="3228"/>
      <c r="W37" s="3228"/>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7" t="s">
        <v>2665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7"/>
      <c r="L40" s="1108"/>
      <c r="M40" s="1146"/>
      <c r="N40" s="1146"/>
      <c r="O40" s="1146"/>
    </row>
    <row r="41" spans="1:29" ht="13.5" customHeight="1">
      <c r="A41" s="1146"/>
      <c r="B41" s="1146"/>
      <c r="C41" s="497" t="s">
        <v>2666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7"/>
      <c r="L41" s="1108"/>
      <c r="M41" s="1146"/>
      <c r="N41" s="1146"/>
      <c r="O41" s="1146"/>
    </row>
    <row r="42" spans="1:29" s="502" customFormat="1" ht="13.5" customHeight="1">
      <c r="A42" s="1147"/>
      <c r="B42" s="1147"/>
      <c r="C42" s="497" t="s">
        <v>2667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0"/>
      <c r="L42" s="1151"/>
      <c r="M42" s="1147"/>
      <c r="N42" s="1147"/>
      <c r="O42" s="1147"/>
    </row>
    <row r="43" spans="1:29" s="502"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2668</v>
      </c>
      <c r="B45" s="758"/>
      <c r="C45" s="763"/>
      <c r="D45" s="763"/>
      <c r="E45" s="763"/>
      <c r="F45" s="764"/>
      <c r="G45" s="764"/>
      <c r="H45" s="763"/>
      <c r="I45" s="763"/>
      <c r="J45" s="763"/>
      <c r="K45" s="765"/>
      <c r="L45" s="766"/>
      <c r="M45" s="763"/>
      <c r="N45" s="763"/>
      <c r="O45" s="763"/>
      <c r="P45" s="503"/>
      <c r="Q45" s="504"/>
    </row>
    <row r="46" spans="1:29" s="508" customFormat="1" ht="15">
      <c r="A46" s="505" t="s">
        <v>2542</v>
      </c>
      <c r="B46" s="506"/>
      <c r="C46" s="1576" t="str">
        <f>YEAR(C7)&amp;"-"&amp;MONTH(C7)</f>
        <v>2018-8</v>
      </c>
      <c r="D46" s="1577">
        <f>EDATE(C46,-1)</f>
        <v>43282</v>
      </c>
      <c r="E46" s="1577">
        <f t="shared" ref="E46:O46" si="16">EDATE(D46,-1)</f>
        <v>43252</v>
      </c>
      <c r="F46" s="1577">
        <f t="shared" si="16"/>
        <v>43221</v>
      </c>
      <c r="G46" s="1577">
        <f t="shared" si="16"/>
        <v>43191</v>
      </c>
      <c r="H46" s="1577">
        <f t="shared" si="16"/>
        <v>43160</v>
      </c>
      <c r="I46" s="1577">
        <f t="shared" si="16"/>
        <v>43132</v>
      </c>
      <c r="J46" s="1577">
        <f t="shared" si="16"/>
        <v>43101</v>
      </c>
      <c r="K46" s="1577">
        <f t="shared" si="16"/>
        <v>43070</v>
      </c>
      <c r="L46" s="1577">
        <f t="shared" si="16"/>
        <v>43040</v>
      </c>
      <c r="M46" s="1577">
        <f t="shared" si="16"/>
        <v>43009</v>
      </c>
      <c r="N46" s="1577">
        <f t="shared" si="16"/>
        <v>42979</v>
      </c>
      <c r="O46" s="1577">
        <f t="shared" si="16"/>
        <v>42948</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2579</v>
      </c>
      <c r="B48" s="516"/>
      <c r="C48" s="517"/>
      <c r="D48" s="518"/>
      <c r="E48" s="518"/>
      <c r="F48" s="518"/>
      <c r="G48" s="518"/>
      <c r="H48" s="518"/>
      <c r="I48" s="518"/>
      <c r="J48" s="518"/>
      <c r="K48" s="518"/>
      <c r="L48" s="518"/>
      <c r="M48" s="519"/>
      <c r="N48" s="518"/>
      <c r="O48" s="520"/>
      <c r="P48" s="504"/>
      <c r="Q48" s="504"/>
    </row>
    <row r="49" spans="1:17" s="117" customFormat="1" ht="15">
      <c r="A49" s="521" t="s">
        <v>2544</v>
      </c>
      <c r="B49" s="510"/>
      <c r="C49" s="522" t="s">
        <v>2646</v>
      </c>
      <c r="D49" s="523"/>
      <c r="E49" s="523"/>
      <c r="F49" s="523"/>
      <c r="G49" s="523"/>
      <c r="H49" s="523"/>
      <c r="I49" s="523"/>
      <c r="J49" s="523"/>
      <c r="K49" s="523"/>
      <c r="L49" s="524"/>
      <c r="M49" s="525"/>
      <c r="N49" s="1153"/>
      <c r="O49" s="1153"/>
      <c r="P49" s="526"/>
      <c r="Q49" s="504"/>
    </row>
    <row r="50" spans="1:17" s="117" customFormat="1" ht="15.75" thickBot="1">
      <c r="A50" s="521"/>
      <c r="B50" s="510"/>
      <c r="C50" s="638">
        <v>100</v>
      </c>
      <c r="D50" s="512"/>
      <c r="E50" s="512"/>
      <c r="F50" s="512"/>
      <c r="G50" s="512"/>
      <c r="H50" s="512"/>
      <c r="I50" s="512"/>
      <c r="J50" s="512"/>
      <c r="K50" s="512"/>
      <c r="L50" s="512"/>
      <c r="M50" s="514"/>
      <c r="N50" s="1153"/>
      <c r="O50" s="1153"/>
      <c r="P50" s="504"/>
      <c r="Q50" s="504"/>
    </row>
    <row r="51" spans="1:17">
      <c r="A51" s="527" t="s">
        <v>2582</v>
      </c>
      <c r="B51" s="528" t="s">
        <v>2548</v>
      </c>
      <c r="C51" s="529">
        <f>C9</f>
        <v>0</v>
      </c>
      <c r="D51" s="530"/>
      <c r="E51" s="530"/>
      <c r="F51" s="530"/>
      <c r="G51" s="530"/>
      <c r="H51" s="530"/>
      <c r="I51" s="530"/>
      <c r="J51" s="530"/>
      <c r="K51" s="531"/>
      <c r="L51" s="532"/>
      <c r="M51" s="533"/>
      <c r="N51" s="1154"/>
      <c r="O51" s="1154"/>
      <c r="P51" s="45"/>
      <c r="Q51" s="504"/>
    </row>
    <row r="52" spans="1:17" ht="15.75" thickBot="1">
      <c r="A52" s="534"/>
      <c r="B52" s="535"/>
      <c r="C52" s="536">
        <v>100</v>
      </c>
      <c r="D52" s="536"/>
      <c r="E52" s="536"/>
      <c r="F52" s="536"/>
      <c r="G52" s="536"/>
      <c r="H52" s="536"/>
      <c r="I52" s="536"/>
      <c r="J52" s="536"/>
      <c r="K52" s="536"/>
      <c r="L52" s="536"/>
      <c r="M52" s="537"/>
      <c r="N52" s="1155"/>
      <c r="O52" s="1155"/>
      <c r="P52" s="45"/>
      <c r="Q52" s="504"/>
    </row>
    <row r="53" spans="1:17" ht="27.75" thickTop="1">
      <c r="A53" s="534"/>
      <c r="B53" s="538" t="s">
        <v>2551</v>
      </c>
      <c r="C53" s="539" t="s">
        <v>2583</v>
      </c>
      <c r="D53" s="539" t="s">
        <v>2584</v>
      </c>
      <c r="E53" s="539" t="s">
        <v>2585</v>
      </c>
      <c r="F53" s="539" t="s">
        <v>2586</v>
      </c>
      <c r="G53" s="539" t="s">
        <v>2587</v>
      </c>
      <c r="H53" s="539" t="s">
        <v>2588</v>
      </c>
      <c r="I53" s="539" t="s">
        <v>2589</v>
      </c>
      <c r="J53" s="539"/>
      <c r="K53" s="540"/>
      <c r="L53" s="541"/>
      <c r="M53" s="542"/>
      <c r="N53" s="1154"/>
      <c r="O53" s="1154"/>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5"/>
      <c r="O54" s="1155"/>
      <c r="P54" s="45"/>
      <c r="Q54" s="504"/>
    </row>
    <row r="55" spans="1:17" ht="15.75" thickTop="1">
      <c r="A55" s="534"/>
      <c r="B55" s="659">
        <f>B11</f>
        <v>111</v>
      </c>
      <c r="C55" s="549"/>
      <c r="D55" s="549"/>
      <c r="E55" s="549"/>
      <c r="F55" s="549"/>
      <c r="G55" s="549"/>
      <c r="H55" s="549"/>
      <c r="I55" s="549"/>
      <c r="J55" s="549"/>
      <c r="K55" s="550"/>
      <c r="L55" s="551"/>
      <c r="M55" s="552"/>
      <c r="N55" s="1154"/>
      <c r="O55" s="1154"/>
      <c r="P55" s="45"/>
      <c r="Q55" s="504"/>
    </row>
    <row r="56" spans="1:17" ht="15.75" thickBot="1">
      <c r="A56" s="534"/>
      <c r="B56" s="535"/>
      <c r="C56" s="560"/>
      <c r="D56" s="536"/>
      <c r="E56" s="536"/>
      <c r="F56" s="536"/>
      <c r="G56" s="536"/>
      <c r="H56" s="536"/>
      <c r="I56" s="536"/>
      <c r="J56" s="536"/>
      <c r="K56" s="536"/>
      <c r="L56" s="536"/>
      <c r="M56" s="537"/>
      <c r="N56" s="1155"/>
      <c r="O56" s="1155"/>
      <c r="P56" s="45"/>
      <c r="Q56" s="504"/>
    </row>
    <row r="57" spans="1:17" s="471" customFormat="1" ht="15.75" thickTop="1">
      <c r="A57" s="553"/>
      <c r="B57" s="538">
        <f>B12</f>
        <v>111</v>
      </c>
      <c r="C57" s="549"/>
      <c r="D57" s="549"/>
      <c r="E57" s="549"/>
      <c r="F57" s="549"/>
      <c r="G57" s="554"/>
      <c r="H57" s="555"/>
      <c r="I57" s="555"/>
      <c r="J57" s="555"/>
      <c r="K57" s="555"/>
      <c r="L57" s="556"/>
      <c r="M57" s="557"/>
      <c r="N57" s="1156"/>
      <c r="O57" s="1156"/>
      <c r="P57" s="558"/>
      <c r="Q57" s="559"/>
    </row>
    <row r="58" spans="1:17" s="471" customFormat="1" ht="15.75" thickBot="1">
      <c r="A58" s="553"/>
      <c r="B58" s="543"/>
      <c r="C58" s="560"/>
      <c r="D58" s="536"/>
      <c r="E58" s="536"/>
      <c r="F58" s="536"/>
      <c r="G58" s="536"/>
      <c r="H58" s="536"/>
      <c r="I58" s="536"/>
      <c r="J58" s="536"/>
      <c r="K58" s="536"/>
      <c r="L58" s="536"/>
      <c r="M58" s="537"/>
      <c r="N58" s="1155"/>
      <c r="O58" s="1155"/>
      <c r="P58" s="558"/>
      <c r="Q58" s="559"/>
    </row>
    <row r="59" spans="1:17" s="471" customFormat="1" ht="15.75" thickTop="1">
      <c r="A59" s="553"/>
      <c r="B59" s="538">
        <f>B13</f>
        <v>111</v>
      </c>
      <c r="C59" s="549"/>
      <c r="D59" s="549"/>
      <c r="E59" s="549"/>
      <c r="F59" s="549"/>
      <c r="G59" s="554"/>
      <c r="H59" s="555"/>
      <c r="I59" s="555"/>
      <c r="J59" s="555"/>
      <c r="K59" s="555"/>
      <c r="L59" s="556"/>
      <c r="M59" s="557"/>
      <c r="N59" s="1156"/>
      <c r="O59" s="1156"/>
      <c r="P59" s="470"/>
      <c r="Q59" s="561"/>
    </row>
    <row r="60" spans="1:17" s="471" customFormat="1" ht="15.75" thickBot="1">
      <c r="A60" s="553"/>
      <c r="B60" s="543"/>
      <c r="C60" s="560"/>
      <c r="D60" s="560"/>
      <c r="E60" s="560"/>
      <c r="F60" s="560"/>
      <c r="G60" s="560"/>
      <c r="H60" s="562"/>
      <c r="I60" s="562"/>
      <c r="J60" s="562"/>
      <c r="K60" s="562"/>
      <c r="L60" s="562"/>
      <c r="M60" s="563"/>
      <c r="N60" s="1156"/>
      <c r="O60" s="1156"/>
      <c r="P60" s="558"/>
      <c r="Q60" s="559"/>
    </row>
    <row r="61" spans="1:17" ht="15" thickTop="1">
      <c r="A61" s="527" t="s">
        <v>2553</v>
      </c>
      <c r="B61" s="528" t="s">
        <v>2596</v>
      </c>
      <c r="C61" s="573" t="s">
        <v>2591</v>
      </c>
      <c r="D61" s="573" t="s">
        <v>2592</v>
      </c>
      <c r="E61" s="573" t="s">
        <v>2593</v>
      </c>
      <c r="F61" s="573" t="s">
        <v>2594</v>
      </c>
      <c r="G61" s="573" t="s">
        <v>2595</v>
      </c>
      <c r="H61" s="529"/>
      <c r="I61" s="529"/>
      <c r="J61" s="529"/>
      <c r="K61" s="574"/>
      <c r="L61" s="575"/>
      <c r="M61" s="576"/>
      <c r="N61" s="1154"/>
      <c r="O61" s="1154"/>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5"/>
      <c r="O62" s="1155"/>
      <c r="P62" s="45"/>
      <c r="Q62" s="504"/>
    </row>
    <row r="63" spans="1:17" ht="27.75" thickTop="1">
      <c r="A63" s="534"/>
      <c r="B63" s="538" t="s">
        <v>2734</v>
      </c>
      <c r="C63" s="578" t="s">
        <v>2591</v>
      </c>
      <c r="D63" s="578" t="s">
        <v>2592</v>
      </c>
      <c r="E63" s="578" t="s">
        <v>2593</v>
      </c>
      <c r="F63" s="578" t="s">
        <v>2594</v>
      </c>
      <c r="G63" s="578" t="s">
        <v>2595</v>
      </c>
      <c r="H63" s="539"/>
      <c r="I63" s="539"/>
      <c r="J63" s="539"/>
      <c r="K63" s="540"/>
      <c r="L63" s="541"/>
      <c r="M63" s="542"/>
      <c r="N63" s="1154"/>
      <c r="O63" s="1154"/>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5"/>
      <c r="O64" s="1155"/>
      <c r="P64" s="45"/>
      <c r="Q64" s="504"/>
    </row>
    <row r="65" spans="1:17" ht="15.75" thickTop="1">
      <c r="A65" s="534"/>
      <c r="B65" s="546" t="s">
        <v>2683</v>
      </c>
      <c r="C65" s="659" t="s">
        <v>2669</v>
      </c>
      <c r="D65" s="659" t="s">
        <v>2670</v>
      </c>
      <c r="E65" s="659" t="s">
        <v>2671</v>
      </c>
      <c r="F65" s="659" t="s">
        <v>2672</v>
      </c>
      <c r="G65" s="659" t="s">
        <v>2673</v>
      </c>
      <c r="H65" s="539"/>
      <c r="I65" s="539"/>
      <c r="J65" s="539"/>
      <c r="K65" s="539"/>
      <c r="L65" s="539"/>
      <c r="M65" s="1384"/>
      <c r="N65" s="1155"/>
      <c r="O65" s="1155"/>
      <c r="P65" s="45"/>
      <c r="Q65" s="504"/>
    </row>
    <row r="66" spans="1:17" ht="15.75" thickBot="1">
      <c r="A66" s="534"/>
      <c r="B66" s="546"/>
      <c r="C66" s="544">
        <v>100</v>
      </c>
      <c r="D66" s="544">
        <f>C66-$K18</f>
        <v>100</v>
      </c>
      <c r="E66" s="544">
        <f>D66-$K18</f>
        <v>100</v>
      </c>
      <c r="F66" s="544">
        <f>E66-$K18</f>
        <v>100</v>
      </c>
      <c r="G66" s="544">
        <f>F66-$K18</f>
        <v>100</v>
      </c>
      <c r="H66" s="659"/>
      <c r="I66" s="659"/>
      <c r="J66" s="659"/>
      <c r="K66" s="659"/>
      <c r="L66" s="659"/>
      <c r="M66" s="450"/>
      <c r="N66" s="1155"/>
      <c r="O66" s="1155"/>
      <c r="P66" s="45"/>
      <c r="Q66" s="504"/>
    </row>
    <row r="67" spans="1:17" ht="15.75" thickTop="1">
      <c r="A67" s="534"/>
      <c r="B67" s="538" t="s">
        <v>2603</v>
      </c>
      <c r="C67" s="578" t="s">
        <v>2591</v>
      </c>
      <c r="D67" s="578" t="s">
        <v>2592</v>
      </c>
      <c r="E67" s="578" t="s">
        <v>2593</v>
      </c>
      <c r="F67" s="578" t="s">
        <v>2594</v>
      </c>
      <c r="G67" s="578" t="s">
        <v>2595</v>
      </c>
      <c r="H67" s="539"/>
      <c r="I67" s="539"/>
      <c r="J67" s="539"/>
      <c r="K67" s="540"/>
      <c r="L67" s="541"/>
      <c r="M67" s="542"/>
      <c r="N67" s="1154"/>
      <c r="O67" s="1154"/>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5"/>
      <c r="O68" s="1155"/>
      <c r="P68" s="45"/>
      <c r="Q68" s="504"/>
    </row>
    <row r="69" spans="1:17" ht="15.75" thickTop="1">
      <c r="A69" s="534"/>
      <c r="B69" s="538" t="s">
        <v>2723</v>
      </c>
      <c r="C69" s="554"/>
      <c r="D69" s="554"/>
      <c r="E69" s="554"/>
      <c r="F69" s="554"/>
      <c r="G69" s="554"/>
      <c r="H69" s="583"/>
      <c r="I69" s="583"/>
      <c r="J69" s="583"/>
      <c r="K69" s="584"/>
      <c r="L69" s="585"/>
      <c r="M69" s="586"/>
      <c r="N69" s="1154"/>
      <c r="O69" s="1154"/>
      <c r="P69" s="45"/>
      <c r="Q69" s="504"/>
    </row>
    <row r="70" spans="1:17" ht="15.75" thickBot="1">
      <c r="A70" s="534"/>
      <c r="B70" s="543"/>
      <c r="C70" s="544">
        <v>100</v>
      </c>
      <c r="D70" s="544">
        <f>C70-$K22</f>
        <v>100</v>
      </c>
      <c r="E70" s="544"/>
      <c r="F70" s="544"/>
      <c r="G70" s="544"/>
      <c r="H70" s="544"/>
      <c r="I70" s="544"/>
      <c r="J70" s="544"/>
      <c r="K70" s="544"/>
      <c r="L70" s="544"/>
      <c r="M70" s="545"/>
      <c r="N70" s="1155"/>
      <c r="O70" s="1155"/>
      <c r="P70" s="45"/>
      <c r="Q70" s="504"/>
    </row>
    <row r="71" spans="1:17" s="117" customFormat="1" ht="15.75" thickTop="1">
      <c r="A71" s="579"/>
      <c r="B71" s="538">
        <f>B23</f>
        <v>111</v>
      </c>
      <c r="C71" s="549"/>
      <c r="D71" s="549"/>
      <c r="E71" s="549"/>
      <c r="F71" s="549"/>
      <c r="G71" s="554"/>
      <c r="H71" s="554"/>
      <c r="I71" s="554"/>
      <c r="J71" s="554"/>
      <c r="K71" s="554"/>
      <c r="L71" s="580"/>
      <c r="M71" s="581"/>
      <c r="N71" s="1153"/>
      <c r="O71" s="1153"/>
      <c r="P71" s="45"/>
      <c r="Q71" s="504"/>
    </row>
    <row r="72" spans="1:17" s="117" customFormat="1" ht="15.75" thickBot="1">
      <c r="A72" s="579"/>
      <c r="B72" s="543"/>
      <c r="C72" s="560"/>
      <c r="D72" s="536"/>
      <c r="E72" s="536"/>
      <c r="F72" s="536"/>
      <c r="G72" s="536"/>
      <c r="H72" s="536"/>
      <c r="I72" s="536"/>
      <c r="J72" s="536"/>
      <c r="K72" s="536"/>
      <c r="L72" s="536"/>
      <c r="M72" s="537"/>
      <c r="N72" s="1155"/>
      <c r="O72" s="1155"/>
      <c r="P72" s="45"/>
      <c r="Q72" s="504"/>
    </row>
    <row r="73" spans="1:17" s="117" customFormat="1" ht="15.75" thickTop="1">
      <c r="A73" s="579"/>
      <c r="B73" s="538">
        <f>B24</f>
        <v>111</v>
      </c>
      <c r="C73" s="549"/>
      <c r="D73" s="549"/>
      <c r="E73" s="549"/>
      <c r="F73" s="549"/>
      <c r="G73" s="554"/>
      <c r="H73" s="554"/>
      <c r="I73" s="554"/>
      <c r="J73" s="554"/>
      <c r="K73" s="554"/>
      <c r="L73" s="554"/>
      <c r="M73" s="581"/>
      <c r="N73" s="1153"/>
      <c r="O73" s="1153"/>
      <c r="P73" s="45"/>
      <c r="Q73" s="504"/>
    </row>
    <row r="74" spans="1:17" s="117" customFormat="1" ht="15.75" thickBot="1">
      <c r="A74" s="579"/>
      <c r="B74" s="543"/>
      <c r="C74" s="560"/>
      <c r="D74" s="536"/>
      <c r="E74" s="536"/>
      <c r="F74" s="536"/>
      <c r="G74" s="536"/>
      <c r="H74" s="536"/>
      <c r="I74" s="536"/>
      <c r="J74" s="536"/>
      <c r="K74" s="536"/>
      <c r="L74" s="536"/>
      <c r="M74" s="537"/>
      <c r="N74" s="1155"/>
      <c r="O74" s="1155"/>
      <c r="P74" s="45"/>
      <c r="Q74" s="504"/>
    </row>
    <row r="75" spans="1:17" s="471" customFormat="1" ht="15.75" thickTop="1">
      <c r="A75" s="553"/>
      <c r="B75" s="538">
        <f>B25</f>
        <v>111</v>
      </c>
      <c r="C75" s="549"/>
      <c r="D75" s="549"/>
      <c r="E75" s="549"/>
      <c r="F75" s="549"/>
      <c r="G75" s="554"/>
      <c r="H75" s="555"/>
      <c r="I75" s="555"/>
      <c r="J75" s="555"/>
      <c r="K75" s="555"/>
      <c r="L75" s="556"/>
      <c r="M75" s="557"/>
      <c r="N75" s="1156"/>
      <c r="O75" s="1156"/>
      <c r="P75" s="558"/>
      <c r="Q75" s="559"/>
    </row>
    <row r="76" spans="1:17" s="471" customFormat="1" ht="15.75" thickBot="1">
      <c r="A76" s="553"/>
      <c r="B76" s="543"/>
      <c r="C76" s="560"/>
      <c r="D76" s="560"/>
      <c r="E76" s="560"/>
      <c r="F76" s="560"/>
      <c r="G76" s="536"/>
      <c r="H76" s="536"/>
      <c r="I76" s="536"/>
      <c r="J76" s="536"/>
      <c r="K76" s="536"/>
      <c r="L76" s="536"/>
      <c r="M76" s="537"/>
      <c r="N76" s="1156"/>
      <c r="O76" s="1156"/>
      <c r="P76" s="558"/>
      <c r="Q76" s="559"/>
    </row>
    <row r="77" spans="1:17" ht="15" thickTop="1">
      <c r="A77" s="527" t="s">
        <v>2557</v>
      </c>
      <c r="B77" s="528" t="s">
        <v>2610</v>
      </c>
      <c r="C77" s="554"/>
      <c r="D77" s="554"/>
      <c r="E77" s="530"/>
      <c r="F77" s="530"/>
      <c r="G77" s="530"/>
      <c r="H77" s="530"/>
      <c r="I77" s="530"/>
      <c r="J77" s="530"/>
      <c r="K77" s="531"/>
      <c r="L77" s="532"/>
      <c r="M77" s="533"/>
      <c r="N77" s="1154"/>
      <c r="O77" s="1154"/>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5"/>
      <c r="O78" s="1155"/>
      <c r="P78" s="45"/>
      <c r="Q78" s="504"/>
    </row>
    <row r="79" spans="1:17" ht="15.75" thickTop="1">
      <c r="A79" s="534"/>
      <c r="B79" s="538" t="s">
        <v>2726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3"/>
      <c r="O79" s="1153"/>
      <c r="P79" s="45"/>
      <c r="Q79" s="504"/>
    </row>
    <row r="80" spans="1:17" ht="15">
      <c r="A80" s="534"/>
      <c r="B80" s="546"/>
      <c r="C80" s="603">
        <v>0.5</v>
      </c>
      <c r="D80" s="603">
        <v>0.6</v>
      </c>
      <c r="E80" s="603">
        <v>0.7</v>
      </c>
      <c r="F80" s="603">
        <v>0.8</v>
      </c>
      <c r="G80" s="603">
        <v>0.9</v>
      </c>
      <c r="H80" s="603">
        <v>1.0001</v>
      </c>
      <c r="I80" s="659"/>
      <c r="J80" s="659"/>
      <c r="K80" s="667"/>
      <c r="L80" s="668"/>
      <c r="M80" s="669"/>
      <c r="N80" s="1153"/>
      <c r="O80" s="1153"/>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5"/>
      <c r="O81" s="1155"/>
      <c r="P81" s="558"/>
      <c r="Q81" s="559"/>
    </row>
    <row r="82" spans="1:17" ht="15" thickTop="1">
      <c r="A82" s="599"/>
      <c r="B82" s="546" t="s">
        <v>2727</v>
      </c>
      <c r="C82" s="554"/>
      <c r="D82" s="554"/>
      <c r="E82" s="583"/>
      <c r="F82" s="583"/>
      <c r="G82" s="583"/>
      <c r="H82" s="583"/>
      <c r="I82" s="583"/>
      <c r="J82" s="583"/>
      <c r="K82" s="584"/>
      <c r="L82" s="585"/>
      <c r="M82" s="586"/>
      <c r="N82" s="1154"/>
      <c r="O82" s="1154"/>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5"/>
      <c r="O83" s="1155"/>
      <c r="P83" s="45"/>
      <c r="Q83" s="504"/>
    </row>
    <row r="84" spans="1:17" ht="15" thickTop="1">
      <c r="A84" s="599"/>
      <c r="B84" s="538" t="s">
        <v>2735</v>
      </c>
      <c r="C84" s="554"/>
      <c r="D84" s="554"/>
      <c r="E84" s="554"/>
      <c r="F84" s="554"/>
      <c r="G84" s="554"/>
      <c r="H84" s="554"/>
      <c r="I84" s="583"/>
      <c r="J84" s="583"/>
      <c r="K84" s="584"/>
      <c r="L84" s="585"/>
      <c r="M84" s="586"/>
      <c r="N84" s="1154"/>
      <c r="O84" s="1154"/>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5"/>
      <c r="O85" s="1155"/>
      <c r="P85" s="45"/>
      <c r="Q85" s="504"/>
    </row>
    <row r="86" spans="1:17" ht="15" thickTop="1">
      <c r="A86" s="599"/>
      <c r="B86" s="546" t="s">
        <v>2736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1" t="str">
        <f>M87&amp;"(含)"&amp;"-"&amp;P87</f>
        <v>(含)-</v>
      </c>
      <c r="N86" s="1154"/>
      <c r="O86" s="1154"/>
      <c r="P86" s="45"/>
      <c r="Q86" s="504"/>
    </row>
    <row r="87" spans="1:17">
      <c r="A87" s="599"/>
      <c r="B87" s="546"/>
      <c r="C87" s="595"/>
      <c r="D87" s="595"/>
      <c r="E87" s="595"/>
      <c r="F87" s="595"/>
      <c r="G87" s="595"/>
      <c r="H87" s="595"/>
      <c r="I87" s="595"/>
      <c r="J87" s="596"/>
      <c r="K87" s="596"/>
      <c r="L87" s="597"/>
      <c r="M87" s="598"/>
      <c r="N87" s="1154"/>
      <c r="O87" s="1154"/>
      <c r="P87" s="45"/>
      <c r="Q87" s="504"/>
    </row>
    <row r="88" spans="1:17" ht="15.75" thickBot="1">
      <c r="A88" s="534"/>
      <c r="B88" s="543"/>
      <c r="C88" s="560"/>
      <c r="D88" s="536"/>
      <c r="E88" s="536"/>
      <c r="F88" s="536"/>
      <c r="G88" s="536"/>
      <c r="H88" s="536"/>
      <c r="I88" s="536"/>
      <c r="J88" s="536"/>
      <c r="K88" s="536"/>
      <c r="L88" s="536"/>
      <c r="M88" s="536"/>
      <c r="N88" s="1155"/>
      <c r="O88" s="1155"/>
      <c r="P88" s="45"/>
      <c r="Q88" s="504"/>
    </row>
    <row r="89" spans="1:17" s="471" customFormat="1" ht="15" thickTop="1">
      <c r="A89" s="593"/>
      <c r="B89" s="538" t="s">
        <v>2737</v>
      </c>
      <c r="C89" s="554"/>
      <c r="D89" s="554"/>
      <c r="E89" s="554"/>
      <c r="F89" s="554"/>
      <c r="G89" s="554"/>
      <c r="H89" s="554"/>
      <c r="I89" s="554"/>
      <c r="J89" s="554"/>
      <c r="K89" s="554"/>
      <c r="L89" s="554"/>
      <c r="M89" s="581"/>
      <c r="N89" s="1156"/>
      <c r="O89" s="1156"/>
      <c r="P89" s="558"/>
      <c r="Q89" s="559"/>
    </row>
    <row r="90" spans="1:17" s="471" customFormat="1" ht="15.75" thickBot="1">
      <c r="A90" s="553"/>
      <c r="B90" s="543"/>
      <c r="C90" s="560"/>
      <c r="D90" s="536"/>
      <c r="E90" s="536"/>
      <c r="F90" s="536"/>
      <c r="G90" s="536"/>
      <c r="H90" s="536"/>
      <c r="I90" s="536"/>
      <c r="J90" s="536"/>
      <c r="K90" s="536"/>
      <c r="L90" s="536"/>
      <c r="M90" s="537"/>
      <c r="N90" s="1156"/>
      <c r="O90" s="1156"/>
      <c r="P90" s="558"/>
      <c r="Q90" s="559"/>
    </row>
    <row r="91" spans="1:17" ht="15" thickTop="1">
      <c r="A91" s="599"/>
      <c r="B91" s="538">
        <f>B32</f>
        <v>111</v>
      </c>
      <c r="C91" s="549"/>
      <c r="D91" s="549"/>
      <c r="E91" s="549"/>
      <c r="F91" s="549"/>
      <c r="G91" s="554"/>
      <c r="H91" s="555"/>
      <c r="I91" s="555"/>
      <c r="J91" s="555"/>
      <c r="K91" s="555"/>
      <c r="L91" s="556"/>
      <c r="M91" s="557"/>
      <c r="N91" s="1154"/>
      <c r="O91" s="1154"/>
      <c r="P91" s="45"/>
      <c r="Q91" s="504"/>
    </row>
    <row r="92" spans="1:17" ht="15.75" thickBot="1">
      <c r="A92" s="534"/>
      <c r="B92" s="543"/>
      <c r="C92" s="560"/>
      <c r="D92" s="536"/>
      <c r="E92" s="536"/>
      <c r="F92" s="536"/>
      <c r="G92" s="560"/>
      <c r="H92" s="562"/>
      <c r="I92" s="562"/>
      <c r="J92" s="562"/>
      <c r="K92" s="562"/>
      <c r="L92" s="562"/>
      <c r="M92" s="563"/>
      <c r="N92" s="1155"/>
      <c r="O92" s="1155"/>
      <c r="P92" s="45"/>
      <c r="Q92" s="504"/>
    </row>
    <row r="93" spans="1:17" ht="15" thickTop="1">
      <c r="A93" s="599"/>
      <c r="B93" s="538">
        <f>B33</f>
        <v>111</v>
      </c>
      <c r="C93" s="549"/>
      <c r="D93" s="549"/>
      <c r="E93" s="549"/>
      <c r="F93" s="549"/>
      <c r="G93" s="554"/>
      <c r="H93" s="555"/>
      <c r="I93" s="555"/>
      <c r="J93" s="555"/>
      <c r="K93" s="555"/>
      <c r="L93" s="556"/>
      <c r="M93" s="557"/>
      <c r="N93" s="1154"/>
      <c r="O93" s="1154"/>
      <c r="P93" s="45"/>
      <c r="Q93" s="504"/>
    </row>
    <row r="94" spans="1:17" ht="15.75" thickBot="1">
      <c r="A94" s="534"/>
      <c r="B94" s="543"/>
      <c r="C94" s="560"/>
      <c r="D94" s="536"/>
      <c r="E94" s="536"/>
      <c r="F94" s="536"/>
      <c r="G94" s="560"/>
      <c r="H94" s="562"/>
      <c r="I94" s="562"/>
      <c r="J94" s="562"/>
      <c r="K94" s="562"/>
      <c r="L94" s="562"/>
      <c r="M94" s="563"/>
      <c r="N94" s="1155"/>
      <c r="O94" s="1155"/>
      <c r="P94" s="45"/>
      <c r="Q94" s="504"/>
    </row>
    <row r="95" spans="1:17" ht="15" thickTop="1">
      <c r="A95" s="599"/>
      <c r="B95" s="635">
        <f>B34</f>
        <v>111</v>
      </c>
      <c r="C95" s="549"/>
      <c r="D95" s="549"/>
      <c r="E95" s="549"/>
      <c r="F95" s="549"/>
      <c r="G95" s="554"/>
      <c r="H95" s="555"/>
      <c r="I95" s="555"/>
      <c r="J95" s="555"/>
      <c r="K95" s="555"/>
      <c r="L95" s="556"/>
      <c r="M95" s="557"/>
      <c r="N95" s="1155"/>
      <c r="O95" s="1155"/>
      <c r="P95" s="636"/>
      <c r="Q95" s="637"/>
    </row>
    <row r="96" spans="1:17" ht="15.75" thickBot="1">
      <c r="A96" s="534"/>
      <c r="B96" s="543"/>
      <c r="C96" s="560"/>
      <c r="D96" s="560"/>
      <c r="E96" s="560"/>
      <c r="F96" s="560"/>
      <c r="G96" s="560"/>
      <c r="H96" s="562"/>
      <c r="I96" s="562"/>
      <c r="J96" s="562"/>
      <c r="K96" s="562"/>
      <c r="L96" s="562"/>
      <c r="M96" s="563"/>
      <c r="N96" s="1155"/>
      <c r="O96" s="1155"/>
      <c r="P96" s="45"/>
      <c r="Q96" s="504"/>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2738</v>
      </c>
      <c r="B1" s="395"/>
      <c r="C1" s="396" t="s">
        <v>2739</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2321</v>
      </c>
      <c r="B2" s="670" t="e">
        <f>F66</f>
        <v>#DIV/0!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7"/>
    </row>
    <row r="3" spans="1:30" s="398" customFormat="1" ht="28.5" customHeight="1" thickBot="1">
      <c r="A3" s="247" t="s">
        <v>2323</v>
      </c>
      <c r="B3" s="609" t="e">
        <f>ROUND(IF(D3="",B2*10000/'数据-汇总表'!E3,B2*10000/D3),0)</f>
        <v>#DIV/0!</v>
      </c>
      <c r="C3" s="247" t="s">
        <v>2740</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1" t="s">
        <v>2642</v>
      </c>
      <c r="AC4" s="3180" t="s">
        <v>2643</v>
      </c>
    </row>
    <row r="5" spans="1:30" ht="15">
      <c r="A5" s="404"/>
      <c r="B5" s="405"/>
      <c r="C5" s="3192" t="s">
        <v>2536</v>
      </c>
      <c r="D5" s="3193"/>
      <c r="E5" s="3260" t="s">
        <v>2537</v>
      </c>
      <c r="F5" s="3191"/>
      <c r="G5" s="3192" t="s">
        <v>2538</v>
      </c>
      <c r="H5" s="3193"/>
      <c r="I5" s="3192" t="s">
        <v>2539</v>
      </c>
      <c r="J5" s="3193"/>
      <c r="K5" s="610"/>
      <c r="L5" s="1132"/>
      <c r="M5" s="1133"/>
      <c r="N5" s="1133"/>
      <c r="O5" s="1133"/>
      <c r="P5" s="3208"/>
      <c r="Q5" s="3209"/>
      <c r="R5" s="3188"/>
      <c r="S5" s="3189"/>
      <c r="T5" s="3188"/>
      <c r="U5" s="3189"/>
      <c r="V5" s="3183"/>
      <c r="W5" s="3183"/>
      <c r="X5" s="1815"/>
      <c r="Y5" s="3188"/>
      <c r="Z5" s="3189"/>
      <c r="AA5" s="3181"/>
      <c r="AB5" s="3181"/>
      <c r="AC5" s="3181"/>
    </row>
    <row r="6" spans="1:30" ht="15.75" thickBot="1">
      <c r="A6" s="406"/>
      <c r="B6" s="407"/>
      <c r="C6" s="3194" t="s">
        <v>2540</v>
      </c>
      <c r="D6" s="3195"/>
      <c r="E6" s="3197" t="s">
        <v>2540</v>
      </c>
      <c r="F6" s="3198"/>
      <c r="G6" s="3194" t="s">
        <v>2540</v>
      </c>
      <c r="H6" s="3195"/>
      <c r="I6" s="3194" t="s">
        <v>2540</v>
      </c>
      <c r="J6" s="3195"/>
      <c r="K6" s="610" t="s">
        <v>2541</v>
      </c>
      <c r="L6" s="1132"/>
      <c r="M6" s="1133"/>
      <c r="N6" s="1133"/>
      <c r="O6" s="1133"/>
      <c r="P6" s="3210"/>
      <c r="Q6" s="3211"/>
      <c r="R6" s="3188"/>
      <c r="S6" s="3189"/>
      <c r="T6" s="3212"/>
      <c r="U6" s="3213"/>
      <c r="V6" s="3183"/>
      <c r="W6" s="3183"/>
      <c r="X6" s="1815"/>
      <c r="Y6" s="3212"/>
      <c r="Z6" s="3213"/>
      <c r="AA6" s="3182"/>
      <c r="AB6" s="3182"/>
      <c r="AC6" s="3182"/>
    </row>
    <row r="7" spans="1:30" s="117" customFormat="1" ht="15.75" thickBot="1">
      <c r="A7" s="408" t="s">
        <v>2542</v>
      </c>
      <c r="B7" s="409"/>
      <c r="C7" s="410">
        <f>'数据-取费表'!B2</f>
        <v>43321</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4"/>
      <c r="M7" s="1135"/>
      <c r="N7" s="1135"/>
      <c r="O7" s="1135"/>
      <c r="P7" s="3184" t="s">
        <v>2543</v>
      </c>
      <c r="Q7" s="3214"/>
      <c r="R7" s="769" t="s">
        <v>17</v>
      </c>
      <c r="S7" s="770">
        <f t="shared" ref="S7:S15" si="0">F7</f>
        <v>0</v>
      </c>
      <c r="T7" s="769" t="s">
        <v>17</v>
      </c>
      <c r="U7" s="770">
        <f t="shared" ref="U7:U15" si="1">H7</f>
        <v>0</v>
      </c>
      <c r="V7" s="769" t="s">
        <v>17</v>
      </c>
      <c r="W7" s="770">
        <f t="shared" ref="W7:W15" si="2">J7</f>
        <v>0</v>
      </c>
      <c r="X7" s="771"/>
      <c r="Y7" s="3184" t="s">
        <v>2543</v>
      </c>
      <c r="Z7" s="3185"/>
      <c r="AA7" s="772" t="e">
        <f>D7/F7</f>
        <v>#DIV/0!</v>
      </c>
      <c r="AB7" s="772" t="e">
        <f>D7/H7</f>
        <v>#DIV/0!</v>
      </c>
      <c r="AC7" s="772" t="e">
        <f>D7/J7</f>
        <v>#DIV/0!</v>
      </c>
    </row>
    <row r="8" spans="1:30" s="117" customFormat="1" ht="15.75" thickBot="1">
      <c r="A8" s="408" t="s">
        <v>2544</v>
      </c>
      <c r="B8" s="409"/>
      <c r="C8" s="414" t="s">
        <v>2545</v>
      </c>
      <c r="D8" s="411">
        <v>100</v>
      </c>
      <c r="E8" s="414"/>
      <c r="F8" s="413">
        <f>SUMIF(73:73,E8,74:74)-SUMIF(73:73,C8,74:74)+100</f>
        <v>0</v>
      </c>
      <c r="G8" s="414"/>
      <c r="H8" s="411">
        <f>SUMIF(73:73,G8,74:74)-SUMIF(73:73,C8,74:74)+100</f>
        <v>0</v>
      </c>
      <c r="I8" s="414"/>
      <c r="J8" s="411">
        <f>SUMIF(73:73,I8,74:74)-SUMIF(73:73,C8,74:74)+100</f>
        <v>0</v>
      </c>
      <c r="K8" s="611"/>
      <c r="L8" s="1134"/>
      <c r="M8" s="1135"/>
      <c r="N8" s="1135"/>
      <c r="O8" s="1135"/>
      <c r="P8" s="3184" t="s">
        <v>2546</v>
      </c>
      <c r="Q8" s="3185"/>
      <c r="R8" s="769" t="s">
        <v>17</v>
      </c>
      <c r="S8" s="770">
        <f t="shared" si="0"/>
        <v>0</v>
      </c>
      <c r="T8" s="769" t="s">
        <v>17</v>
      </c>
      <c r="U8" s="770">
        <f t="shared" si="1"/>
        <v>0</v>
      </c>
      <c r="V8" s="769" t="s">
        <v>17</v>
      </c>
      <c r="W8" s="770">
        <f t="shared" si="2"/>
        <v>0</v>
      </c>
      <c r="X8" s="771"/>
      <c r="Y8" s="3184" t="s">
        <v>2546</v>
      </c>
      <c r="Z8" s="3185"/>
      <c r="AA8" s="772" t="e">
        <f t="shared" ref="AA8:AA45" si="3">D8/F8</f>
        <v>#DIV/0!</v>
      </c>
      <c r="AB8" s="772" t="e">
        <f t="shared" ref="AB8:AB45" si="4">D8/H8</f>
        <v>#DIV/0!</v>
      </c>
      <c r="AC8" s="772" t="e">
        <f t="shared" ref="AC8:AC45" si="5">D8/J8</f>
        <v>#DIV/0!</v>
      </c>
    </row>
    <row r="9" spans="1:30" s="117" customFormat="1">
      <c r="A9" s="415" t="s">
        <v>2547</v>
      </c>
      <c r="B9" s="71" t="s">
        <v>2548</v>
      </c>
      <c r="C9" s="2701"/>
      <c r="D9" s="135">
        <v>100</v>
      </c>
      <c r="E9" s="2701"/>
      <c r="F9" s="135">
        <f>SUMIF(75:75,E9,76:76)-SUMIF(75:75,C9,76:76)+100</f>
        <v>100</v>
      </c>
      <c r="G9" s="2701"/>
      <c r="H9" s="135">
        <f>SUMIF(75:75,G9,76:76)-SUMIF(75:75,C9,76:76)+100</f>
        <v>100</v>
      </c>
      <c r="I9" s="2701"/>
      <c r="J9" s="135">
        <f>SUMIF(75:75,I9,76:76)-SUMIF(75:75,C9,76:76)+100</f>
        <v>100</v>
      </c>
      <c r="K9" s="611"/>
      <c r="L9" s="1134"/>
      <c r="M9" s="1135"/>
      <c r="N9" s="1135"/>
      <c r="O9" s="1136"/>
      <c r="P9" s="3224"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772">
        <f t="shared" si="5"/>
        <v>1</v>
      </c>
    </row>
    <row r="10" spans="1:30" s="427" customFormat="1" ht="27">
      <c r="A10" s="421"/>
      <c r="B10" s="422" t="s">
        <v>2551</v>
      </c>
      <c r="C10" s="432"/>
      <c r="D10" s="136">
        <v>100</v>
      </c>
      <c r="E10" s="465"/>
      <c r="F10" s="136">
        <f>ROUND(100/'数据-取费表'!G16,0)</f>
        <v>104</v>
      </c>
      <c r="G10" s="463"/>
      <c r="H10" s="136">
        <f>ROUND(100/'数据-取费表'!G16,0)</f>
        <v>104</v>
      </c>
      <c r="I10" s="463"/>
      <c r="J10" s="136">
        <f>ROUND(100/'数据-取费表'!G16,0)</f>
        <v>104</v>
      </c>
      <c r="K10" s="671"/>
      <c r="L10" s="1137"/>
      <c r="M10" s="1138"/>
      <c r="N10" s="1138"/>
      <c r="O10" s="1139"/>
      <c r="P10" s="3224"/>
      <c r="Q10" s="1797" t="str">
        <f t="shared" si="6"/>
        <v>土地使用年限（年）</v>
      </c>
      <c r="R10" s="769" t="s">
        <v>17</v>
      </c>
      <c r="S10" s="770">
        <f t="shared" si="0"/>
        <v>104</v>
      </c>
      <c r="T10" s="769" t="s">
        <v>17</v>
      </c>
      <c r="U10" s="770">
        <f t="shared" si="1"/>
        <v>104</v>
      </c>
      <c r="V10" s="769" t="s">
        <v>17</v>
      </c>
      <c r="W10" s="770">
        <f t="shared" si="2"/>
        <v>104</v>
      </c>
      <c r="X10" s="771"/>
      <c r="Y10" s="3057"/>
      <c r="Z10" s="55" t="str">
        <f t="shared" si="7"/>
        <v>土地使用年限（年）</v>
      </c>
      <c r="AA10" s="772">
        <f t="shared" si="3"/>
        <v>0.96153846153846156</v>
      </c>
      <c r="AB10" s="772">
        <f t="shared" si="4"/>
        <v>0.96153846153846156</v>
      </c>
      <c r="AC10" s="772">
        <f t="shared" si="5"/>
        <v>0.96153846153846156</v>
      </c>
    </row>
    <row r="11" spans="1:30" ht="15">
      <c r="A11" s="428"/>
      <c r="B11" s="422" t="s">
        <v>2552</v>
      </c>
      <c r="C11" s="429"/>
      <c r="D11" s="136">
        <v>100</v>
      </c>
      <c r="E11" s="429"/>
      <c r="F11" s="136" t="e">
        <f>LOOKUP(E11,80:80,81:81)-LOOKUP(C11,80:80,81:81)+100</f>
        <v>#N/A</v>
      </c>
      <c r="G11" s="430"/>
      <c r="H11" s="136" t="e">
        <f>LOOKUP(G11,80:80,81:81)-LOOKUP(C11,80:80,81:81)+100</f>
        <v>#N/A</v>
      </c>
      <c r="I11" s="429"/>
      <c r="J11" s="136" t="e">
        <f>LOOKUP(I11,80:80,81:81)-LOOKUP(C11,80:80,81:81)+100</f>
        <v>#N/A</v>
      </c>
      <c r="K11" s="672"/>
      <c r="L11" s="1140"/>
      <c r="M11" s="1133"/>
      <c r="N11" s="1133"/>
      <c r="O11" s="1141"/>
      <c r="P11" s="3224"/>
      <c r="Q11" s="1797"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30" s="117" customFormat="1" ht="15">
      <c r="A12" s="431"/>
      <c r="B12" s="2602" t="s">
        <v>2741</v>
      </c>
      <c r="C12" s="432"/>
      <c r="D12" s="433">
        <v>100</v>
      </c>
      <c r="E12" s="465"/>
      <c r="F12" s="136">
        <f>SUMIF(82:82,E12,83:83)-SUMIF(82:82,C12,83:83)+100</f>
        <v>100</v>
      </c>
      <c r="G12" s="463"/>
      <c r="H12" s="136">
        <f>SUMIF(82:82,G12,83:83)-SUMIF(82:82,C12,83:83)+100</f>
        <v>100</v>
      </c>
      <c r="I12" s="465"/>
      <c r="J12" s="136">
        <f>SUMIF(82:82,I12,83:83)-SUMIF(82:82,C12,83:83)+100</f>
        <v>100</v>
      </c>
      <c r="K12" s="671"/>
      <c r="L12" s="1134"/>
      <c r="M12" s="1135"/>
      <c r="N12" s="1135"/>
      <c r="O12" s="1136"/>
      <c r="P12" s="3224"/>
      <c r="Q12" s="1797" t="str">
        <f t="shared" si="6"/>
        <v>配建</v>
      </c>
      <c r="R12" s="769" t="s">
        <v>17</v>
      </c>
      <c r="S12" s="770">
        <f t="shared" si="0"/>
        <v>100</v>
      </c>
      <c r="T12" s="769" t="s">
        <v>17</v>
      </c>
      <c r="U12" s="770">
        <f t="shared" si="1"/>
        <v>100</v>
      </c>
      <c r="V12" s="769" t="s">
        <v>17</v>
      </c>
      <c r="W12" s="770">
        <f t="shared" si="2"/>
        <v>100</v>
      </c>
      <c r="X12" s="771"/>
      <c r="Y12" s="3057"/>
      <c r="Z12" s="55" t="str">
        <f t="shared" si="7"/>
        <v>配建</v>
      </c>
      <c r="AA12" s="772">
        <f>D12/F12</f>
        <v>1</v>
      </c>
      <c r="AB12" s="772">
        <f>D12/H12</f>
        <v>1</v>
      </c>
      <c r="AC12" s="772">
        <f>D12/J12</f>
        <v>1</v>
      </c>
    </row>
    <row r="13" spans="1:30" ht="15">
      <c r="A13" s="428"/>
      <c r="B13" s="2602">
        <v>111</v>
      </c>
      <c r="C13" s="434"/>
      <c r="D13" s="435">
        <v>100</v>
      </c>
      <c r="E13" s="549"/>
      <c r="F13" s="136">
        <f>SUMIF(84:84,E13,85:85)-SUMIF(84:84,C13,85:85)+100</f>
        <v>100</v>
      </c>
      <c r="G13" s="673"/>
      <c r="H13" s="435">
        <f>SUMIF(84:84,G13,85:85)-SUMIF(84:84,C13,85:85)+100</f>
        <v>100</v>
      </c>
      <c r="I13" s="673"/>
      <c r="J13" s="435">
        <f>SUMIF(84:84,I13,85:85)-SUMIF(84:84,C13,85:85)+100</f>
        <v>100</v>
      </c>
      <c r="K13" s="671"/>
      <c r="L13" s="1142"/>
      <c r="M13" s="1133"/>
      <c r="N13" s="1133"/>
      <c r="O13" s="1141"/>
      <c r="P13" s="3224"/>
      <c r="Q13" s="1797">
        <f t="shared" si="6"/>
        <v>111</v>
      </c>
      <c r="R13" s="769" t="s">
        <v>17</v>
      </c>
      <c r="S13" s="770">
        <f t="shared" si="0"/>
        <v>100</v>
      </c>
      <c r="T13" s="769" t="s">
        <v>17</v>
      </c>
      <c r="U13" s="770">
        <f t="shared" si="1"/>
        <v>100</v>
      </c>
      <c r="V13" s="769" t="s">
        <v>17</v>
      </c>
      <c r="W13" s="770">
        <f t="shared" si="2"/>
        <v>100</v>
      </c>
      <c r="X13" s="771"/>
      <c r="Y13" s="3057"/>
      <c r="Z13" s="55">
        <f t="shared" si="7"/>
        <v>111</v>
      </c>
      <c r="AA13" s="772">
        <f>D13/F13</f>
        <v>1</v>
      </c>
      <c r="AB13" s="772">
        <f>D13/H13</f>
        <v>1</v>
      </c>
      <c r="AC13" s="772">
        <f>D13/J13</f>
        <v>1</v>
      </c>
    </row>
    <row r="14" spans="1:30" ht="15.75" thickBot="1">
      <c r="A14" s="436"/>
      <c r="B14" s="2604">
        <v>111</v>
      </c>
      <c r="C14" s="437"/>
      <c r="D14" s="438">
        <v>100</v>
      </c>
      <c r="E14" s="549"/>
      <c r="F14" s="438">
        <f>SUMIF(86:86,E14,87:87)-SUMIF(86:86,C14,87:87)+100</f>
        <v>100</v>
      </c>
      <c r="G14" s="673"/>
      <c r="H14" s="438">
        <f>SUMIF(86:86,G14,87:87)-SUMIF(86:86,C14,87:87)+100</f>
        <v>100</v>
      </c>
      <c r="I14" s="673"/>
      <c r="J14" s="438">
        <f>SUMIF(86:86,I14,87:87)-SUMIF(86:86,C14,87:87)+100</f>
        <v>100</v>
      </c>
      <c r="K14" s="671"/>
      <c r="L14" s="1142"/>
      <c r="M14" s="1133"/>
      <c r="N14" s="1133"/>
      <c r="O14" s="1141"/>
      <c r="P14" s="3224"/>
      <c r="Q14" s="1797">
        <f t="shared" si="6"/>
        <v>111</v>
      </c>
      <c r="R14" s="769" t="s">
        <v>17</v>
      </c>
      <c r="S14" s="770">
        <f t="shared" si="0"/>
        <v>100</v>
      </c>
      <c r="T14" s="769" t="s">
        <v>17</v>
      </c>
      <c r="U14" s="770">
        <f t="shared" si="1"/>
        <v>100</v>
      </c>
      <c r="V14" s="769" t="s">
        <v>17</v>
      </c>
      <c r="W14" s="770">
        <f t="shared" si="2"/>
        <v>100</v>
      </c>
      <c r="X14" s="771"/>
      <c r="Y14" s="3057"/>
      <c r="Z14" s="55">
        <f t="shared" si="7"/>
        <v>111</v>
      </c>
      <c r="AA14" s="772">
        <f>D14/F14</f>
        <v>1</v>
      </c>
      <c r="AB14" s="772">
        <f>D14/H14</f>
        <v>1</v>
      </c>
      <c r="AC14" s="772">
        <f>D14/J14</f>
        <v>1</v>
      </c>
    </row>
    <row r="15" spans="1:30" ht="99.75">
      <c r="A15" s="440" t="s">
        <v>2553</v>
      </c>
      <c r="B15" s="69" t="s">
        <v>2083</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2"/>
      <c r="L15" s="1142"/>
      <c r="M15" s="1133"/>
      <c r="N15" s="1133"/>
      <c r="O15" s="1141"/>
      <c r="P15" s="3217" t="s">
        <v>2554</v>
      </c>
      <c r="Q15" s="1812" t="str">
        <f t="shared" si="6"/>
        <v>居住社区成熟度</v>
      </c>
      <c r="R15" s="773" t="s">
        <v>17</v>
      </c>
      <c r="S15" s="774">
        <f t="shared" si="0"/>
        <v>100</v>
      </c>
      <c r="T15" s="773" t="s">
        <v>17</v>
      </c>
      <c r="U15" s="774">
        <f t="shared" si="1"/>
        <v>100</v>
      </c>
      <c r="V15" s="773" t="s">
        <v>17</v>
      </c>
      <c r="W15" s="774">
        <f t="shared" si="2"/>
        <v>100</v>
      </c>
      <c r="X15" s="1815"/>
      <c r="Y15" s="3217" t="s">
        <v>2554</v>
      </c>
      <c r="Z15" s="1816" t="str">
        <f t="shared" si="7"/>
        <v>居住社区成熟度</v>
      </c>
      <c r="AA15" s="1813">
        <f t="shared" si="3"/>
        <v>1</v>
      </c>
      <c r="AB15" s="1813">
        <f t="shared" si="4"/>
        <v>1</v>
      </c>
      <c r="AC15" s="1813">
        <f t="shared" si="5"/>
        <v>1</v>
      </c>
    </row>
    <row r="16" spans="1:30" ht="15">
      <c r="A16" s="428"/>
      <c r="B16" s="446"/>
      <c r="C16" s="447"/>
      <c r="D16" s="448"/>
      <c r="E16" s="2607"/>
      <c r="F16" s="448"/>
      <c r="G16" s="2607"/>
      <c r="H16" s="450"/>
      <c r="I16" s="2606"/>
      <c r="J16" s="448"/>
      <c r="K16" s="671"/>
      <c r="L16" s="1142"/>
      <c r="M16" s="1133"/>
      <c r="N16" s="1133"/>
      <c r="O16" s="1141"/>
      <c r="P16" s="3218"/>
      <c r="Q16" s="1812"/>
      <c r="R16" s="773"/>
      <c r="S16" s="774"/>
      <c r="T16" s="773"/>
      <c r="U16" s="774"/>
      <c r="V16" s="773"/>
      <c r="W16" s="774"/>
      <c r="X16" s="1815"/>
      <c r="Y16" s="3218"/>
      <c r="Z16" s="1816"/>
      <c r="AA16" s="1813">
        <v>1</v>
      </c>
      <c r="AB16" s="1813">
        <v>1</v>
      </c>
      <c r="AC16" s="1813">
        <v>1</v>
      </c>
    </row>
    <row r="17" spans="1:29" ht="71.25">
      <c r="A17" s="428"/>
      <c r="B17" s="451" t="s">
        <v>2647</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2"/>
      <c r="L17" s="1142"/>
      <c r="M17" s="1133"/>
      <c r="N17" s="1133"/>
      <c r="O17" s="1141"/>
      <c r="P17" s="3218"/>
      <c r="Q17" s="1812" t="str">
        <f>B17</f>
        <v>商业繁华度</v>
      </c>
      <c r="R17" s="773" t="s">
        <v>17</v>
      </c>
      <c r="S17" s="774">
        <f>F17</f>
        <v>100</v>
      </c>
      <c r="T17" s="773" t="s">
        <v>17</v>
      </c>
      <c r="U17" s="774">
        <f>H17</f>
        <v>100</v>
      </c>
      <c r="V17" s="773" t="s">
        <v>17</v>
      </c>
      <c r="W17" s="774">
        <f>J17</f>
        <v>100</v>
      </c>
      <c r="X17" s="1815"/>
      <c r="Y17" s="3218"/>
      <c r="Z17" s="1816" t="str">
        <f>Q17</f>
        <v>商业繁华度</v>
      </c>
      <c r="AA17" s="1813">
        <f t="shared" si="3"/>
        <v>1</v>
      </c>
      <c r="AB17" s="1813">
        <f t="shared" si="4"/>
        <v>1</v>
      </c>
      <c r="AC17" s="1813">
        <f t="shared" si="5"/>
        <v>1</v>
      </c>
    </row>
    <row r="18" spans="1:29" ht="15">
      <c r="A18" s="428"/>
      <c r="B18" s="456"/>
      <c r="C18" s="2610"/>
      <c r="D18" s="450"/>
      <c r="E18" s="2612"/>
      <c r="F18" s="450"/>
      <c r="G18" s="2612"/>
      <c r="H18" s="448"/>
      <c r="I18" s="2611"/>
      <c r="J18" s="448"/>
      <c r="K18" s="671"/>
      <c r="L18" s="1142"/>
      <c r="M18" s="1133"/>
      <c r="N18" s="1133"/>
      <c r="O18" s="1141"/>
      <c r="P18" s="3218"/>
      <c r="Q18" s="1812"/>
      <c r="R18" s="773"/>
      <c r="S18" s="774"/>
      <c r="T18" s="773"/>
      <c r="U18" s="774"/>
      <c r="V18" s="773"/>
      <c r="W18" s="774"/>
      <c r="X18" s="1815"/>
      <c r="Y18" s="3218"/>
      <c r="Z18" s="1816"/>
      <c r="AA18" s="1813">
        <v>1</v>
      </c>
      <c r="AB18" s="1813">
        <v>1</v>
      </c>
      <c r="AC18" s="1813">
        <v>1</v>
      </c>
    </row>
    <row r="19" spans="1:29" ht="71.25">
      <c r="A19" s="428"/>
      <c r="B19" s="451" t="s">
        <v>2681</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2"/>
      <c r="L19" s="1142"/>
      <c r="M19" s="1133"/>
      <c r="N19" s="1133"/>
      <c r="O19" s="1141"/>
      <c r="P19" s="3218"/>
      <c r="Q19" s="1812" t="str">
        <f>B19</f>
        <v>办公集聚程度</v>
      </c>
      <c r="R19" s="773" t="s">
        <v>17</v>
      </c>
      <c r="S19" s="774">
        <f>F19</f>
        <v>100</v>
      </c>
      <c r="T19" s="773" t="s">
        <v>17</v>
      </c>
      <c r="U19" s="774">
        <f>H19</f>
        <v>100</v>
      </c>
      <c r="V19" s="773" t="s">
        <v>17</v>
      </c>
      <c r="W19" s="774">
        <f>J19</f>
        <v>100</v>
      </c>
      <c r="X19" s="1815"/>
      <c r="Y19" s="3218"/>
      <c r="Z19" s="1816" t="str">
        <f>Q19</f>
        <v>办公集聚程度</v>
      </c>
      <c r="AA19" s="1813">
        <f t="shared" si="3"/>
        <v>1</v>
      </c>
      <c r="AB19" s="1813">
        <f t="shared" si="4"/>
        <v>1</v>
      </c>
      <c r="AC19" s="1813">
        <f t="shared" si="5"/>
        <v>1</v>
      </c>
    </row>
    <row r="20" spans="1:29" ht="15">
      <c r="A20" s="428"/>
      <c r="B20" s="456"/>
      <c r="C20" s="447"/>
      <c r="D20" s="448"/>
      <c r="E20" s="2607"/>
      <c r="F20" s="448"/>
      <c r="G20" s="2607"/>
      <c r="H20" s="448"/>
      <c r="I20" s="2606"/>
      <c r="J20" s="448"/>
      <c r="K20" s="671"/>
      <c r="L20" s="1142"/>
      <c r="M20" s="1133"/>
      <c r="N20" s="1133"/>
      <c r="O20" s="1141"/>
      <c r="P20" s="3218"/>
      <c r="Q20" s="1812"/>
      <c r="R20" s="773"/>
      <c r="S20" s="774"/>
      <c r="T20" s="773"/>
      <c r="U20" s="774"/>
      <c r="V20" s="773"/>
      <c r="W20" s="774"/>
      <c r="X20" s="1815"/>
      <c r="Y20" s="3218"/>
      <c r="Z20" s="1816"/>
      <c r="AA20" s="1813">
        <v>1</v>
      </c>
      <c r="AB20" s="1813">
        <v>1</v>
      </c>
      <c r="AC20" s="1813">
        <v>1</v>
      </c>
    </row>
    <row r="21" spans="1:29" ht="85.5">
      <c r="A21" s="428"/>
      <c r="B21" s="451" t="s">
        <v>2703</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2"/>
      <c r="L21" s="1142"/>
      <c r="M21" s="1133"/>
      <c r="N21" s="1133"/>
      <c r="O21" s="1141"/>
      <c r="P21" s="3218"/>
      <c r="Q21" s="1812" t="str">
        <f>B21</f>
        <v>交通便捷度</v>
      </c>
      <c r="R21" s="773" t="s">
        <v>17</v>
      </c>
      <c r="S21" s="774">
        <f>F21</f>
        <v>100</v>
      </c>
      <c r="T21" s="773" t="s">
        <v>17</v>
      </c>
      <c r="U21" s="774">
        <f>H21</f>
        <v>100</v>
      </c>
      <c r="V21" s="773" t="s">
        <v>17</v>
      </c>
      <c r="W21" s="774">
        <f>J21</f>
        <v>100</v>
      </c>
      <c r="X21" s="1815"/>
      <c r="Y21" s="3218"/>
      <c r="Z21" s="1816" t="str">
        <f>Q21</f>
        <v>交通便捷度</v>
      </c>
      <c r="AA21" s="1813">
        <f t="shared" si="3"/>
        <v>1</v>
      </c>
      <c r="AB21" s="1813">
        <f t="shared" si="4"/>
        <v>1</v>
      </c>
      <c r="AC21" s="1813">
        <f t="shared" si="5"/>
        <v>1</v>
      </c>
    </row>
    <row r="22" spans="1:29" ht="15">
      <c r="A22" s="428"/>
      <c r="B22" s="1386"/>
      <c r="C22" s="447"/>
      <c r="D22" s="450"/>
      <c r="E22" s="2607"/>
      <c r="F22" s="448"/>
      <c r="G22" s="2607"/>
      <c r="H22" s="448"/>
      <c r="I22" s="2606"/>
      <c r="J22" s="448"/>
      <c r="K22" s="671"/>
      <c r="L22" s="1142"/>
      <c r="M22" s="1133"/>
      <c r="N22" s="1133"/>
      <c r="O22" s="1141"/>
      <c r="P22" s="3218"/>
      <c r="Q22" s="1812"/>
      <c r="R22" s="773"/>
      <c r="S22" s="774"/>
      <c r="T22" s="773"/>
      <c r="U22" s="774"/>
      <c r="V22" s="773"/>
      <c r="W22" s="774"/>
      <c r="X22" s="1815"/>
      <c r="Y22" s="3218"/>
      <c r="Z22" s="1816"/>
      <c r="AA22" s="1813">
        <v>1</v>
      </c>
      <c r="AB22" s="1813">
        <v>1</v>
      </c>
      <c r="AC22" s="1813">
        <v>1</v>
      </c>
    </row>
    <row r="23" spans="1:29" ht="15">
      <c r="A23" s="404"/>
      <c r="B23" s="451" t="s">
        <v>2742</v>
      </c>
      <c r="C23" s="1391">
        <f>估价对象房地状况!C19</f>
        <v>0</v>
      </c>
      <c r="D23" s="455">
        <v>100</v>
      </c>
      <c r="E23" s="452"/>
      <c r="F23" s="455">
        <f>SUMIF(96:96,E24,97:97)-SUMIF(96:96,C24,97:97)+100</f>
        <v>100</v>
      </c>
      <c r="G23" s="454"/>
      <c r="H23" s="455">
        <f>SUMIF(96:96,G24,97:97)-SUMIF(96:96,C24,97:97)+100</f>
        <v>100</v>
      </c>
      <c r="I23" s="454"/>
      <c r="J23" s="455">
        <f>SUMIF(96:96,I24,97:97)-SUMIF(96:96,C24,97:97)+100</f>
        <v>100</v>
      </c>
      <c r="K23" s="672"/>
      <c r="L23" s="1142"/>
      <c r="M23" s="1133"/>
      <c r="N23" s="1133"/>
      <c r="O23" s="1141"/>
      <c r="P23" s="3218"/>
      <c r="Q23" s="1812" t="str">
        <f t="shared" ref="Q23:Q37" si="8">B23</f>
        <v>区域土地利用方向</v>
      </c>
      <c r="R23" s="773" t="s">
        <v>17</v>
      </c>
      <c r="S23" s="774">
        <f>F23</f>
        <v>100</v>
      </c>
      <c r="T23" s="773" t="s">
        <v>17</v>
      </c>
      <c r="U23" s="774">
        <f>H23</f>
        <v>100</v>
      </c>
      <c r="V23" s="773" t="s">
        <v>17</v>
      </c>
      <c r="W23" s="774">
        <f>J23</f>
        <v>100</v>
      </c>
      <c r="X23" s="1815"/>
      <c r="Y23" s="3218"/>
      <c r="Z23" s="1816" t="str">
        <f>Q23</f>
        <v>区域土地利用方向</v>
      </c>
      <c r="AA23" s="1813">
        <f t="shared" si="3"/>
        <v>1</v>
      </c>
      <c r="AB23" s="1813">
        <f t="shared" si="4"/>
        <v>1</v>
      </c>
      <c r="AC23" s="1813">
        <f t="shared" si="5"/>
        <v>1</v>
      </c>
    </row>
    <row r="24" spans="1:29" ht="15">
      <c r="A24" s="404"/>
      <c r="B24" s="456"/>
      <c r="C24" s="616"/>
      <c r="D24" s="448"/>
      <c r="E24" s="2607"/>
      <c r="F24" s="448"/>
      <c r="G24" s="2606"/>
      <c r="H24" s="448"/>
      <c r="I24" s="2606"/>
      <c r="J24" s="448"/>
      <c r="K24" s="811"/>
      <c r="L24" s="1142"/>
      <c r="M24" s="1133"/>
      <c r="N24" s="1133"/>
      <c r="O24" s="1141"/>
      <c r="P24" s="3218"/>
      <c r="Q24" s="1812"/>
      <c r="R24" s="773"/>
      <c r="S24" s="774"/>
      <c r="T24" s="773"/>
      <c r="U24" s="774"/>
      <c r="V24" s="773"/>
      <c r="W24" s="774"/>
      <c r="X24" s="1815"/>
      <c r="Y24" s="3218"/>
      <c r="Z24" s="1816"/>
      <c r="AA24" s="1813"/>
      <c r="AB24" s="1813"/>
      <c r="AC24" s="1813"/>
    </row>
    <row r="25" spans="1:29" ht="57">
      <c r="A25" s="404"/>
      <c r="B25" s="1386" t="s">
        <v>2743</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2"/>
      <c r="L25" s="1142"/>
      <c r="M25" s="1133"/>
      <c r="N25" s="1133"/>
      <c r="O25" s="1141"/>
      <c r="P25" s="3218"/>
      <c r="Q25" s="1812" t="str">
        <f t="shared" si="8"/>
        <v>自然及人文环境状况</v>
      </c>
      <c r="R25" s="773" t="s">
        <v>17</v>
      </c>
      <c r="S25" s="774">
        <f>F25</f>
        <v>100</v>
      </c>
      <c r="T25" s="773" t="s">
        <v>17</v>
      </c>
      <c r="U25" s="774">
        <f>H25</f>
        <v>100</v>
      </c>
      <c r="V25" s="773" t="s">
        <v>17</v>
      </c>
      <c r="W25" s="774">
        <f>J25</f>
        <v>100</v>
      </c>
      <c r="X25" s="1815"/>
      <c r="Y25" s="3218"/>
      <c r="Z25" s="1816" t="str">
        <f>Q25</f>
        <v>自然及人文环境状况</v>
      </c>
      <c r="AA25" s="1813">
        <f t="shared" si="3"/>
        <v>1</v>
      </c>
      <c r="AB25" s="1813">
        <f t="shared" si="4"/>
        <v>1</v>
      </c>
      <c r="AC25" s="1813">
        <f t="shared" si="5"/>
        <v>1</v>
      </c>
    </row>
    <row r="26" spans="1:29" ht="15">
      <c r="A26" s="404"/>
      <c r="B26" s="456"/>
      <c r="C26" s="447"/>
      <c r="D26" s="448"/>
      <c r="E26" s="2613"/>
      <c r="F26" s="448"/>
      <c r="G26" s="2613"/>
      <c r="H26" s="448"/>
      <c r="I26" s="447"/>
      <c r="J26" s="448"/>
      <c r="K26" s="671"/>
      <c r="L26" s="1142"/>
      <c r="M26" s="1133"/>
      <c r="N26" s="1133"/>
      <c r="O26" s="1141"/>
      <c r="P26" s="3218"/>
      <c r="Q26" s="1812"/>
      <c r="R26" s="773"/>
      <c r="S26" s="774"/>
      <c r="T26" s="773"/>
      <c r="U26" s="774"/>
      <c r="V26" s="773"/>
      <c r="W26" s="774"/>
      <c r="X26" s="1815"/>
      <c r="Y26" s="3218"/>
      <c r="Z26" s="1816"/>
      <c r="AA26" s="1813">
        <v>1</v>
      </c>
      <c r="AB26" s="1813">
        <v>1</v>
      </c>
      <c r="AC26" s="1813">
        <v>1</v>
      </c>
    </row>
    <row r="27" spans="1:29" s="117" customFormat="1" ht="42.75">
      <c r="A27" s="648"/>
      <c r="B27" s="1386" t="s">
        <v>2648</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2"/>
      <c r="L27" s="1134"/>
      <c r="M27" s="1135"/>
      <c r="N27" s="1135"/>
      <c r="O27" s="1136"/>
      <c r="P27" s="3218"/>
      <c r="Q27" s="1797" t="str">
        <f t="shared" si="8"/>
        <v>公共配套设施</v>
      </c>
      <c r="R27" s="769" t="s">
        <v>17</v>
      </c>
      <c r="S27" s="770">
        <f>F27</f>
        <v>100</v>
      </c>
      <c r="T27" s="769" t="s">
        <v>17</v>
      </c>
      <c r="U27" s="770">
        <f>H27</f>
        <v>100</v>
      </c>
      <c r="V27" s="769" t="s">
        <v>17</v>
      </c>
      <c r="W27" s="770">
        <f>J27</f>
        <v>100</v>
      </c>
      <c r="X27" s="771"/>
      <c r="Y27" s="3218"/>
      <c r="Z27" s="55" t="str">
        <f>Q27</f>
        <v>公共配套设施</v>
      </c>
      <c r="AA27" s="1813">
        <f>D27/F27</f>
        <v>1</v>
      </c>
      <c r="AB27" s="1813">
        <f>D27/H27</f>
        <v>1</v>
      </c>
      <c r="AC27" s="1813">
        <f>D27/J27</f>
        <v>1</v>
      </c>
    </row>
    <row r="28" spans="1:29" s="117" customFormat="1" ht="15">
      <c r="A28" s="648"/>
      <c r="B28" s="456"/>
      <c r="C28" s="2702"/>
      <c r="D28" s="448"/>
      <c r="E28" s="2613"/>
      <c r="F28" s="448"/>
      <c r="G28" s="2613"/>
      <c r="H28" s="448"/>
      <c r="I28" s="447"/>
      <c r="J28" s="448"/>
      <c r="K28" s="671"/>
      <c r="L28" s="1134"/>
      <c r="M28" s="1135"/>
      <c r="N28" s="1135"/>
      <c r="O28" s="1136"/>
      <c r="P28" s="3218"/>
      <c r="Q28" s="1797"/>
      <c r="R28" s="769"/>
      <c r="S28" s="770"/>
      <c r="T28" s="769"/>
      <c r="U28" s="770"/>
      <c r="V28" s="769"/>
      <c r="W28" s="770"/>
      <c r="X28" s="771"/>
      <c r="Y28" s="3218"/>
      <c r="Z28" s="55"/>
      <c r="AA28" s="1813">
        <v>1</v>
      </c>
      <c r="AB28" s="1813">
        <v>1</v>
      </c>
      <c r="AC28" s="1813">
        <v>1</v>
      </c>
    </row>
    <row r="29" spans="1:29" s="117" customFormat="1" ht="28.5">
      <c r="A29" s="648"/>
      <c r="B29" s="1386" t="s">
        <v>2649</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2"/>
      <c r="L29" s="1134"/>
      <c r="M29" s="1135"/>
      <c r="N29" s="1135"/>
      <c r="O29" s="1136"/>
      <c r="P29" s="3218"/>
      <c r="Q29" s="1797" t="str">
        <f t="shared" ref="Q29" si="9">B29</f>
        <v>基础设施水平</v>
      </c>
      <c r="R29" s="769" t="s">
        <v>17</v>
      </c>
      <c r="S29" s="770">
        <f>F29</f>
        <v>100</v>
      </c>
      <c r="T29" s="769" t="s">
        <v>17</v>
      </c>
      <c r="U29" s="770">
        <f>H29</f>
        <v>100</v>
      </c>
      <c r="V29" s="769" t="s">
        <v>17</v>
      </c>
      <c r="W29" s="770">
        <f>J29</f>
        <v>100</v>
      </c>
      <c r="X29" s="771"/>
      <c r="Y29" s="3218"/>
      <c r="Z29" s="55" t="str">
        <f>Q29</f>
        <v>基础设施水平</v>
      </c>
      <c r="AA29" s="1813">
        <f>D29/F29</f>
        <v>1</v>
      </c>
      <c r="AB29" s="1813">
        <f>D29/H29</f>
        <v>1</v>
      </c>
      <c r="AC29" s="1813">
        <f>D29/J29</f>
        <v>1</v>
      </c>
    </row>
    <row r="30" spans="1:29" s="117" customFormat="1" ht="15">
      <c r="A30" s="648"/>
      <c r="B30" s="456"/>
      <c r="C30" s="2702"/>
      <c r="D30" s="448"/>
      <c r="E30" s="2703"/>
      <c r="F30" s="448"/>
      <c r="G30" s="2703"/>
      <c r="H30" s="448"/>
      <c r="I30" s="2703"/>
      <c r="J30" s="448"/>
      <c r="K30" s="671"/>
      <c r="L30" s="1134"/>
      <c r="M30" s="1135"/>
      <c r="N30" s="1135"/>
      <c r="O30" s="1136"/>
      <c r="P30" s="3218"/>
      <c r="Q30" s="1797"/>
      <c r="R30" s="769"/>
      <c r="S30" s="770"/>
      <c r="T30" s="769"/>
      <c r="U30" s="770"/>
      <c r="V30" s="769"/>
      <c r="W30" s="770"/>
      <c r="X30" s="771"/>
      <c r="Y30" s="3218"/>
      <c r="Z30" s="55"/>
      <c r="AA30" s="1813">
        <v>1</v>
      </c>
      <c r="AB30" s="1813">
        <v>1</v>
      </c>
      <c r="AC30" s="1813">
        <v>1</v>
      </c>
    </row>
    <row r="31" spans="1:29" ht="15">
      <c r="A31" s="428"/>
      <c r="B31" s="456" t="s">
        <v>2650</v>
      </c>
      <c r="C31" s="616"/>
      <c r="D31" s="435">
        <v>100</v>
      </c>
      <c r="E31" s="633"/>
      <c r="F31" s="435">
        <f>SUMIF(104:104,E31,105:105)-SUMIF(104:104,C31,105:105)+100</f>
        <v>100</v>
      </c>
      <c r="G31" s="633"/>
      <c r="H31" s="435">
        <f>SUMIF(104:104,G31,105:105)-SUMIF(104:104,C31,105:105)+100</f>
        <v>100</v>
      </c>
      <c r="I31" s="633"/>
      <c r="J31" s="435">
        <f>SUMIF(104:104,I31,105:105)-SUMIF(104:104,C31,105:105)+100</f>
        <v>100</v>
      </c>
      <c r="K31" s="672"/>
      <c r="L31" s="1142"/>
      <c r="M31" s="1133"/>
      <c r="N31" s="1133"/>
      <c r="O31" s="1141"/>
      <c r="P31" s="3218"/>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218"/>
      <c r="Z31" s="1816" t="str">
        <f t="shared" ref="Z31:Z45" si="13">Q31</f>
        <v>临街状况</v>
      </c>
      <c r="AA31" s="1813">
        <f t="shared" si="3"/>
        <v>1</v>
      </c>
      <c r="AB31" s="1813">
        <f t="shared" si="4"/>
        <v>1</v>
      </c>
      <c r="AC31" s="1813">
        <f t="shared" si="5"/>
        <v>1</v>
      </c>
    </row>
    <row r="32" spans="1:29" ht="27">
      <c r="A32" s="428"/>
      <c r="B32" s="1386" t="s">
        <v>2685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2"/>
      <c r="L32" s="1142"/>
      <c r="M32" s="1133"/>
      <c r="N32" s="1133"/>
      <c r="O32" s="1141"/>
      <c r="P32" s="3218"/>
      <c r="Q32" s="1812" t="str">
        <f t="shared" si="8"/>
        <v>毗邻道路的类型与等级</v>
      </c>
      <c r="R32" s="773" t="s">
        <v>17</v>
      </c>
      <c r="S32" s="774">
        <f t="shared" si="10"/>
        <v>100</v>
      </c>
      <c r="T32" s="773" t="s">
        <v>17</v>
      </c>
      <c r="U32" s="774">
        <f t="shared" si="11"/>
        <v>100</v>
      </c>
      <c r="V32" s="773" t="s">
        <v>17</v>
      </c>
      <c r="W32" s="774">
        <f t="shared" si="12"/>
        <v>100</v>
      </c>
      <c r="X32" s="1815"/>
      <c r="Y32" s="3218"/>
      <c r="Z32" s="1816" t="str">
        <f t="shared" si="13"/>
        <v>毗邻道路的类型与等级</v>
      </c>
      <c r="AA32" s="1813">
        <f t="shared" si="3"/>
        <v>1</v>
      </c>
      <c r="AB32" s="1813">
        <f t="shared" si="4"/>
        <v>1</v>
      </c>
      <c r="AC32" s="1813">
        <f t="shared" si="5"/>
        <v>1</v>
      </c>
    </row>
    <row r="33" spans="1:29" ht="15">
      <c r="A33" s="428"/>
      <c r="B33" s="456"/>
      <c r="C33" s="447"/>
      <c r="D33" s="448"/>
      <c r="E33" s="2613"/>
      <c r="F33" s="448"/>
      <c r="G33" s="2613"/>
      <c r="H33" s="448"/>
      <c r="I33" s="447"/>
      <c r="J33" s="448"/>
      <c r="K33" s="613"/>
      <c r="L33" s="1142"/>
      <c r="M33" s="1133"/>
      <c r="N33" s="1133"/>
      <c r="O33" s="1141"/>
      <c r="P33" s="3218"/>
      <c r="Q33" s="1812"/>
      <c r="R33" s="773"/>
      <c r="S33" s="774"/>
      <c r="T33" s="773"/>
      <c r="U33" s="774"/>
      <c r="V33" s="773"/>
      <c r="W33" s="774"/>
      <c r="X33" s="1815"/>
      <c r="Y33" s="3218"/>
      <c r="Z33" s="1816"/>
      <c r="AA33" s="1813">
        <v>1</v>
      </c>
      <c r="AB33" s="1813">
        <v>1</v>
      </c>
      <c r="AC33" s="1813">
        <v>1</v>
      </c>
    </row>
    <row r="34" spans="1:29" ht="15">
      <c r="A34" s="428"/>
      <c r="B34" s="422" t="s">
        <v>2744</v>
      </c>
      <c r="C34" s="616"/>
      <c r="D34" s="435">
        <v>100</v>
      </c>
      <c r="E34" s="633"/>
      <c r="F34" s="435">
        <f>SUMIF(108:108,E34,109:109)-SUMIF(108:108,C34,109:109)+100</f>
        <v>100</v>
      </c>
      <c r="G34" s="633"/>
      <c r="H34" s="435">
        <f>SUMIF(108:108,G34,109:109)-SUMIF(108:108,C34,109:109)+100</f>
        <v>100</v>
      </c>
      <c r="I34" s="616"/>
      <c r="J34" s="435">
        <f>SUMIF(108:108,I34,109:109)-SUMIF(108:108,C34,109:109)+100</f>
        <v>100</v>
      </c>
      <c r="K34" s="612"/>
      <c r="L34" s="1142"/>
      <c r="M34" s="1133"/>
      <c r="N34" s="1133"/>
      <c r="O34" s="1141"/>
      <c r="P34" s="3218"/>
      <c r="Q34" s="1812" t="str">
        <f t="shared" si="8"/>
        <v>土地级别</v>
      </c>
      <c r="R34" s="773" t="s">
        <v>17</v>
      </c>
      <c r="S34" s="774">
        <f t="shared" si="10"/>
        <v>100</v>
      </c>
      <c r="T34" s="773" t="s">
        <v>17</v>
      </c>
      <c r="U34" s="774">
        <f t="shared" si="11"/>
        <v>100</v>
      </c>
      <c r="V34" s="773" t="s">
        <v>17</v>
      </c>
      <c r="W34" s="774">
        <f t="shared" si="12"/>
        <v>100</v>
      </c>
      <c r="X34" s="1815"/>
      <c r="Y34" s="3218"/>
      <c r="Z34" s="1816" t="str">
        <f t="shared" si="13"/>
        <v>土地级别</v>
      </c>
      <c r="AA34" s="1813">
        <f t="shared" si="3"/>
        <v>1</v>
      </c>
      <c r="AB34" s="1813">
        <f t="shared" si="4"/>
        <v>1</v>
      </c>
      <c r="AC34" s="1813">
        <f t="shared" si="5"/>
        <v>1</v>
      </c>
    </row>
    <row r="35" spans="1:29" ht="15">
      <c r="A35" s="404"/>
      <c r="B35" s="1388">
        <v>111</v>
      </c>
      <c r="C35" s="673"/>
      <c r="D35" s="435">
        <v>100</v>
      </c>
      <c r="E35" s="477"/>
      <c r="F35" s="435">
        <f>SUMIF(110:110,E35,111:111)-SUMIF(110:110,C35,111:111)+100</f>
        <v>100</v>
      </c>
      <c r="G35" s="477"/>
      <c r="H35" s="435">
        <f>SUMIF(110:110,G35,111:111)-SUMIF(110:110,C35,111:111)+100</f>
        <v>100</v>
      </c>
      <c r="I35" s="673"/>
      <c r="J35" s="435">
        <f>SUMIF(110:110,I35,111:111)-SUMIF(110:110,C35,111:111)+100</f>
        <v>100</v>
      </c>
      <c r="K35" s="613"/>
      <c r="L35" s="1142"/>
      <c r="M35" s="1133"/>
      <c r="N35" s="1133"/>
      <c r="O35" s="1141"/>
      <c r="P35" s="3218"/>
      <c r="Q35" s="1812">
        <f t="shared" si="8"/>
        <v>111</v>
      </c>
      <c r="R35" s="773" t="s">
        <v>17</v>
      </c>
      <c r="S35" s="774">
        <f t="shared" si="10"/>
        <v>100</v>
      </c>
      <c r="T35" s="773" t="s">
        <v>17</v>
      </c>
      <c r="U35" s="774">
        <f t="shared" si="11"/>
        <v>100</v>
      </c>
      <c r="V35" s="773" t="s">
        <v>17</v>
      </c>
      <c r="W35" s="774">
        <f t="shared" si="12"/>
        <v>100</v>
      </c>
      <c r="X35" s="1815"/>
      <c r="Y35" s="3218"/>
      <c r="Z35" s="1816">
        <f t="shared" si="13"/>
        <v>111</v>
      </c>
      <c r="AA35" s="1813">
        <f t="shared" si="3"/>
        <v>1</v>
      </c>
      <c r="AB35" s="1813">
        <f t="shared" si="4"/>
        <v>1</v>
      </c>
      <c r="AC35" s="1813">
        <f t="shared" si="5"/>
        <v>1</v>
      </c>
    </row>
    <row r="36" spans="1:29" ht="15">
      <c r="A36" s="674"/>
      <c r="B36" s="1389">
        <v>111</v>
      </c>
      <c r="C36" s="673"/>
      <c r="D36" s="435">
        <v>100</v>
      </c>
      <c r="E36" s="477"/>
      <c r="F36" s="435">
        <f>SUMIF(112:112,E37,113:113)-SUMIF(112:112,C37,113:113)+100</f>
        <v>100</v>
      </c>
      <c r="G36" s="477"/>
      <c r="H36" s="435">
        <f>SUMIF(112:112,G36,113:113)-SUMIF(112:112,C36,113:113)+100</f>
        <v>100</v>
      </c>
      <c r="I36" s="673"/>
      <c r="J36" s="435">
        <f>SUMIF(112:112,I36,113:113)-SUMIF(112:112,C36,113:113)+100</f>
        <v>100</v>
      </c>
      <c r="K36" s="613"/>
      <c r="L36" s="1142"/>
      <c r="M36" s="1133"/>
      <c r="N36" s="1133"/>
      <c r="O36" s="1141"/>
      <c r="P36" s="3276" t="s">
        <v>2559</v>
      </c>
      <c r="Q36" s="1812">
        <f t="shared" si="8"/>
        <v>111</v>
      </c>
      <c r="R36" s="773" t="s">
        <v>17</v>
      </c>
      <c r="S36" s="774">
        <f t="shared" si="10"/>
        <v>100</v>
      </c>
      <c r="T36" s="773" t="s">
        <v>17</v>
      </c>
      <c r="U36" s="774">
        <f t="shared" si="11"/>
        <v>100</v>
      </c>
      <c r="V36" s="773" t="s">
        <v>17</v>
      </c>
      <c r="W36" s="774">
        <f t="shared" si="12"/>
        <v>100</v>
      </c>
      <c r="X36" s="1815"/>
      <c r="Y36" s="3222" t="s">
        <v>2559</v>
      </c>
      <c r="Z36" s="1816">
        <f t="shared" si="13"/>
        <v>111</v>
      </c>
      <c r="AA36" s="1813">
        <f t="shared" si="3"/>
        <v>1</v>
      </c>
      <c r="AB36" s="1813">
        <f t="shared" si="4"/>
        <v>1</v>
      </c>
      <c r="AC36" s="1813">
        <f t="shared" si="5"/>
        <v>1</v>
      </c>
    </row>
    <row r="37" spans="1:29" s="471" customFormat="1" ht="15.75" thickBot="1">
      <c r="A37" s="675"/>
      <c r="B37" s="1390">
        <v>111</v>
      </c>
      <c r="C37" s="677"/>
      <c r="D37" s="137">
        <v>100</v>
      </c>
      <c r="E37" s="700"/>
      <c r="F37" s="438">
        <f>SUMIF(114:114,E37,115:115)-SUMIF(114:114,C37,115:115)+100</f>
        <v>100</v>
      </c>
      <c r="G37" s="700"/>
      <c r="H37" s="438">
        <f>SUMIF(114:114,G37,115:115)-SUMIF(114:114,C37,115:115)+100</f>
        <v>100</v>
      </c>
      <c r="I37" s="677"/>
      <c r="J37" s="438">
        <f>SUMIF(114:114,I37,115:115)-SUMIF(114:114,C37,115:115)+100</f>
        <v>100</v>
      </c>
      <c r="K37" s="613"/>
      <c r="L37" s="1140"/>
      <c r="M37" s="1143"/>
      <c r="N37" s="1143"/>
      <c r="O37" s="1144"/>
      <c r="P37" s="3222"/>
      <c r="Q37" s="1812">
        <f t="shared" si="8"/>
        <v>111</v>
      </c>
      <c r="R37" s="776" t="s">
        <v>17</v>
      </c>
      <c r="S37" s="777">
        <f t="shared" si="10"/>
        <v>100</v>
      </c>
      <c r="T37" s="776" t="s">
        <v>17</v>
      </c>
      <c r="U37" s="777">
        <f t="shared" si="11"/>
        <v>100</v>
      </c>
      <c r="V37" s="776" t="s">
        <v>17</v>
      </c>
      <c r="W37" s="777">
        <f t="shared" si="12"/>
        <v>100</v>
      </c>
      <c r="X37" s="778"/>
      <c r="Y37" s="3222"/>
      <c r="Z37" s="779">
        <f t="shared" si="13"/>
        <v>111</v>
      </c>
      <c r="AA37" s="1813">
        <f t="shared" si="3"/>
        <v>1</v>
      </c>
      <c r="AB37" s="1813">
        <f t="shared" si="4"/>
        <v>1</v>
      </c>
      <c r="AC37" s="1813">
        <f t="shared" si="5"/>
        <v>1</v>
      </c>
    </row>
    <row r="38" spans="1:29" ht="15">
      <c r="A38" s="472" t="s">
        <v>2557</v>
      </c>
      <c r="B38" s="456" t="s">
        <v>2745</v>
      </c>
      <c r="C38" s="678"/>
      <c r="D38" s="467">
        <v>100</v>
      </c>
      <c r="E38" s="678"/>
      <c r="F38" s="467" t="e">
        <f>LOOKUP(E38,117:117,118:118)-LOOKUP(C38,117:117,118:118)+100</f>
        <v>#N/A</v>
      </c>
      <c r="G38" s="678"/>
      <c r="H38" s="467" t="e">
        <f>LOOKUP(G38,117:117,118:118)-LOOKUP(C38,117:117,118:118)+100</f>
        <v>#N/A</v>
      </c>
      <c r="I38" s="530"/>
      <c r="J38" s="467" t="e">
        <f>LOOKUP(I38,117:117,118:118)-LOOKUP(C38,117:117,118:118)+100</f>
        <v>#N/A</v>
      </c>
      <c r="K38" s="613"/>
      <c r="L38" s="1142"/>
      <c r="M38" s="1133"/>
      <c r="N38" s="1133"/>
      <c r="O38" s="1141"/>
      <c r="P38" s="3222"/>
      <c r="Q38" s="1812" t="str">
        <f>B38</f>
        <v>宗地面积</v>
      </c>
      <c r="R38" s="773" t="s">
        <v>17</v>
      </c>
      <c r="S38" s="774" t="e">
        <f t="shared" si="10"/>
        <v>#N/A</v>
      </c>
      <c r="T38" s="773" t="s">
        <v>17</v>
      </c>
      <c r="U38" s="774" t="e">
        <f t="shared" si="11"/>
        <v>#N/A</v>
      </c>
      <c r="V38" s="773" t="s">
        <v>17</v>
      </c>
      <c r="W38" s="774" t="e">
        <f t="shared" si="12"/>
        <v>#N/A</v>
      </c>
      <c r="X38" s="1815"/>
      <c r="Y38" s="3222"/>
      <c r="Z38" s="1816" t="str">
        <f t="shared" si="13"/>
        <v>宗地面积</v>
      </c>
      <c r="AA38" s="1813" t="e">
        <f t="shared" si="3"/>
        <v>#N/A</v>
      </c>
      <c r="AB38" s="1813" t="e">
        <f t="shared" si="4"/>
        <v>#N/A</v>
      </c>
      <c r="AC38" s="1813" t="e">
        <f t="shared" si="5"/>
        <v>#N/A</v>
      </c>
    </row>
    <row r="39" spans="1:29" ht="15">
      <c r="A39" s="472"/>
      <c r="B39" s="422" t="s">
        <v>2746</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2"/>
      <c r="M39" s="1133"/>
      <c r="N39" s="1133"/>
      <c r="O39" s="1141"/>
      <c r="P39" s="3222"/>
      <c r="Q39" s="1812" t="str">
        <f t="shared" ref="Q39:Q45" si="14">B39</f>
        <v>宗地形状</v>
      </c>
      <c r="R39" s="773" t="s">
        <v>17</v>
      </c>
      <c r="S39" s="774">
        <f t="shared" si="10"/>
        <v>100</v>
      </c>
      <c r="T39" s="773" t="s">
        <v>17</v>
      </c>
      <c r="U39" s="774">
        <f t="shared" si="11"/>
        <v>100</v>
      </c>
      <c r="V39" s="773" t="s">
        <v>17</v>
      </c>
      <c r="W39" s="774">
        <f t="shared" si="12"/>
        <v>100</v>
      </c>
      <c r="X39" s="1815"/>
      <c r="Y39" s="3222"/>
      <c r="Z39" s="1816" t="str">
        <f t="shared" si="13"/>
        <v>宗地形状</v>
      </c>
      <c r="AA39" s="1813">
        <f t="shared" si="3"/>
        <v>1</v>
      </c>
      <c r="AB39" s="1813">
        <f t="shared" si="4"/>
        <v>1</v>
      </c>
      <c r="AC39" s="1813">
        <f t="shared" si="5"/>
        <v>1</v>
      </c>
    </row>
    <row r="40" spans="1:29" ht="15">
      <c r="A40" s="472"/>
      <c r="B40" s="422" t="s">
        <v>2747</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2"/>
      <c r="M40" s="1133"/>
      <c r="N40" s="1133"/>
      <c r="O40" s="1141"/>
      <c r="P40" s="3222"/>
      <c r="Q40" s="1812" t="str">
        <f t="shared" si="14"/>
        <v>临街宽度及深度</v>
      </c>
      <c r="R40" s="773" t="s">
        <v>17</v>
      </c>
      <c r="S40" s="774">
        <f t="shared" si="10"/>
        <v>100</v>
      </c>
      <c r="T40" s="773" t="s">
        <v>17</v>
      </c>
      <c r="U40" s="774">
        <f t="shared" si="11"/>
        <v>100</v>
      </c>
      <c r="V40" s="773" t="s">
        <v>17</v>
      </c>
      <c r="W40" s="774">
        <f t="shared" si="12"/>
        <v>100</v>
      </c>
      <c r="X40" s="1815"/>
      <c r="Y40" s="3222"/>
      <c r="Z40" s="1816" t="str">
        <f t="shared" si="13"/>
        <v>临街宽度及深度</v>
      </c>
      <c r="AA40" s="1813">
        <f t="shared" si="3"/>
        <v>1</v>
      </c>
      <c r="AB40" s="1813">
        <f t="shared" si="4"/>
        <v>1</v>
      </c>
      <c r="AC40" s="1813">
        <f t="shared" si="5"/>
        <v>1</v>
      </c>
    </row>
    <row r="41" spans="1:29" s="117" customFormat="1" ht="15">
      <c r="A41" s="473"/>
      <c r="B41" s="422" t="s">
        <v>2748</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4"/>
      <c r="M41" s="1135"/>
      <c r="N41" s="1135"/>
      <c r="O41" s="1136"/>
      <c r="P41" s="3222"/>
      <c r="Q41" s="1812" t="str">
        <f t="shared" si="14"/>
        <v>宗地开发程度</v>
      </c>
      <c r="R41" s="769" t="s">
        <v>17</v>
      </c>
      <c r="S41" s="770">
        <f t="shared" si="10"/>
        <v>100</v>
      </c>
      <c r="T41" s="769" t="s">
        <v>17</v>
      </c>
      <c r="U41" s="770">
        <f t="shared" si="11"/>
        <v>100</v>
      </c>
      <c r="V41" s="769" t="s">
        <v>17</v>
      </c>
      <c r="W41" s="770">
        <f t="shared" si="12"/>
        <v>100</v>
      </c>
      <c r="X41" s="771"/>
      <c r="Y41" s="3222"/>
      <c r="Z41" s="55" t="str">
        <f t="shared" si="13"/>
        <v>宗地开发程度</v>
      </c>
      <c r="AA41" s="772">
        <f t="shared" si="3"/>
        <v>1</v>
      </c>
      <c r="AB41" s="772">
        <f t="shared" si="4"/>
        <v>1</v>
      </c>
      <c r="AC41" s="772">
        <f t="shared" si="5"/>
        <v>1</v>
      </c>
    </row>
    <row r="42" spans="1:29" ht="15">
      <c r="A42" s="472"/>
      <c r="B42" s="422" t="s">
        <v>2749</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2"/>
      <c r="M42" s="1133"/>
      <c r="N42" s="1133"/>
      <c r="O42" s="1141"/>
      <c r="P42" s="3222" t="s">
        <v>2559</v>
      </c>
      <c r="Q42" s="1812" t="str">
        <f t="shared" si="14"/>
        <v>工程地质条件</v>
      </c>
      <c r="R42" s="773" t="s">
        <v>17</v>
      </c>
      <c r="S42" s="774">
        <f t="shared" si="10"/>
        <v>100</v>
      </c>
      <c r="T42" s="773" t="s">
        <v>17</v>
      </c>
      <c r="U42" s="774">
        <f t="shared" si="11"/>
        <v>100</v>
      </c>
      <c r="V42" s="773" t="s">
        <v>17</v>
      </c>
      <c r="W42" s="774">
        <f t="shared" si="12"/>
        <v>100</v>
      </c>
      <c r="X42" s="1815"/>
      <c r="Y42" s="3222" t="s">
        <v>2559</v>
      </c>
      <c r="Z42" s="1816" t="str">
        <f t="shared" si="13"/>
        <v>工程地质条件</v>
      </c>
      <c r="AA42" s="1813">
        <f t="shared" si="3"/>
        <v>1</v>
      </c>
      <c r="AB42" s="1813">
        <f t="shared" si="4"/>
        <v>1</v>
      </c>
      <c r="AC42" s="1813">
        <f t="shared" si="5"/>
        <v>1</v>
      </c>
    </row>
    <row r="43" spans="1:29" ht="15">
      <c r="A43" s="472"/>
      <c r="B43" s="1389">
        <v>111</v>
      </c>
      <c r="C43" s="673"/>
      <c r="D43" s="435">
        <v>100</v>
      </c>
      <c r="E43" s="673"/>
      <c r="F43" s="435">
        <f>SUMIF(127:127,E43,128:128)-SUMIF(127:127,C43,128:128)+100</f>
        <v>100</v>
      </c>
      <c r="G43" s="673"/>
      <c r="H43" s="435">
        <f>SUMIF(127:127,G43,128:128)-SUMIF(127:127,C43,128:128)+100</f>
        <v>100</v>
      </c>
      <c r="I43" s="549"/>
      <c r="J43" s="435">
        <f>SUMIF(127:127,I43,128:128)-SUMIF(127:127,C43,128:128)+100</f>
        <v>100</v>
      </c>
      <c r="K43" s="613"/>
      <c r="L43" s="1142"/>
      <c r="M43" s="1133"/>
      <c r="N43" s="1133"/>
      <c r="O43" s="1141"/>
      <c r="P43" s="3222"/>
      <c r="Q43" s="1812">
        <f t="shared" si="14"/>
        <v>111</v>
      </c>
      <c r="R43" s="773" t="s">
        <v>17</v>
      </c>
      <c r="S43" s="774">
        <f t="shared" si="10"/>
        <v>100</v>
      </c>
      <c r="T43" s="773" t="s">
        <v>17</v>
      </c>
      <c r="U43" s="774">
        <f t="shared" si="11"/>
        <v>100</v>
      </c>
      <c r="V43" s="773" t="s">
        <v>17</v>
      </c>
      <c r="W43" s="774">
        <f t="shared" si="12"/>
        <v>100</v>
      </c>
      <c r="X43" s="1815"/>
      <c r="Y43" s="3222"/>
      <c r="Z43" s="1816">
        <f t="shared" si="13"/>
        <v>111</v>
      </c>
      <c r="AA43" s="1813">
        <f t="shared" si="3"/>
        <v>1</v>
      </c>
      <c r="AB43" s="1813">
        <f t="shared" si="4"/>
        <v>1</v>
      </c>
      <c r="AC43" s="1813">
        <f t="shared" si="5"/>
        <v>1</v>
      </c>
    </row>
    <row r="44" spans="1:29" ht="15">
      <c r="A44" s="472"/>
      <c r="B44" s="1389">
        <v>111</v>
      </c>
      <c r="C44" s="673"/>
      <c r="D44" s="435">
        <v>100</v>
      </c>
      <c r="E44" s="673"/>
      <c r="F44" s="435">
        <f>SUMIF(129:129,E44,130:130)-SUMIF(129:129,C44,130:130)+100</f>
        <v>100</v>
      </c>
      <c r="G44" s="673"/>
      <c r="H44" s="435">
        <f>SUMIF(129:129,G44,130:130)-SUMIF(129:129,C44,130:130)+100</f>
        <v>100</v>
      </c>
      <c r="I44" s="549"/>
      <c r="J44" s="435">
        <f>SUMIF(129:129,I44,130:130)-SUMIF(129:129,C44,130:130)+100</f>
        <v>100</v>
      </c>
      <c r="K44" s="613"/>
      <c r="L44" s="1142"/>
      <c r="M44" s="1133"/>
      <c r="N44" s="1133"/>
      <c r="O44" s="1141"/>
      <c r="P44" s="3222"/>
      <c r="Q44" s="1812">
        <f t="shared" si="14"/>
        <v>111</v>
      </c>
      <c r="R44" s="773" t="s">
        <v>17</v>
      </c>
      <c r="S44" s="774">
        <f t="shared" si="10"/>
        <v>100</v>
      </c>
      <c r="T44" s="773" t="s">
        <v>17</v>
      </c>
      <c r="U44" s="774">
        <f t="shared" si="11"/>
        <v>100</v>
      </c>
      <c r="V44" s="773" t="s">
        <v>17</v>
      </c>
      <c r="W44" s="774">
        <f t="shared" si="12"/>
        <v>100</v>
      </c>
      <c r="X44" s="1815"/>
      <c r="Y44" s="3222"/>
      <c r="Z44" s="1816">
        <f t="shared" si="13"/>
        <v>111</v>
      </c>
      <c r="AA44" s="1813">
        <f t="shared" si="3"/>
        <v>1</v>
      </c>
      <c r="AB44" s="1813">
        <f t="shared" si="4"/>
        <v>1</v>
      </c>
      <c r="AC44" s="1813">
        <f t="shared" si="5"/>
        <v>1</v>
      </c>
    </row>
    <row r="45" spans="1:29" s="471" customFormat="1" ht="15.75" thickBot="1">
      <c r="A45" s="468"/>
      <c r="B45" s="1389">
        <v>111</v>
      </c>
      <c r="C45" s="2705"/>
      <c r="D45" s="679">
        <v>100</v>
      </c>
      <c r="E45" s="673"/>
      <c r="F45" s="438">
        <f>SUMIF(131:131,E45,132:132)-SUMIF(131:131,C45,132:132)+100</f>
        <v>100</v>
      </c>
      <c r="G45" s="673"/>
      <c r="H45" s="438">
        <f>SUMIF(131:131,G45,132:132)-SUMIF(131:131,C45,132:132)+100</f>
        <v>100</v>
      </c>
      <c r="I45" s="673"/>
      <c r="J45" s="438">
        <f>SUMIF(131:131,I45,132:132)-SUMIF(131:131,C45,132:132)+100</f>
        <v>100</v>
      </c>
      <c r="K45" s="680"/>
      <c r="L45" s="1140"/>
      <c r="M45" s="1143"/>
      <c r="N45" s="1143"/>
      <c r="O45" s="1144"/>
      <c r="P45" s="3222"/>
      <c r="Q45" s="1812">
        <f t="shared" si="14"/>
        <v>111</v>
      </c>
      <c r="R45" s="776" t="s">
        <v>17</v>
      </c>
      <c r="S45" s="777">
        <f t="shared" si="10"/>
        <v>100</v>
      </c>
      <c r="T45" s="776" t="s">
        <v>17</v>
      </c>
      <c r="U45" s="777">
        <f t="shared" si="11"/>
        <v>100</v>
      </c>
      <c r="V45" s="776" t="s">
        <v>17</v>
      </c>
      <c r="W45" s="777">
        <f t="shared" si="12"/>
        <v>100</v>
      </c>
      <c r="X45" s="778"/>
      <c r="Y45" s="3222"/>
      <c r="Z45" s="779">
        <f t="shared" si="13"/>
        <v>111</v>
      </c>
      <c r="AA45" s="1813">
        <f t="shared" si="3"/>
        <v>1</v>
      </c>
      <c r="AB45" s="1813">
        <f t="shared" si="4"/>
        <v>1</v>
      </c>
      <c r="AC45" s="1813">
        <f t="shared" si="5"/>
        <v>1</v>
      </c>
    </row>
    <row r="46" spans="1:29" ht="15">
      <c r="A46" s="479" t="s">
        <v>2714</v>
      </c>
      <c r="B46" s="2706" t="s">
        <v>2750</v>
      </c>
      <c r="C46" s="681" t="s">
        <v>1</v>
      </c>
      <c r="D46" s="481"/>
      <c r="E46" s="482"/>
      <c r="F46" s="483"/>
      <c r="G46" s="484"/>
      <c r="H46" s="485"/>
      <c r="I46" s="482"/>
      <c r="J46" s="485"/>
      <c r="K46" s="782"/>
      <c r="L46" s="1145"/>
      <c r="M46" s="1146"/>
      <c r="N46" s="1133"/>
      <c r="O46" s="1146"/>
      <c r="P46" s="3224" t="str">
        <f>A46</f>
        <v>成交单价</v>
      </c>
      <c r="Q46" s="3224"/>
      <c r="R46" s="3183">
        <f>E46</f>
        <v>0</v>
      </c>
      <c r="S46" s="3183"/>
      <c r="T46" s="3183">
        <f>G46</f>
        <v>0</v>
      </c>
      <c r="U46" s="3183"/>
      <c r="V46" s="3183">
        <f>I46</f>
        <v>0</v>
      </c>
      <c r="W46" s="3183"/>
      <c r="X46" s="758"/>
      <c r="Y46" s="780"/>
      <c r="Z46" s="758"/>
      <c r="AA46" s="758"/>
      <c r="AB46" s="758"/>
      <c r="AC46" s="758"/>
    </row>
    <row r="47" spans="1:29" ht="15.75" thickBot="1">
      <c r="A47" s="486" t="s">
        <v>2663</v>
      </c>
      <c r="B47" s="682"/>
      <c r="C47" s="490" t="e">
        <f>R48</f>
        <v>#DIV/0!</v>
      </c>
      <c r="D47" s="489"/>
      <c r="E47" s="490" t="e">
        <f>R47</f>
        <v>#DIV/0!</v>
      </c>
      <c r="F47" s="491"/>
      <c r="G47" s="488" t="e">
        <f>T47</f>
        <v>#DIV/0!</v>
      </c>
      <c r="H47" s="489"/>
      <c r="I47" s="490" t="e">
        <f>V47</f>
        <v>#DIV/0!</v>
      </c>
      <c r="J47" s="489"/>
      <c r="K47" s="783"/>
      <c r="L47" s="1145"/>
      <c r="M47" s="1146"/>
      <c r="N47" s="1146"/>
      <c r="O47" s="1146"/>
      <c r="P47" s="3224" t="str">
        <f>A47</f>
        <v>比较价值（元/平方米）</v>
      </c>
      <c r="Q47" s="3224"/>
      <c r="R47" s="3277" t="e">
        <f>ROUND(PRODUCT(R46,AA7:AA45),0)</f>
        <v>#DIV/0!</v>
      </c>
      <c r="S47" s="3277"/>
      <c r="T47" s="3277" t="e">
        <f>ROUND(PRODUCT(T46,AB7:AB45),0)</f>
        <v>#DIV/0!</v>
      </c>
      <c r="U47" s="3277"/>
      <c r="V47" s="3277" t="e">
        <f>ROUND(PRODUCT(V46,AC7:AC45),0)</f>
        <v>#DIV/0!</v>
      </c>
      <c r="W47" s="3277"/>
      <c r="X47" s="758"/>
      <c r="Y47" s="758"/>
      <c r="Z47" s="758"/>
      <c r="AA47" s="758"/>
      <c r="AB47" s="758"/>
      <c r="AC47" s="758"/>
    </row>
    <row r="48" spans="1:29" ht="15.75" thickBot="1">
      <c r="A48" s="492" t="s">
        <v>2751</v>
      </c>
      <c r="B48" s="493"/>
      <c r="C48" s="494" t="e">
        <f>R48</f>
        <v>#DIV/0!</v>
      </c>
      <c r="D48" s="494"/>
      <c r="E48" s="494"/>
      <c r="F48" s="494"/>
      <c r="G48" s="494"/>
      <c r="H48" s="494"/>
      <c r="I48" s="494"/>
      <c r="J48" s="494"/>
      <c r="K48" s="784"/>
      <c r="L48" s="1145"/>
      <c r="M48" s="1146"/>
      <c r="N48" s="1146"/>
      <c r="O48" s="1146"/>
      <c r="P48" s="3226" t="str">
        <f>A48</f>
        <v>估价对象XX用房的比较价值（楼面单价，元/平方米）</v>
      </c>
      <c r="Q48" s="3227"/>
      <c r="R48" s="3278" t="e">
        <f>ROUND(AVERAGE(R47:V47),0)</f>
        <v>#DIV/0!</v>
      </c>
      <c r="S48" s="3278"/>
      <c r="T48" s="3278"/>
      <c r="U48" s="3278"/>
      <c r="V48" s="3278"/>
      <c r="W48" s="3278"/>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7" t="s">
        <v>2665</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7"/>
      <c r="L51" s="1108"/>
      <c r="M51" s="1146"/>
      <c r="N51" s="1146"/>
      <c r="O51" s="1146"/>
    </row>
    <row r="52" spans="1:15" ht="13.5" customHeight="1">
      <c r="A52" s="1146"/>
      <c r="B52" s="1146"/>
      <c r="C52" s="497" t="s">
        <v>2666</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7"/>
      <c r="L52" s="1108"/>
      <c r="M52" s="1146"/>
      <c r="N52" s="1146"/>
      <c r="O52" s="1146"/>
    </row>
    <row r="53" spans="1:15" s="502" customFormat="1" ht="13.5" customHeight="1">
      <c r="A53" s="1147"/>
      <c r="B53" s="1147"/>
      <c r="C53" s="497" t="s">
        <v>2667</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0"/>
      <c r="L53" s="1151"/>
      <c r="M53" s="1147"/>
      <c r="N53" s="1147"/>
      <c r="O53" s="1147"/>
    </row>
    <row r="54" spans="1:15" s="502" customFormat="1" ht="15" thickBot="1">
      <c r="A54" s="1147"/>
      <c r="B54" s="1148"/>
      <c r="C54" s="761"/>
      <c r="D54" s="759"/>
      <c r="E54" s="759"/>
      <c r="F54" s="759"/>
      <c r="G54" s="759"/>
      <c r="H54" s="759"/>
      <c r="I54" s="759"/>
      <c r="J54" s="759"/>
      <c r="K54" s="1150"/>
      <c r="L54" s="1151"/>
      <c r="M54" s="1147"/>
      <c r="N54" s="1147"/>
      <c r="O54" s="1147"/>
    </row>
    <row r="55" spans="1:15" ht="27" customHeight="1">
      <c r="A55" s="683" t="s">
        <v>2752</v>
      </c>
      <c r="B55" s="684" t="s">
        <v>2753</v>
      </c>
      <c r="C55" s="2707" t="s">
        <v>2754</v>
      </c>
      <c r="D55" s="2708" t="s">
        <v>2755</v>
      </c>
      <c r="E55" s="685" t="s">
        <v>2756</v>
      </c>
      <c r="F55" s="1109" t="s">
        <v>2757</v>
      </c>
      <c r="G55" s="3202" t="s">
        <v>2758</v>
      </c>
      <c r="H55" s="3279"/>
      <c r="I55" s="144" t="s">
        <v>2759</v>
      </c>
      <c r="J55" s="2709" t="str">
        <f>项目基本情况!F35</f>
        <v>山东省济南市</v>
      </c>
      <c r="K55" s="2710" t="s">
        <v>2760</v>
      </c>
      <c r="L55" s="1108"/>
      <c r="M55" s="1146"/>
      <c r="N55" s="1146"/>
      <c r="O55" s="1146"/>
    </row>
    <row r="56" spans="1:15" s="691" customFormat="1">
      <c r="A56" s="687" t="s">
        <v>2761</v>
      </c>
      <c r="B56" s="688" t="e">
        <f>C48</f>
        <v>#DIV/0!</v>
      </c>
      <c r="C56" s="689">
        <v>1</v>
      </c>
      <c r="D56" s="1165">
        <v>1</v>
      </c>
      <c r="E56" s="689">
        <f>'数据-汇总表'!E8+'数据-汇总表'!E9</f>
        <v>1380.28</v>
      </c>
      <c r="F56" s="1105" t="e">
        <f t="shared" ref="F56:F65" si="15">ROUND(B56*E56/10000,0)</f>
        <v>#DIV/0!</v>
      </c>
      <c r="G56" s="3201"/>
      <c r="H56" s="3224"/>
      <c r="I56" s="1110">
        <v>1</v>
      </c>
      <c r="J56" s="1113">
        <v>1</v>
      </c>
      <c r="K56" s="1147"/>
      <c r="L56" s="943"/>
      <c r="M56" s="943"/>
      <c r="N56" s="943"/>
      <c r="O56" s="943"/>
    </row>
    <row r="57" spans="1:15" s="691" customFormat="1">
      <c r="A57" s="692" t="s">
        <v>2762</v>
      </c>
      <c r="B57" s="262" t="e">
        <f>ROUND($C$48*C57*D57,0)</f>
        <v>#DIV/0!</v>
      </c>
      <c r="C57" s="200">
        <f t="shared" ref="C57:C65" si="16">IF($C$55="北京市系数",I57,J57)</f>
        <v>0</v>
      </c>
      <c r="D57" s="1166">
        <v>0.25</v>
      </c>
      <c r="E57" s="693"/>
      <c r="F57" s="1105" t="e">
        <f t="shared" si="15"/>
        <v>#DIV/0!</v>
      </c>
      <c r="G57" s="3280" t="s">
        <v>2763</v>
      </c>
      <c r="H57" s="1106">
        <f>项目基本情况!B37</f>
        <v>0</v>
      </c>
      <c r="I57" s="1110">
        <f>SUMIF(修正!A45:A56,H57,修正!B45:B56)</f>
        <v>0</v>
      </c>
      <c r="J57" s="1114"/>
      <c r="K57" s="1146"/>
      <c r="L57" s="943"/>
      <c r="M57" s="943"/>
      <c r="N57" s="943"/>
      <c r="O57" s="943"/>
    </row>
    <row r="58" spans="1:15" s="691" customFormat="1">
      <c r="A58" s="692" t="s">
        <v>2764</v>
      </c>
      <c r="B58" s="262" t="e">
        <f t="shared" ref="B58:B65" si="17">ROUND($C$48*C58*D58,0)</f>
        <v>#DIV/0!</v>
      </c>
      <c r="C58" s="200">
        <f t="shared" si="16"/>
        <v>0</v>
      </c>
      <c r="D58" s="1166">
        <v>0.25</v>
      </c>
      <c r="E58" s="693"/>
      <c r="F58" s="1105" t="e">
        <f t="shared" si="15"/>
        <v>#DIV/0!</v>
      </c>
      <c r="G58" s="3280"/>
      <c r="H58" s="1106">
        <f>项目基本情况!B37</f>
        <v>0</v>
      </c>
      <c r="I58" s="1110">
        <f>SUMIF(修正!A45:A56,H58,修正!C45:C56)</f>
        <v>0</v>
      </c>
      <c r="J58" s="1114"/>
      <c r="K58" s="1147"/>
      <c r="L58" s="943"/>
      <c r="M58" s="943"/>
      <c r="N58" s="943"/>
      <c r="O58" s="943"/>
    </row>
    <row r="59" spans="1:15" s="691" customFormat="1">
      <c r="A59" s="692" t="s">
        <v>2765</v>
      </c>
      <c r="B59" s="262" t="e">
        <f t="shared" si="17"/>
        <v>#DIV/0!</v>
      </c>
      <c r="C59" s="200">
        <f t="shared" si="16"/>
        <v>0</v>
      </c>
      <c r="D59" s="1166">
        <v>0.25</v>
      </c>
      <c r="E59" s="693"/>
      <c r="F59" s="1105" t="e">
        <f t="shared" si="15"/>
        <v>#DIV/0!</v>
      </c>
      <c r="G59" s="3280"/>
      <c r="H59" s="1106">
        <f>项目基本情况!B37</f>
        <v>0</v>
      </c>
      <c r="I59" s="1110">
        <f>SUMIF(修正!A45:A56,H59,修正!D45:D56)</f>
        <v>0</v>
      </c>
      <c r="J59" s="1114"/>
      <c r="K59" s="1146"/>
      <c r="L59" s="943"/>
      <c r="M59" s="943"/>
      <c r="N59" s="943"/>
      <c r="O59" s="943"/>
    </row>
    <row r="60" spans="1:15" s="691" customFormat="1">
      <c r="A60" s="692" t="s">
        <v>2766</v>
      </c>
      <c r="B60" s="262" t="e">
        <f t="shared" si="17"/>
        <v>#DIV/0!</v>
      </c>
      <c r="C60" s="200">
        <f t="shared" si="16"/>
        <v>0</v>
      </c>
      <c r="D60" s="1166">
        <v>0.25</v>
      </c>
      <c r="E60" s="693"/>
      <c r="F60" s="1105" t="e">
        <f t="shared" si="15"/>
        <v>#DIV/0!</v>
      </c>
      <c r="G60" s="3280"/>
      <c r="H60" s="1106">
        <f>项目基本情况!B37</f>
        <v>0</v>
      </c>
      <c r="I60" s="1110">
        <f>SUMIF(修正!A45:A56,H60,修正!E45:E56)</f>
        <v>0</v>
      </c>
      <c r="J60" s="1114"/>
      <c r="K60" s="1147"/>
      <c r="L60" s="943"/>
      <c r="M60" s="943"/>
      <c r="N60" s="943"/>
      <c r="O60" s="943"/>
    </row>
    <row r="61" spans="1:15" s="691" customFormat="1">
      <c r="A61" s="692" t="s">
        <v>2767</v>
      </c>
      <c r="B61" s="262" t="e">
        <f t="shared" si="17"/>
        <v>#DIV/0!</v>
      </c>
      <c r="C61" s="200">
        <f t="shared" si="16"/>
        <v>0</v>
      </c>
      <c r="D61" s="1166">
        <v>0.25</v>
      </c>
      <c r="E61" s="261">
        <f>'数据-汇总表'!E11</f>
        <v>0</v>
      </c>
      <c r="F61" s="1105" t="e">
        <f t="shared" si="15"/>
        <v>#DIV/0!</v>
      </c>
      <c r="G61" s="2711" t="s">
        <v>2768</v>
      </c>
      <c r="H61" s="1106">
        <f>项目基本情况!C37</f>
        <v>0</v>
      </c>
      <c r="I61" s="1110">
        <f>SUMIF(修正!A45:A56,H61,修正!F45:F56)</f>
        <v>0</v>
      </c>
      <c r="J61" s="1114"/>
      <c r="K61" s="1146"/>
      <c r="L61" s="943"/>
      <c r="M61" s="943"/>
      <c r="N61" s="943"/>
      <c r="O61" s="943"/>
    </row>
    <row r="62" spans="1:15" s="691" customFormat="1">
      <c r="A62" s="692" t="s">
        <v>2769</v>
      </c>
      <c r="B62" s="262" t="e">
        <f t="shared" si="17"/>
        <v>#DIV/0!</v>
      </c>
      <c r="C62" s="200">
        <f t="shared" si="16"/>
        <v>0</v>
      </c>
      <c r="D62" s="1166">
        <v>0.25</v>
      </c>
      <c r="E62" s="261">
        <f>'数据-汇总表'!E12</f>
        <v>0</v>
      </c>
      <c r="F62" s="1105" t="e">
        <f t="shared" si="15"/>
        <v>#DIV/0!</v>
      </c>
      <c r="G62" s="1111" t="s">
        <v>2770</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1" customFormat="1">
      <c r="A63" s="692" t="s">
        <v>2771</v>
      </c>
      <c r="B63" s="262" t="e">
        <f t="shared" si="17"/>
        <v>#DIV/0!</v>
      </c>
      <c r="C63" s="200">
        <f t="shared" si="16"/>
        <v>0</v>
      </c>
      <c r="D63" s="1166">
        <v>0.25</v>
      </c>
      <c r="E63" s="261">
        <f>'数据-汇总表'!E13</f>
        <v>0</v>
      </c>
      <c r="F63" s="1105" t="e">
        <f t="shared" si="15"/>
        <v>#DIV/0!</v>
      </c>
      <c r="G63" s="1111" t="s">
        <v>2772</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1" customFormat="1">
      <c r="A64" s="692" t="s">
        <v>2773</v>
      </c>
      <c r="B64" s="262" t="e">
        <f t="shared" si="17"/>
        <v>#DIV/0!</v>
      </c>
      <c r="C64" s="200">
        <f t="shared" si="16"/>
        <v>0</v>
      </c>
      <c r="D64" s="1166">
        <v>0.25</v>
      </c>
      <c r="E64" s="261">
        <f>'数据-汇总表'!E14</f>
        <v>0</v>
      </c>
      <c r="F64" s="1105" t="e">
        <f t="shared" si="15"/>
        <v>#DIV/0!</v>
      </c>
      <c r="G64" s="2711" t="s">
        <v>2763</v>
      </c>
      <c r="H64" s="1106">
        <f>项目基本情况!B37</f>
        <v>0</v>
      </c>
      <c r="I64" s="1110">
        <f>SUMIF(修正!A45:A56,H64,修正!H45:H56)</f>
        <v>0</v>
      </c>
      <c r="J64" s="1114"/>
      <c r="K64" s="1147"/>
      <c r="L64" s="943"/>
      <c r="M64" s="943"/>
      <c r="N64" s="943"/>
      <c r="O64" s="943"/>
    </row>
    <row r="65" spans="1:17" s="691" customFormat="1" ht="15" thickBot="1">
      <c r="A65" s="692" t="s">
        <v>2774</v>
      </c>
      <c r="B65" s="262" t="e">
        <f t="shared" si="17"/>
        <v>#DIV/0!</v>
      </c>
      <c r="C65" s="200">
        <f t="shared" si="16"/>
        <v>0</v>
      </c>
      <c r="D65" s="1166">
        <v>0.25</v>
      </c>
      <c r="E65" s="261">
        <f>'数据-汇总表'!E15</f>
        <v>0</v>
      </c>
      <c r="F65" s="1105" t="e">
        <f t="shared" si="15"/>
        <v>#DIV/0!</v>
      </c>
      <c r="G65" s="2712" t="s">
        <v>2768</v>
      </c>
      <c r="H65" s="1116">
        <f>项目基本情况!C37</f>
        <v>0</v>
      </c>
      <c r="I65" s="1112">
        <f>SUMIF(修正!A45:A56,H65,修正!H45:H56)</f>
        <v>0</v>
      </c>
      <c r="J65" s="1115"/>
      <c r="K65" s="1146"/>
      <c r="L65" s="943"/>
      <c r="M65" s="943"/>
      <c r="N65" s="943"/>
      <c r="O65" s="943"/>
    </row>
    <row r="66" spans="1:17" s="691" customFormat="1" ht="13.5" thickBot="1">
      <c r="A66" s="694" t="s">
        <v>2775</v>
      </c>
      <c r="B66" s="695" t="s">
        <v>28</v>
      </c>
      <c r="C66" s="695" t="s">
        <v>29</v>
      </c>
      <c r="D66" s="695" t="s">
        <v>1029</v>
      </c>
      <c r="E66" s="695">
        <f>IF(B46="楼面地价",SUM(E56:E65),'数据-汇总表'!D3)</f>
        <v>1380.28</v>
      </c>
      <c r="F66" s="696" t="e">
        <f>IF(B46="楼面地价",SUM(F56:F65),ROUND(C48*E66/10000,0))</f>
        <v>#DIV/0!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2018-8-1</v>
      </c>
      <c r="D68" s="760">
        <f>EDATE(C68,-3)</f>
        <v>43221</v>
      </c>
      <c r="E68" s="760">
        <f>EDATE(D68,-3)</f>
        <v>43132</v>
      </c>
      <c r="F68" s="760">
        <f t="shared" ref="F68:O68" si="18">EDATE(E68,-3)</f>
        <v>43040</v>
      </c>
      <c r="G68" s="760">
        <f t="shared" si="18"/>
        <v>42948</v>
      </c>
      <c r="H68" s="760">
        <f t="shared" si="18"/>
        <v>42856</v>
      </c>
      <c r="I68" s="760">
        <f t="shared" si="18"/>
        <v>42767</v>
      </c>
      <c r="J68" s="760">
        <f t="shared" si="18"/>
        <v>42675</v>
      </c>
      <c r="K68" s="760">
        <f t="shared" si="18"/>
        <v>42583</v>
      </c>
      <c r="L68" s="760">
        <f t="shared" si="18"/>
        <v>42491</v>
      </c>
      <c r="M68" s="760">
        <f t="shared" si="18"/>
        <v>42401</v>
      </c>
      <c r="N68" s="760">
        <f t="shared" si="18"/>
        <v>42309</v>
      </c>
      <c r="O68" s="760">
        <f t="shared" si="18"/>
        <v>42217</v>
      </c>
    </row>
    <row r="69" spans="1:17" ht="21.75" thickBot="1">
      <c r="A69" s="762" t="s">
        <v>2668</v>
      </c>
      <c r="B69" s="758"/>
      <c r="C69" s="763"/>
      <c r="D69" s="763"/>
      <c r="E69" s="763"/>
      <c r="F69" s="764"/>
      <c r="G69" s="764"/>
      <c r="H69" s="763"/>
      <c r="I69" s="763"/>
      <c r="J69" s="1161"/>
      <c r="K69" s="1162"/>
      <c r="L69" s="1163"/>
      <c r="M69" s="1161"/>
      <c r="N69" s="1161"/>
      <c r="O69" s="1161"/>
      <c r="P69" s="503"/>
      <c r="Q69" s="504"/>
    </row>
    <row r="70" spans="1:17" s="508" customFormat="1" ht="15">
      <c r="A70" s="2713" t="s">
        <v>2776</v>
      </c>
      <c r="B70" s="1361"/>
      <c r="C70" s="1574" t="str">
        <f>YEAR(C68)&amp;"-"&amp;ROUNDUP(MONTH(C68)/3,0)</f>
        <v>2018-3</v>
      </c>
      <c r="D70" s="1574" t="str">
        <f>YEAR(D68)&amp;"-"&amp;ROUNDUP(MONTH(D68)/3,0)</f>
        <v>2018-2</v>
      </c>
      <c r="E70" s="1574" t="str">
        <f t="shared" ref="E70:O70" si="19">YEAR(E68)&amp;"-"&amp;ROUNDUP(MONTH(E68)/3,0)</f>
        <v>2018-1</v>
      </c>
      <c r="F70" s="1574" t="str">
        <f t="shared" si="19"/>
        <v>2017-4</v>
      </c>
      <c r="G70" s="1574" t="str">
        <f t="shared" si="19"/>
        <v>2017-3</v>
      </c>
      <c r="H70" s="1574" t="str">
        <f t="shared" si="19"/>
        <v>2017-2</v>
      </c>
      <c r="I70" s="1574" t="str">
        <f t="shared" si="19"/>
        <v>2017-1</v>
      </c>
      <c r="J70" s="1574" t="str">
        <f t="shared" si="19"/>
        <v>2016-4</v>
      </c>
      <c r="K70" s="1574" t="str">
        <f t="shared" si="19"/>
        <v>2016-3</v>
      </c>
      <c r="L70" s="1574" t="str">
        <f t="shared" si="19"/>
        <v>2016-2</v>
      </c>
      <c r="M70" s="1574" t="str">
        <f t="shared" si="19"/>
        <v>2016-1</v>
      </c>
      <c r="N70" s="1574" t="str">
        <f t="shared" si="19"/>
        <v>2015-4</v>
      </c>
      <c r="O70" s="1574" t="str">
        <f t="shared" si="19"/>
        <v>2015-3</v>
      </c>
      <c r="P70" s="507"/>
    </row>
    <row r="71" spans="1:17" s="117" customFormat="1" ht="30" customHeight="1">
      <c r="A71" s="2714" t="s">
        <v>2777</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69"/>
      <c r="N71" s="595"/>
      <c r="O71" s="1570"/>
      <c r="P71" s="504"/>
    </row>
    <row r="72" spans="1:17" s="117" customFormat="1" ht="15.75" thickBot="1">
      <c r="A72" s="515" t="s">
        <v>2579</v>
      </c>
      <c r="B72" s="516"/>
      <c r="C72" s="517"/>
      <c r="D72" s="518"/>
      <c r="E72" s="518"/>
      <c r="F72" s="518"/>
      <c r="G72" s="518"/>
      <c r="H72" s="518"/>
      <c r="I72" s="518"/>
      <c r="J72" s="518"/>
      <c r="K72" s="518"/>
      <c r="L72" s="518"/>
      <c r="M72" s="519"/>
      <c r="N72" s="518"/>
      <c r="O72" s="1164"/>
      <c r="P72" s="504"/>
      <c r="Q72" s="504"/>
    </row>
    <row r="73" spans="1:17" s="117" customFormat="1" ht="15">
      <c r="A73" s="521" t="s">
        <v>2544</v>
      </c>
      <c r="B73" s="510"/>
      <c r="C73" s="522" t="s">
        <v>2646</v>
      </c>
      <c r="D73" s="523"/>
      <c r="E73" s="523"/>
      <c r="F73" s="523"/>
      <c r="G73" s="523"/>
      <c r="H73" s="523"/>
      <c r="I73" s="523"/>
      <c r="J73" s="523"/>
      <c r="K73" s="523"/>
      <c r="L73" s="524"/>
      <c r="M73" s="525"/>
      <c r="N73" s="1153"/>
      <c r="O73" s="1153"/>
      <c r="P73" s="526"/>
      <c r="Q73" s="504"/>
    </row>
    <row r="74" spans="1:17" s="117" customFormat="1" ht="15.75" thickBot="1">
      <c r="A74" s="521"/>
      <c r="B74" s="510"/>
      <c r="C74" s="638">
        <v>100</v>
      </c>
      <c r="D74" s="512"/>
      <c r="E74" s="512"/>
      <c r="F74" s="512"/>
      <c r="G74" s="512"/>
      <c r="H74" s="512"/>
      <c r="I74" s="512"/>
      <c r="J74" s="512"/>
      <c r="K74" s="512"/>
      <c r="L74" s="512"/>
      <c r="M74" s="514"/>
      <c r="N74" s="1153"/>
      <c r="O74" s="1153"/>
      <c r="P74" s="504"/>
      <c r="Q74" s="504"/>
    </row>
    <row r="75" spans="1:17">
      <c r="A75" s="527" t="s">
        <v>2582</v>
      </c>
      <c r="B75" s="528" t="s">
        <v>2548</v>
      </c>
      <c r="C75" s="530"/>
      <c r="D75" s="530"/>
      <c r="E75" s="530"/>
      <c r="F75" s="530"/>
      <c r="G75" s="530"/>
      <c r="H75" s="530"/>
      <c r="I75" s="530"/>
      <c r="J75" s="530"/>
      <c r="K75" s="531"/>
      <c r="L75" s="532"/>
      <c r="M75" s="533"/>
      <c r="N75" s="1154"/>
      <c r="O75" s="1154"/>
      <c r="P75" s="45"/>
      <c r="Q75" s="504"/>
    </row>
    <row r="76" spans="1:17" ht="15.75" thickBot="1">
      <c r="A76" s="534"/>
      <c r="B76" s="535"/>
      <c r="C76" s="536"/>
      <c r="D76" s="536"/>
      <c r="E76" s="536"/>
      <c r="F76" s="536"/>
      <c r="G76" s="536"/>
      <c r="H76" s="536"/>
      <c r="I76" s="536"/>
      <c r="J76" s="536"/>
      <c r="K76" s="536"/>
      <c r="L76" s="536"/>
      <c r="M76" s="537"/>
      <c r="N76" s="1155"/>
      <c r="O76" s="1155"/>
      <c r="P76" s="45"/>
      <c r="Q76" s="504"/>
    </row>
    <row r="77" spans="1:17" ht="27.75" thickTop="1">
      <c r="A77" s="534"/>
      <c r="B77" s="538" t="s">
        <v>2551</v>
      </c>
      <c r="C77" s="539"/>
      <c r="D77" s="539"/>
      <c r="E77" s="539"/>
      <c r="F77" s="539"/>
      <c r="G77" s="539"/>
      <c r="H77" s="539"/>
      <c r="I77" s="539"/>
      <c r="J77" s="539"/>
      <c r="K77" s="540"/>
      <c r="L77" s="541"/>
      <c r="M77" s="542"/>
      <c r="N77" s="1154"/>
      <c r="O77" s="1154"/>
      <c r="P77" s="45"/>
      <c r="Q77" s="504"/>
    </row>
    <row r="78" spans="1:17" ht="15.75" thickBot="1">
      <c r="A78" s="534"/>
      <c r="B78" s="543"/>
      <c r="C78" s="544"/>
      <c r="D78" s="544"/>
      <c r="E78" s="544"/>
      <c r="F78" s="544"/>
      <c r="G78" s="544"/>
      <c r="H78" s="544"/>
      <c r="I78" s="544"/>
      <c r="J78" s="544"/>
      <c r="K78" s="544"/>
      <c r="L78" s="544"/>
      <c r="M78" s="545"/>
      <c r="N78" s="1155"/>
      <c r="O78" s="1155"/>
      <c r="P78" s="45"/>
      <c r="Q78" s="504"/>
    </row>
    <row r="79" spans="1:17" ht="15.75" thickTop="1">
      <c r="A79" s="534"/>
      <c r="B79" s="546" t="s">
        <v>2552</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5"/>
      <c r="O79" s="1155"/>
      <c r="P79" s="45"/>
      <c r="Q79" s="504"/>
    </row>
    <row r="80" spans="1:17" ht="15">
      <c r="A80" s="534"/>
      <c r="B80" s="548"/>
      <c r="C80" s="549"/>
      <c r="D80" s="549"/>
      <c r="E80" s="549"/>
      <c r="F80" s="549"/>
      <c r="G80" s="549"/>
      <c r="H80" s="549"/>
      <c r="I80" s="549"/>
      <c r="J80" s="549"/>
      <c r="K80" s="550"/>
      <c r="L80" s="551"/>
      <c r="M80" s="552"/>
      <c r="N80" s="1154"/>
      <c r="O80" s="1154"/>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5"/>
      <c r="O81" s="1155"/>
      <c r="P81" s="45"/>
      <c r="Q81" s="504"/>
    </row>
    <row r="82" spans="1:17" s="471" customFormat="1" ht="15.75" thickTop="1">
      <c r="A82" s="553"/>
      <c r="B82" s="538" t="str">
        <f>B12</f>
        <v>配建</v>
      </c>
      <c r="C82" s="554"/>
      <c r="D82" s="554"/>
      <c r="E82" s="554"/>
      <c r="F82" s="554"/>
      <c r="G82" s="554"/>
      <c r="H82" s="555"/>
      <c r="I82" s="555"/>
      <c r="J82" s="555"/>
      <c r="K82" s="555"/>
      <c r="L82" s="556"/>
      <c r="M82" s="557"/>
      <c r="N82" s="1156"/>
      <c r="O82" s="1156"/>
      <c r="P82" s="558"/>
      <c r="Q82" s="559"/>
    </row>
    <row r="83" spans="1:17" s="471" customFormat="1" ht="15.75" thickBot="1">
      <c r="A83" s="553"/>
      <c r="B83" s="543"/>
      <c r="C83" s="560"/>
      <c r="D83" s="536"/>
      <c r="E83" s="536"/>
      <c r="F83" s="536"/>
      <c r="G83" s="536"/>
      <c r="H83" s="536"/>
      <c r="I83" s="536"/>
      <c r="J83" s="536"/>
      <c r="K83" s="536"/>
      <c r="L83" s="536"/>
      <c r="M83" s="537"/>
      <c r="N83" s="1155"/>
      <c r="O83" s="1155"/>
      <c r="P83" s="558"/>
      <c r="Q83" s="559"/>
    </row>
    <row r="84" spans="1:17" s="471" customFormat="1" ht="15.75" thickTop="1">
      <c r="A84" s="553"/>
      <c r="B84" s="538">
        <f>B13</f>
        <v>111</v>
      </c>
      <c r="C84" s="554"/>
      <c r="D84" s="554"/>
      <c r="E84" s="554"/>
      <c r="F84" s="554"/>
      <c r="G84" s="554"/>
      <c r="H84" s="555"/>
      <c r="I84" s="555"/>
      <c r="J84" s="555"/>
      <c r="K84" s="555"/>
      <c r="L84" s="556"/>
      <c r="M84" s="557"/>
      <c r="N84" s="1156"/>
      <c r="O84" s="1156"/>
      <c r="P84" s="470"/>
      <c r="Q84" s="561"/>
    </row>
    <row r="85" spans="1:17" s="471" customFormat="1" ht="15.75" thickBot="1">
      <c r="A85" s="553"/>
      <c r="B85" s="543"/>
      <c r="C85" s="560"/>
      <c r="D85" s="560"/>
      <c r="E85" s="560"/>
      <c r="F85" s="560"/>
      <c r="G85" s="560"/>
      <c r="H85" s="562"/>
      <c r="I85" s="562"/>
      <c r="J85" s="562"/>
      <c r="K85" s="562"/>
      <c r="L85" s="562"/>
      <c r="M85" s="563"/>
      <c r="N85" s="1156"/>
      <c r="O85" s="1156"/>
      <c r="P85" s="558"/>
      <c r="Q85" s="559"/>
    </row>
    <row r="86" spans="1:17" s="471" customFormat="1" ht="15.75" thickTop="1">
      <c r="A86" s="553"/>
      <c r="B86" s="546">
        <f>B14</f>
        <v>111</v>
      </c>
      <c r="C86" s="523"/>
      <c r="D86" s="523"/>
      <c r="E86" s="523"/>
      <c r="F86" s="523"/>
      <c r="G86" s="523"/>
      <c r="H86" s="564"/>
      <c r="I86" s="564"/>
      <c r="J86" s="564"/>
      <c r="K86" s="564"/>
      <c r="L86" s="565"/>
      <c r="M86" s="566"/>
      <c r="N86" s="1156"/>
      <c r="O86" s="1156"/>
      <c r="P86" s="567"/>
      <c r="Q86" s="559"/>
    </row>
    <row r="87" spans="1:17" s="471" customFormat="1" ht="15.75" thickBot="1">
      <c r="A87" s="568"/>
      <c r="B87" s="569"/>
      <c r="C87" s="570"/>
      <c r="D87" s="570"/>
      <c r="E87" s="570"/>
      <c r="F87" s="570"/>
      <c r="G87" s="570"/>
      <c r="H87" s="571"/>
      <c r="I87" s="571"/>
      <c r="J87" s="571"/>
      <c r="K87" s="571"/>
      <c r="L87" s="571"/>
      <c r="M87" s="572"/>
      <c r="N87" s="1156"/>
      <c r="O87" s="1156"/>
      <c r="P87" s="558"/>
      <c r="Q87" s="559"/>
    </row>
    <row r="88" spans="1:17">
      <c r="A88" s="527" t="s">
        <v>2553</v>
      </c>
      <c r="B88" s="528" t="s">
        <v>2590</v>
      </c>
      <c r="C88" s="573" t="s">
        <v>2591</v>
      </c>
      <c r="D88" s="573" t="s">
        <v>2592</v>
      </c>
      <c r="E88" s="573" t="s">
        <v>2593</v>
      </c>
      <c r="F88" s="573" t="s">
        <v>2594</v>
      </c>
      <c r="G88" s="573" t="s">
        <v>2595</v>
      </c>
      <c r="H88" s="529"/>
      <c r="I88" s="529"/>
      <c r="J88" s="529"/>
      <c r="K88" s="574"/>
      <c r="L88" s="575"/>
      <c r="M88" s="576"/>
      <c r="N88" s="1154"/>
      <c r="O88" s="1154"/>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5"/>
      <c r="O89" s="1155"/>
      <c r="P89" s="45"/>
      <c r="Q89" s="504"/>
    </row>
    <row r="90" spans="1:17" ht="15.75" thickTop="1">
      <c r="A90" s="534"/>
      <c r="B90" s="538" t="s">
        <v>2778</v>
      </c>
      <c r="C90" s="578" t="s">
        <v>2591</v>
      </c>
      <c r="D90" s="578" t="s">
        <v>2592</v>
      </c>
      <c r="E90" s="578" t="s">
        <v>2593</v>
      </c>
      <c r="F90" s="578" t="s">
        <v>2594</v>
      </c>
      <c r="G90" s="578" t="s">
        <v>2595</v>
      </c>
      <c r="H90" s="539"/>
      <c r="I90" s="539"/>
      <c r="J90" s="539"/>
      <c r="K90" s="540"/>
      <c r="L90" s="541"/>
      <c r="M90" s="542"/>
      <c r="N90" s="1154"/>
      <c r="O90" s="1154"/>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5"/>
      <c r="O91" s="1155"/>
      <c r="P91" s="45"/>
      <c r="Q91" s="504"/>
    </row>
    <row r="92" spans="1:17" ht="15.75" thickTop="1">
      <c r="A92" s="534"/>
      <c r="B92" s="538" t="s">
        <v>2691</v>
      </c>
      <c r="C92" s="578" t="s">
        <v>2591</v>
      </c>
      <c r="D92" s="578" t="s">
        <v>2592</v>
      </c>
      <c r="E92" s="578" t="s">
        <v>2593</v>
      </c>
      <c r="F92" s="578" t="s">
        <v>2594</v>
      </c>
      <c r="G92" s="578" t="s">
        <v>2595</v>
      </c>
      <c r="H92" s="539"/>
      <c r="I92" s="539"/>
      <c r="J92" s="539"/>
      <c r="K92" s="540"/>
      <c r="L92" s="541"/>
      <c r="M92" s="542"/>
      <c r="N92" s="1154"/>
      <c r="O92" s="1154"/>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5"/>
      <c r="O93" s="1155"/>
      <c r="P93" s="45"/>
      <c r="Q93" s="504"/>
    </row>
    <row r="94" spans="1:17" ht="15.75" thickTop="1">
      <c r="A94" s="534"/>
      <c r="B94" s="538" t="s">
        <v>2596</v>
      </c>
      <c r="C94" s="578" t="s">
        <v>2591</v>
      </c>
      <c r="D94" s="578" t="s">
        <v>2592</v>
      </c>
      <c r="E94" s="578" t="s">
        <v>2593</v>
      </c>
      <c r="F94" s="578" t="s">
        <v>2594</v>
      </c>
      <c r="G94" s="578" t="s">
        <v>2595</v>
      </c>
      <c r="H94" s="539"/>
      <c r="I94" s="539"/>
      <c r="J94" s="539"/>
      <c r="K94" s="540"/>
      <c r="L94" s="541"/>
      <c r="M94" s="542"/>
      <c r="N94" s="1154"/>
      <c r="O94" s="1154"/>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5"/>
      <c r="O95" s="1155"/>
      <c r="P95" s="45"/>
      <c r="Q95" s="504"/>
    </row>
    <row r="96" spans="1:17" s="117" customFormat="1" ht="15.75" thickTop="1">
      <c r="A96" s="579"/>
      <c r="B96" s="538" t="s">
        <v>2779</v>
      </c>
      <c r="C96" s="578" t="s">
        <v>2591</v>
      </c>
      <c r="D96" s="578" t="s">
        <v>2592</v>
      </c>
      <c r="E96" s="578" t="s">
        <v>2593</v>
      </c>
      <c r="F96" s="578" t="s">
        <v>2594</v>
      </c>
      <c r="G96" s="578" t="s">
        <v>2595</v>
      </c>
      <c r="H96" s="578"/>
      <c r="I96" s="578"/>
      <c r="J96" s="578"/>
      <c r="K96" s="578"/>
      <c r="L96" s="697"/>
      <c r="M96" s="621"/>
      <c r="N96" s="1153"/>
      <c r="O96" s="1153"/>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5"/>
      <c r="O97" s="1155"/>
      <c r="P97" s="45"/>
      <c r="Q97" s="504"/>
    </row>
    <row r="98" spans="1:17" s="117" customFormat="1" ht="27.75" thickTop="1">
      <c r="A98" s="579"/>
      <c r="B98" s="538" t="s">
        <v>2780</v>
      </c>
      <c r="C98" s="573" t="s">
        <v>2591</v>
      </c>
      <c r="D98" s="573" t="s">
        <v>2592</v>
      </c>
      <c r="E98" s="573" t="s">
        <v>2593</v>
      </c>
      <c r="F98" s="573" t="s">
        <v>2594</v>
      </c>
      <c r="G98" s="573" t="s">
        <v>2595</v>
      </c>
      <c r="H98" s="578"/>
      <c r="I98" s="578"/>
      <c r="J98" s="578"/>
      <c r="K98" s="578"/>
      <c r="L98" s="578"/>
      <c r="M98" s="621"/>
      <c r="N98" s="1153"/>
      <c r="O98" s="1153"/>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5"/>
      <c r="O99" s="1155"/>
      <c r="P99" s="45"/>
      <c r="Q99" s="504"/>
    </row>
    <row r="100" spans="1:17" s="471" customFormat="1" ht="15.75" thickTop="1">
      <c r="A100" s="553"/>
      <c r="B100" s="538" t="s">
        <v>2648</v>
      </c>
      <c r="C100" s="573" t="s">
        <v>2591</v>
      </c>
      <c r="D100" s="573" t="s">
        <v>2592</v>
      </c>
      <c r="E100" s="573" t="s">
        <v>2593</v>
      </c>
      <c r="F100" s="573" t="s">
        <v>2594</v>
      </c>
      <c r="G100" s="573" t="s">
        <v>2595</v>
      </c>
      <c r="H100" s="600"/>
      <c r="I100" s="600"/>
      <c r="J100" s="600"/>
      <c r="K100" s="600"/>
      <c r="L100" s="601"/>
      <c r="M100" s="602"/>
      <c r="N100" s="1156"/>
      <c r="O100" s="1156"/>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6"/>
      <c r="O101" s="1156"/>
      <c r="P101" s="558"/>
      <c r="Q101" s="559"/>
    </row>
    <row r="102" spans="1:17" s="471" customFormat="1" ht="15.75" thickTop="1">
      <c r="A102" s="553"/>
      <c r="B102" s="546" t="s">
        <v>2649</v>
      </c>
      <c r="C102" s="659" t="s">
        <v>2669</v>
      </c>
      <c r="D102" s="659" t="s">
        <v>2670</v>
      </c>
      <c r="E102" s="659" t="s">
        <v>2671</v>
      </c>
      <c r="F102" s="659" t="s">
        <v>2672</v>
      </c>
      <c r="G102" s="659" t="s">
        <v>2673</v>
      </c>
      <c r="H102" s="600"/>
      <c r="I102" s="600"/>
      <c r="J102" s="600"/>
      <c r="K102" s="600"/>
      <c r="L102" s="600"/>
      <c r="M102" s="1387"/>
      <c r="N102" s="1156"/>
      <c r="O102" s="1156"/>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7"/>
      <c r="N103" s="1156"/>
      <c r="O103" s="1156"/>
      <c r="P103" s="558"/>
      <c r="Q103" s="559"/>
    </row>
    <row r="104" spans="1:17" ht="15.75" thickTop="1">
      <c r="A104" s="534"/>
      <c r="B104" s="538" t="str">
        <f>B31</f>
        <v>临街状况</v>
      </c>
      <c r="C104" s="539" t="s">
        <v>2781</v>
      </c>
      <c r="D104" s="539" t="s">
        <v>2782</v>
      </c>
      <c r="E104" s="539" t="s">
        <v>2783</v>
      </c>
      <c r="F104" s="539" t="s">
        <v>2784</v>
      </c>
      <c r="G104" s="539"/>
      <c r="H104" s="539"/>
      <c r="I104" s="539"/>
      <c r="J104" s="539"/>
      <c r="K104" s="540"/>
      <c r="L104" s="541"/>
      <c r="M104" s="542"/>
      <c r="N104" s="1154"/>
      <c r="O104" s="1154"/>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5"/>
      <c r="O105" s="1155"/>
      <c r="P105" s="45"/>
      <c r="Q105" s="504"/>
    </row>
    <row r="106" spans="1:17" ht="27.75" thickTop="1">
      <c r="A106" s="534"/>
      <c r="B106" s="538" t="s">
        <v>2685</v>
      </c>
      <c r="C106" s="554"/>
      <c r="D106" s="554"/>
      <c r="E106" s="554"/>
      <c r="F106" s="554"/>
      <c r="G106" s="554"/>
      <c r="H106" s="583"/>
      <c r="I106" s="583"/>
      <c r="J106" s="583"/>
      <c r="K106" s="584"/>
      <c r="L106" s="585"/>
      <c r="M106" s="586"/>
      <c r="N106" s="1154"/>
      <c r="O106" s="1154"/>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5"/>
      <c r="O107" s="1155"/>
      <c r="P107" s="45"/>
      <c r="Q107" s="504"/>
    </row>
    <row r="108" spans="1:17" ht="15.75" thickTop="1">
      <c r="A108" s="534"/>
      <c r="B108" s="538" t="s">
        <v>2744</v>
      </c>
      <c r="C108" s="583"/>
      <c r="D108" s="583"/>
      <c r="E108" s="583"/>
      <c r="F108" s="583"/>
      <c r="G108" s="583"/>
      <c r="H108" s="583"/>
      <c r="I108" s="583"/>
      <c r="J108" s="583"/>
      <c r="K108" s="584"/>
      <c r="L108" s="585"/>
      <c r="M108" s="586"/>
      <c r="N108" s="1154"/>
      <c r="O108" s="1154"/>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5"/>
      <c r="O109" s="1155"/>
      <c r="P109" s="45"/>
      <c r="Q109" s="504"/>
    </row>
    <row r="110" spans="1:17" ht="15.75" thickTop="1">
      <c r="A110" s="534"/>
      <c r="B110" s="546">
        <f>B35</f>
        <v>111</v>
      </c>
      <c r="C110" s="554"/>
      <c r="D110" s="554"/>
      <c r="E110" s="554"/>
      <c r="F110" s="554"/>
      <c r="G110" s="587"/>
      <c r="H110" s="587"/>
      <c r="I110" s="587"/>
      <c r="J110" s="587"/>
      <c r="K110" s="588"/>
      <c r="L110" s="589"/>
      <c r="M110" s="590"/>
      <c r="N110" s="1154"/>
      <c r="O110" s="1154"/>
      <c r="P110" s="45"/>
      <c r="Q110" s="504"/>
    </row>
    <row r="111" spans="1:17" ht="15.75" thickBot="1">
      <c r="A111" s="534"/>
      <c r="B111" s="569"/>
      <c r="C111" s="560"/>
      <c r="D111" s="560"/>
      <c r="E111" s="560"/>
      <c r="F111" s="560"/>
      <c r="G111" s="591"/>
      <c r="H111" s="591"/>
      <c r="I111" s="591"/>
      <c r="J111" s="591"/>
      <c r="K111" s="591"/>
      <c r="L111" s="591"/>
      <c r="M111" s="592"/>
      <c r="N111" s="1155"/>
      <c r="O111" s="1155"/>
      <c r="P111" s="45"/>
      <c r="Q111" s="504"/>
    </row>
    <row r="112" spans="1:17" ht="15" thickTop="1">
      <c r="A112" s="674"/>
      <c r="B112" s="538">
        <f>B36</f>
        <v>111</v>
      </c>
      <c r="C112" s="523"/>
      <c r="D112" s="523"/>
      <c r="E112" s="523"/>
      <c r="F112" s="523"/>
      <c r="G112" s="583"/>
      <c r="H112" s="583"/>
      <c r="I112" s="583"/>
      <c r="J112" s="583"/>
      <c r="K112" s="584"/>
      <c r="L112" s="585"/>
      <c r="M112" s="586"/>
      <c r="N112" s="1154"/>
      <c r="O112" s="1154"/>
      <c r="P112" s="45"/>
      <c r="Q112" s="504"/>
    </row>
    <row r="113" spans="1:17" ht="15.75" thickBot="1">
      <c r="A113" s="534"/>
      <c r="B113" s="543"/>
      <c r="C113" s="570"/>
      <c r="D113" s="570"/>
      <c r="E113" s="570"/>
      <c r="F113" s="570"/>
      <c r="G113" s="536"/>
      <c r="H113" s="536"/>
      <c r="I113" s="536"/>
      <c r="J113" s="536"/>
      <c r="K113" s="536"/>
      <c r="L113" s="536"/>
      <c r="M113" s="537"/>
      <c r="N113" s="1155"/>
      <c r="O113" s="1155"/>
      <c r="P113" s="45"/>
      <c r="Q113" s="504"/>
    </row>
    <row r="114" spans="1:17" s="471" customFormat="1" ht="15" thickTop="1">
      <c r="A114" s="593"/>
      <c r="B114" s="594">
        <f>B37</f>
        <v>111</v>
      </c>
      <c r="C114" s="595"/>
      <c r="D114" s="595"/>
      <c r="E114" s="595"/>
      <c r="F114" s="595"/>
      <c r="G114" s="595"/>
      <c r="H114" s="595"/>
      <c r="I114" s="595"/>
      <c r="J114" s="596"/>
      <c r="K114" s="596"/>
      <c r="L114" s="597"/>
      <c r="M114" s="598"/>
      <c r="N114" s="1156"/>
      <c r="O114" s="1156"/>
      <c r="P114" s="558"/>
      <c r="Q114" s="559"/>
    </row>
    <row r="115" spans="1:17" s="471" customFormat="1" ht="15.75" thickBot="1">
      <c r="A115" s="553"/>
      <c r="B115" s="546"/>
      <c r="C115" s="512"/>
      <c r="D115" s="676"/>
      <c r="E115" s="676"/>
      <c r="F115" s="676"/>
      <c r="G115" s="676"/>
      <c r="H115" s="676"/>
      <c r="I115" s="676"/>
      <c r="J115" s="676"/>
      <c r="K115" s="676"/>
      <c r="L115" s="676"/>
      <c r="M115" s="698"/>
      <c r="N115" s="1155"/>
      <c r="O115" s="1155"/>
      <c r="P115" s="558"/>
      <c r="Q115" s="559"/>
    </row>
    <row r="116" spans="1:17">
      <c r="A116" s="527" t="s">
        <v>2557</v>
      </c>
      <c r="B116" s="528" t="s">
        <v>2785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4"/>
      <c r="O116" s="1154"/>
      <c r="P116" s="45"/>
      <c r="Q116" s="504"/>
    </row>
    <row r="117" spans="1:17" ht="15">
      <c r="A117" s="534"/>
      <c r="B117" s="546"/>
      <c r="C117" s="595"/>
      <c r="D117" s="595"/>
      <c r="E117" s="595"/>
      <c r="F117" s="595"/>
      <c r="G117" s="595"/>
      <c r="H117" s="595"/>
      <c r="I117" s="595"/>
      <c r="J117" s="596"/>
      <c r="K117" s="596"/>
      <c r="L117" s="597"/>
      <c r="M117" s="598"/>
      <c r="N117" s="1154"/>
      <c r="O117" s="1154"/>
      <c r="P117" s="45"/>
      <c r="Q117" s="504"/>
    </row>
    <row r="118" spans="1:17" ht="15.75" thickBot="1">
      <c r="A118" s="534"/>
      <c r="B118" s="543"/>
      <c r="C118" s="570"/>
      <c r="D118" s="591"/>
      <c r="E118" s="591"/>
      <c r="F118" s="591"/>
      <c r="G118" s="591"/>
      <c r="H118" s="591"/>
      <c r="I118" s="591"/>
      <c r="J118" s="591"/>
      <c r="K118" s="591"/>
      <c r="L118" s="591"/>
      <c r="M118" s="592"/>
      <c r="N118" s="1155"/>
      <c r="O118" s="1155"/>
      <c r="P118" s="45"/>
      <c r="Q118" s="504"/>
    </row>
    <row r="119" spans="1:17" ht="15" thickTop="1">
      <c r="A119" s="599"/>
      <c r="B119" s="538" t="s">
        <v>2786</v>
      </c>
      <c r="C119" s="583"/>
      <c r="D119" s="583"/>
      <c r="E119" s="583"/>
      <c r="F119" s="583"/>
      <c r="G119" s="583"/>
      <c r="H119" s="583"/>
      <c r="I119" s="583"/>
      <c r="J119" s="583"/>
      <c r="K119" s="584"/>
      <c r="L119" s="585"/>
      <c r="M119" s="586"/>
      <c r="N119" s="1154"/>
      <c r="O119" s="1154"/>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5"/>
      <c r="O120" s="1155"/>
      <c r="P120" s="45"/>
      <c r="Q120" s="504"/>
    </row>
    <row r="121" spans="1:17" ht="15" thickTop="1">
      <c r="A121" s="599"/>
      <c r="B121" s="538" t="s">
        <v>2787</v>
      </c>
      <c r="C121" s="554"/>
      <c r="D121" s="554"/>
      <c r="E121" s="554"/>
      <c r="F121" s="583"/>
      <c r="G121" s="583"/>
      <c r="H121" s="583"/>
      <c r="I121" s="583"/>
      <c r="J121" s="583"/>
      <c r="K121" s="584"/>
      <c r="L121" s="585"/>
      <c r="M121" s="586"/>
      <c r="N121" s="1154"/>
      <c r="O121" s="1154"/>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5"/>
      <c r="O122" s="1155"/>
      <c r="P122" s="45"/>
      <c r="Q122" s="504"/>
    </row>
    <row r="123" spans="1:17" s="471" customFormat="1" ht="15" thickTop="1">
      <c r="A123" s="593"/>
      <c r="B123" s="538" t="s">
        <v>2788</v>
      </c>
      <c r="C123" s="554"/>
      <c r="D123" s="554"/>
      <c r="E123" s="554"/>
      <c r="F123" s="554"/>
      <c r="G123" s="554"/>
      <c r="H123" s="583"/>
      <c r="I123" s="583"/>
      <c r="J123" s="583"/>
      <c r="K123" s="584"/>
      <c r="L123" s="585"/>
      <c r="M123" s="586"/>
      <c r="N123" s="1156"/>
      <c r="O123" s="1156"/>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6"/>
      <c r="O124" s="1156"/>
      <c r="P124" s="558"/>
      <c r="Q124" s="559"/>
    </row>
    <row r="125" spans="1:17" ht="15" thickTop="1">
      <c r="A125" s="599"/>
      <c r="B125" s="538" t="s">
        <v>2789</v>
      </c>
      <c r="C125" s="554"/>
      <c r="D125" s="554"/>
      <c r="E125" s="583"/>
      <c r="F125" s="583"/>
      <c r="G125" s="583"/>
      <c r="H125" s="583"/>
      <c r="I125" s="583"/>
      <c r="J125" s="583"/>
      <c r="K125" s="584"/>
      <c r="L125" s="585"/>
      <c r="M125" s="586"/>
      <c r="N125" s="1154"/>
      <c r="O125" s="1154"/>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5"/>
      <c r="O126" s="1155"/>
      <c r="P126" s="45"/>
      <c r="Q126" s="504"/>
    </row>
    <row r="127" spans="1:17" ht="15" thickTop="1">
      <c r="A127" s="599"/>
      <c r="B127" s="538">
        <f>B43</f>
        <v>111</v>
      </c>
      <c r="C127" s="554"/>
      <c r="D127" s="554"/>
      <c r="E127" s="554"/>
      <c r="F127" s="554"/>
      <c r="G127" s="554"/>
      <c r="H127" s="583"/>
      <c r="I127" s="583"/>
      <c r="J127" s="583"/>
      <c r="K127" s="584"/>
      <c r="L127" s="585"/>
      <c r="M127" s="586"/>
      <c r="N127" s="1154"/>
      <c r="O127" s="1154"/>
      <c r="P127" s="45"/>
      <c r="Q127" s="504"/>
    </row>
    <row r="128" spans="1:17" ht="15.75" thickBot="1">
      <c r="A128" s="534"/>
      <c r="B128" s="543"/>
      <c r="C128" s="560"/>
      <c r="D128" s="560"/>
      <c r="E128" s="560"/>
      <c r="F128" s="560"/>
      <c r="G128" s="536"/>
      <c r="H128" s="536"/>
      <c r="I128" s="536"/>
      <c r="J128" s="536"/>
      <c r="K128" s="536"/>
      <c r="L128" s="536"/>
      <c r="M128" s="537"/>
      <c r="N128" s="1155"/>
      <c r="O128" s="1155"/>
      <c r="P128" s="45"/>
      <c r="Q128" s="504"/>
    </row>
    <row r="129" spans="1:17" ht="15" thickTop="1">
      <c r="A129" s="599"/>
      <c r="B129" s="538">
        <f>B44</f>
        <v>111</v>
      </c>
      <c r="C129" s="523"/>
      <c r="D129" s="523"/>
      <c r="E129" s="523"/>
      <c r="F129" s="523"/>
      <c r="G129" s="583"/>
      <c r="H129" s="583"/>
      <c r="I129" s="583"/>
      <c r="J129" s="583"/>
      <c r="K129" s="584"/>
      <c r="L129" s="585"/>
      <c r="M129" s="586"/>
      <c r="N129" s="1154"/>
      <c r="O129" s="1154"/>
      <c r="P129" s="45"/>
      <c r="Q129" s="504"/>
    </row>
    <row r="130" spans="1:17" ht="15.75" thickBot="1">
      <c r="A130" s="534"/>
      <c r="B130" s="543"/>
      <c r="C130" s="570"/>
      <c r="D130" s="570"/>
      <c r="E130" s="570"/>
      <c r="F130" s="570"/>
      <c r="G130" s="536"/>
      <c r="H130" s="536"/>
      <c r="I130" s="536"/>
      <c r="J130" s="536"/>
      <c r="K130" s="536"/>
      <c r="L130" s="536"/>
      <c r="M130" s="537"/>
      <c r="N130" s="1155"/>
      <c r="O130" s="1155"/>
      <c r="P130" s="45"/>
      <c r="Q130" s="504"/>
    </row>
    <row r="131" spans="1:17" s="471" customFormat="1" ht="15" thickTop="1">
      <c r="A131" s="593"/>
      <c r="B131" s="538">
        <f>B45</f>
        <v>111</v>
      </c>
      <c r="C131" s="523"/>
      <c r="D131" s="523"/>
      <c r="E131" s="523"/>
      <c r="F131" s="523"/>
      <c r="G131" s="555"/>
      <c r="H131" s="555"/>
      <c r="I131" s="555"/>
      <c r="J131" s="555"/>
      <c r="K131" s="555"/>
      <c r="L131" s="556"/>
      <c r="M131" s="557"/>
      <c r="N131" s="1156"/>
      <c r="O131" s="1156"/>
      <c r="P131" s="558"/>
      <c r="Q131" s="559"/>
    </row>
    <row r="132" spans="1:17" s="471" customFormat="1" ht="15.75" thickBot="1">
      <c r="A132" s="568"/>
      <c r="B132" s="699"/>
      <c r="C132" s="570"/>
      <c r="D132" s="570"/>
      <c r="E132" s="570"/>
      <c r="F132" s="570"/>
      <c r="G132" s="591"/>
      <c r="H132" s="591"/>
      <c r="I132" s="591"/>
      <c r="J132" s="591"/>
      <c r="K132" s="591"/>
      <c r="L132" s="591"/>
      <c r="M132" s="592"/>
      <c r="N132" s="1156"/>
      <c r="O132" s="1156"/>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6"/>
      <c r="C2" s="2996"/>
      <c r="D2" s="2996"/>
      <c r="E2" s="2996"/>
    </row>
    <row r="3" spans="1:5" ht="18">
      <c r="A3" s="2997" t="str">
        <f>IF(项目基本情况!B9="房地产市场价值","估价结果一览表（市场价值不需“结果表-1”）","估价结果一览表")</f>
        <v>估价结果一览表</v>
      </c>
      <c r="B3" s="2997"/>
      <c r="C3" s="2997"/>
      <c r="D3" s="2997"/>
      <c r="E3" s="2997"/>
    </row>
    <row r="4" spans="1:5" ht="19.5" thickBot="1">
      <c r="A4" s="1963"/>
      <c r="B4" s="2995" t="s">
        <v>1630</v>
      </c>
      <c r="C4" s="2995"/>
      <c r="D4" s="2995"/>
      <c r="E4" s="1963"/>
    </row>
    <row r="5" spans="1:5" ht="16.5" thickTop="1">
      <c r="A5" s="1961"/>
      <c r="B5" s="2993" t="s">
        <v>1622</v>
      </c>
      <c r="C5" s="1964" t="s">
        <v>1623</v>
      </c>
      <c r="D5" s="1042">
        <f ca="1">结果表!H101</f>
        <v>3800</v>
      </c>
      <c r="E5" s="1961"/>
    </row>
    <row r="6" spans="1:5" ht="15.75">
      <c r="A6" s="1961"/>
      <c r="B6" s="2993"/>
      <c r="C6" s="1964" t="s">
        <v>1624</v>
      </c>
      <c r="D6" s="1042" t="str">
        <f ca="1">NUMBERSTRING(INT(D5*10000),2)&amp;"元整"</f>
        <v>叁仟捌佰万元整</v>
      </c>
      <c r="E6" s="1961"/>
    </row>
    <row r="7" spans="1:5" ht="15.75">
      <c r="A7" s="1961"/>
      <c r="B7" s="2998"/>
      <c r="C7" s="1965" t="s">
        <v>1625</v>
      </c>
      <c r="D7" s="1043">
        <f ca="1">结果表!H102</f>
        <v>27531</v>
      </c>
      <c r="E7" s="1961"/>
    </row>
    <row r="8" spans="1:5" ht="15.75">
      <c r="A8" s="1961"/>
      <c r="B8" s="2999" t="str">
        <f>结果表!E103</f>
        <v>2.估价师知悉的法定优先受偿款</v>
      </c>
      <c r="C8" s="1966" t="s">
        <v>1626</v>
      </c>
      <c r="D8" s="1043">
        <f>结果表!H103</f>
        <v>0</v>
      </c>
      <c r="E8" s="1961"/>
    </row>
    <row r="9" spans="1:5" ht="15.75">
      <c r="A9" s="1961"/>
      <c r="B9" s="3001"/>
      <c r="C9" s="1964" t="s">
        <v>1624</v>
      </c>
      <c r="D9" s="1042" t="str">
        <f>NUMBERSTRING(INT(D8*10000),2)&amp;"元整"</f>
        <v>零元整</v>
      </c>
      <c r="E9" s="1961"/>
    </row>
    <row r="10" spans="1:5" ht="15">
      <c r="A10" s="1961"/>
      <c r="B10" s="1967" t="s">
        <v>1629</v>
      </c>
      <c r="C10" s="1968" t="s">
        <v>1627</v>
      </c>
      <c r="D10" s="1044">
        <f>结果表!H104</f>
        <v>0</v>
      </c>
      <c r="E10" s="1961"/>
    </row>
    <row r="11" spans="1:5" ht="15">
      <c r="A11" s="1961"/>
      <c r="B11" s="1967" t="s">
        <v>1631</v>
      </c>
      <c r="C11" s="1968" t="s">
        <v>1632</v>
      </c>
      <c r="D11" s="1044">
        <f>结果表!H105</f>
        <v>0</v>
      </c>
      <c r="E11" s="1961"/>
    </row>
    <row r="12" spans="1:5" ht="15">
      <c r="A12" s="1961"/>
      <c r="B12" s="1967" t="s">
        <v>1633</v>
      </c>
      <c r="C12" s="1968" t="s">
        <v>1632</v>
      </c>
      <c r="D12" s="1044">
        <f>结果表!H106</f>
        <v>0</v>
      </c>
      <c r="E12" s="1961"/>
    </row>
    <row r="13" spans="1:5" ht="15.75">
      <c r="A13" s="1961"/>
      <c r="B13" s="2992" t="str">
        <f>结果表!E107</f>
        <v>3.房地产抵押价值</v>
      </c>
      <c r="C13" s="1969" t="s">
        <v>1623</v>
      </c>
      <c r="D13" s="1045">
        <f ca="1">结果表!H107</f>
        <v>3800</v>
      </c>
      <c r="E13" s="1961"/>
    </row>
    <row r="14" spans="1:5" ht="15.75">
      <c r="A14" s="1961"/>
      <c r="B14" s="2993"/>
      <c r="C14" s="1964" t="s">
        <v>1624</v>
      </c>
      <c r="D14" s="1042" t="str">
        <f ca="1">NUMBERSTRING(INT(D13*10000),2)&amp;"元整"</f>
        <v>叁仟捌佰万元整</v>
      </c>
      <c r="E14" s="1961"/>
    </row>
    <row r="15" spans="1:5" ht="15">
      <c r="A15" s="1961"/>
      <c r="B15" s="2998"/>
      <c r="C15" s="1965" t="s">
        <v>1634</v>
      </c>
      <c r="D15" s="1054">
        <f ca="1">结果表!H108</f>
        <v>27531</v>
      </c>
      <c r="E15" s="1961"/>
    </row>
    <row r="16" spans="1:5" ht="15">
      <c r="A16" s="1961"/>
      <c r="B16" s="2999" t="str">
        <f>结果表!E109</f>
        <v>——</v>
      </c>
      <c r="C16" s="1969" t="s">
        <v>1635</v>
      </c>
      <c r="D16" s="1970" t="str">
        <f>结果表!H109</f>
        <v>——</v>
      </c>
      <c r="E16" s="1961"/>
    </row>
    <row r="17" spans="1:5" ht="15.75">
      <c r="A17" s="1961"/>
      <c r="B17" s="3000"/>
      <c r="C17" s="1964" t="s">
        <v>1636</v>
      </c>
      <c r="D17" s="1042" t="e">
        <f>NUMBERSTRING(INT(D16*10000),2)&amp;"元整"</f>
        <v>#VALUE!</v>
      </c>
      <c r="E17" s="1961"/>
    </row>
    <row r="18" spans="1:5" ht="15">
      <c r="A18" s="1961"/>
      <c r="B18" s="3001"/>
      <c r="C18" s="1965" t="s">
        <v>1625</v>
      </c>
      <c r="D18" s="1054" t="str">
        <f>结果表!H110</f>
        <v>——</v>
      </c>
      <c r="E18" s="1961"/>
    </row>
    <row r="19" spans="1:5" ht="15.75">
      <c r="A19" s="1961"/>
      <c r="B19" s="2992" t="str">
        <f>结果表!E111</f>
        <v>——</v>
      </c>
      <c r="C19" s="1969" t="s">
        <v>1623</v>
      </c>
      <c r="D19" s="1043" t="str">
        <f>结果表!H111</f>
        <v>——</v>
      </c>
      <c r="E19" s="1961"/>
    </row>
    <row r="20" spans="1:5" ht="15.75">
      <c r="A20" s="1961"/>
      <c r="B20" s="2993"/>
      <c r="C20" s="1964" t="s">
        <v>1636</v>
      </c>
      <c r="D20" s="1042" t="e">
        <f>NUMBERSTRING(INT(D19*10000),2)&amp;"元整"</f>
        <v>#VALUE!</v>
      </c>
      <c r="E20" s="1961"/>
    </row>
    <row r="21" spans="1:5" ht="15.75" thickBot="1">
      <c r="A21" s="1961"/>
      <c r="B21" s="2994"/>
      <c r="C21" s="1971" t="s">
        <v>1634</v>
      </c>
      <c r="D21" s="1055"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2738</v>
      </c>
      <c r="B1" s="395"/>
      <c r="C1" s="396" t="s">
        <v>2790</v>
      </c>
      <c r="D1" s="754"/>
      <c r="E1" s="754"/>
      <c r="F1" s="753" t="s">
        <v>2637</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2321</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8" customFormat="1" ht="28.5" customHeight="1" thickBot="1">
      <c r="A3" s="247" t="s">
        <v>2323</v>
      </c>
      <c r="B3" s="609" t="e">
        <f>ROUND(IF(D3="",B2*10000/'数据-汇总表'!E3,B2*10000/D3),0)</f>
        <v>#DIV/0!</v>
      </c>
      <c r="C3" s="247" t="s">
        <v>2740</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1" t="s">
        <v>2639</v>
      </c>
      <c r="B4" s="402"/>
      <c r="C4" s="3202" t="s">
        <v>2640</v>
      </c>
      <c r="D4" s="3203"/>
      <c r="E4" s="3204" t="s">
        <v>2641</v>
      </c>
      <c r="F4" s="3205"/>
      <c r="G4" s="3202" t="s">
        <v>2642</v>
      </c>
      <c r="H4" s="3203"/>
      <c r="I4" s="3202" t="s">
        <v>2643</v>
      </c>
      <c r="J4" s="3203"/>
      <c r="K4" s="610" t="s">
        <v>2644</v>
      </c>
      <c r="L4" s="1132"/>
      <c r="M4" s="1133"/>
      <c r="N4" s="1133"/>
      <c r="O4" s="1133"/>
      <c r="P4" s="3206" t="s">
        <v>2645</v>
      </c>
      <c r="Q4" s="3207"/>
      <c r="R4" s="3186" t="s">
        <v>2641</v>
      </c>
      <c r="S4" s="3187"/>
      <c r="T4" s="3186" t="s">
        <v>2642</v>
      </c>
      <c r="U4" s="3187"/>
      <c r="V4" s="3183" t="s">
        <v>2643</v>
      </c>
      <c r="W4" s="3183"/>
      <c r="X4" s="1815"/>
      <c r="Y4" s="3186" t="s">
        <v>2645</v>
      </c>
      <c r="Z4" s="3187"/>
      <c r="AA4" s="3180" t="s">
        <v>2641</v>
      </c>
      <c r="AB4" s="3181" t="s">
        <v>2642</v>
      </c>
      <c r="AC4" s="3180" t="s">
        <v>2643</v>
      </c>
    </row>
    <row r="5" spans="1:29" ht="15">
      <c r="A5" s="404"/>
      <c r="B5" s="405"/>
      <c r="C5" s="3192" t="s">
        <v>2536</v>
      </c>
      <c r="D5" s="3193"/>
      <c r="E5" s="3260" t="s">
        <v>2537</v>
      </c>
      <c r="F5" s="3191"/>
      <c r="G5" s="3192" t="s">
        <v>2538</v>
      </c>
      <c r="H5" s="3193"/>
      <c r="I5" s="3192" t="s">
        <v>2539</v>
      </c>
      <c r="J5" s="3193"/>
      <c r="K5" s="610"/>
      <c r="L5" s="1132"/>
      <c r="M5" s="1133"/>
      <c r="N5" s="1133"/>
      <c r="O5" s="1133"/>
      <c r="P5" s="3208"/>
      <c r="Q5" s="3209"/>
      <c r="R5" s="3188"/>
      <c r="S5" s="3189"/>
      <c r="T5" s="3188"/>
      <c r="U5" s="3189"/>
      <c r="V5" s="3183"/>
      <c r="W5" s="3183"/>
      <c r="X5" s="1815"/>
      <c r="Y5" s="3188"/>
      <c r="Z5" s="3189"/>
      <c r="AA5" s="3181"/>
      <c r="AB5" s="3181"/>
      <c r="AC5" s="3181"/>
    </row>
    <row r="6" spans="1:29" ht="15.75" thickBot="1">
      <c r="A6" s="406"/>
      <c r="B6" s="407"/>
      <c r="C6" s="3281" t="s">
        <v>2791</v>
      </c>
      <c r="D6" s="3282"/>
      <c r="E6" s="3283" t="s">
        <v>2791</v>
      </c>
      <c r="F6" s="3284"/>
      <c r="G6" s="3281" t="s">
        <v>2791</v>
      </c>
      <c r="H6" s="3282"/>
      <c r="I6" s="3281" t="s">
        <v>2791</v>
      </c>
      <c r="J6" s="3282"/>
      <c r="K6" s="610" t="s">
        <v>2541</v>
      </c>
      <c r="L6" s="1132"/>
      <c r="M6" s="1133"/>
      <c r="N6" s="1133"/>
      <c r="O6" s="1133"/>
      <c r="P6" s="3210"/>
      <c r="Q6" s="3211"/>
      <c r="R6" s="3188"/>
      <c r="S6" s="3189"/>
      <c r="T6" s="3212"/>
      <c r="U6" s="3213"/>
      <c r="V6" s="3183"/>
      <c r="W6" s="3183"/>
      <c r="X6" s="1815"/>
      <c r="Y6" s="3212"/>
      <c r="Z6" s="3213"/>
      <c r="AA6" s="3182"/>
      <c r="AB6" s="3182"/>
      <c r="AC6" s="3182"/>
    </row>
    <row r="7" spans="1:29" s="117" customFormat="1" ht="15.75" thickBot="1">
      <c r="A7" s="408" t="s">
        <v>2542</v>
      </c>
      <c r="B7" s="409"/>
      <c r="C7" s="410">
        <f>'数据-取费表'!B2</f>
        <v>43321</v>
      </c>
      <c r="D7" s="411">
        <v>100</v>
      </c>
      <c r="E7" s="412"/>
      <c r="F7" s="413">
        <f>SUMIF(65:65,YEAR(E7)&amp;"-"&amp;INT((MONTH(E7)+2)/3),66:66)</f>
        <v>0</v>
      </c>
      <c r="G7" s="2698"/>
      <c r="H7" s="411">
        <f>SUMIF(65:65,YEAR(G7)&amp;"-"&amp;INT((MONTH(G7)+2)/3),66:66)</f>
        <v>0</v>
      </c>
      <c r="I7" s="2698"/>
      <c r="J7" s="411">
        <f>SUMIF(65:65,YEAR(I7)&amp;"-"&amp;INT((MONTH(I7)+2)/3),66:66)</f>
        <v>0</v>
      </c>
      <c r="K7" s="611"/>
      <c r="L7" s="1134"/>
      <c r="M7" s="1135"/>
      <c r="N7" s="1135"/>
      <c r="O7" s="1135"/>
      <c r="P7" s="3184" t="s">
        <v>2543</v>
      </c>
      <c r="Q7" s="3214"/>
      <c r="R7" s="769" t="s">
        <v>17</v>
      </c>
      <c r="S7" s="770">
        <f t="shared" ref="S7:S15" si="0">F7</f>
        <v>0</v>
      </c>
      <c r="T7" s="769" t="s">
        <v>17</v>
      </c>
      <c r="U7" s="770">
        <f t="shared" ref="U7:U15" si="1">H7</f>
        <v>0</v>
      </c>
      <c r="V7" s="769" t="s">
        <v>17</v>
      </c>
      <c r="W7" s="770">
        <f t="shared" ref="W7:W15" si="2">J7</f>
        <v>0</v>
      </c>
      <c r="X7" s="771"/>
      <c r="Y7" s="3184" t="s">
        <v>2543</v>
      </c>
      <c r="Z7" s="3185"/>
      <c r="AA7" s="772" t="e">
        <f>D7/F7</f>
        <v>#DIV/0!</v>
      </c>
      <c r="AB7" s="772" t="e">
        <f>D7/H7</f>
        <v>#DIV/0!</v>
      </c>
      <c r="AC7" s="772" t="e">
        <f>D7/J7</f>
        <v>#DIV/0!</v>
      </c>
    </row>
    <row r="8" spans="1:29" s="117" customFormat="1" ht="15.75" thickBot="1">
      <c r="A8" s="408" t="s">
        <v>2544</v>
      </c>
      <c r="B8" s="409"/>
      <c r="C8" s="414" t="s">
        <v>2545</v>
      </c>
      <c r="D8" s="411">
        <v>100</v>
      </c>
      <c r="E8" s="414"/>
      <c r="F8" s="413">
        <f>SUMIF(68:68,E8,69:69)-SUMIF(68:68,C8,69:69)+100</f>
        <v>0</v>
      </c>
      <c r="G8" s="414"/>
      <c r="H8" s="411">
        <f>SUMIF(68:68,G8,69:69)-SUMIF(68:68,C8,69:69)+100</f>
        <v>0</v>
      </c>
      <c r="I8" s="414"/>
      <c r="J8" s="411">
        <f>SUMIF(68:68,I8,69:69)-SUMIF(68:68,C8,69:69)+100</f>
        <v>0</v>
      </c>
      <c r="K8" s="611"/>
      <c r="L8" s="1134"/>
      <c r="M8" s="1135"/>
      <c r="N8" s="1135"/>
      <c r="O8" s="1135"/>
      <c r="P8" s="3184" t="s">
        <v>2546</v>
      </c>
      <c r="Q8" s="3185"/>
      <c r="R8" s="769" t="s">
        <v>17</v>
      </c>
      <c r="S8" s="770">
        <f t="shared" si="0"/>
        <v>0</v>
      </c>
      <c r="T8" s="769" t="s">
        <v>17</v>
      </c>
      <c r="U8" s="770">
        <f t="shared" si="1"/>
        <v>0</v>
      </c>
      <c r="V8" s="769" t="s">
        <v>17</v>
      </c>
      <c r="W8" s="770">
        <f t="shared" si="2"/>
        <v>0</v>
      </c>
      <c r="X8" s="771"/>
      <c r="Y8" s="3184" t="s">
        <v>2546</v>
      </c>
      <c r="Z8" s="3185"/>
      <c r="AA8" s="772" t="e">
        <f t="shared" ref="AA8:AA40" si="3">D8/F8</f>
        <v>#DIV/0!</v>
      </c>
      <c r="AB8" s="772" t="e">
        <f t="shared" ref="AB8:AB40" si="4">D8/H8</f>
        <v>#DIV/0!</v>
      </c>
      <c r="AC8" s="772" t="e">
        <f t="shared" ref="AC8:AC40" si="5">D8/J8</f>
        <v>#DIV/0!</v>
      </c>
    </row>
    <row r="9" spans="1:29" s="117" customFormat="1">
      <c r="A9" s="415" t="s">
        <v>2547</v>
      </c>
      <c r="B9" s="71" t="s">
        <v>2548</v>
      </c>
      <c r="C9" s="2701"/>
      <c r="D9" s="135">
        <v>100</v>
      </c>
      <c r="E9" s="2701"/>
      <c r="F9" s="135">
        <f>SUMIF(70:70,E9,71:71)-SUMIF(70:70,C9,71:71)+100</f>
        <v>100</v>
      </c>
      <c r="G9" s="2701"/>
      <c r="H9" s="135">
        <f>SUMIF(70:70,G9,71:71)-SUMIF(70:70,C9,71:71)+100</f>
        <v>100</v>
      </c>
      <c r="I9" s="2701"/>
      <c r="J9" s="135">
        <f>SUMIF(70:70,I9,71:71)-SUMIF(70:70,C9,71:71)+100</f>
        <v>100</v>
      </c>
      <c r="K9" s="611"/>
      <c r="L9" s="1134"/>
      <c r="M9" s="1135"/>
      <c r="N9" s="1135"/>
      <c r="O9" s="1136"/>
      <c r="P9" s="3224" t="s">
        <v>2549</v>
      </c>
      <c r="Q9" s="1797" t="str">
        <f t="shared" ref="Q9:Q15" si="6">B9</f>
        <v>用途</v>
      </c>
      <c r="R9" s="769" t="s">
        <v>17</v>
      </c>
      <c r="S9" s="770">
        <f t="shared" si="0"/>
        <v>100</v>
      </c>
      <c r="T9" s="769" t="s">
        <v>17</v>
      </c>
      <c r="U9" s="770">
        <f t="shared" si="1"/>
        <v>100</v>
      </c>
      <c r="V9" s="769" t="s">
        <v>17</v>
      </c>
      <c r="W9" s="770">
        <f t="shared" si="2"/>
        <v>100</v>
      </c>
      <c r="X9" s="771"/>
      <c r="Y9" s="3057" t="s">
        <v>2550</v>
      </c>
      <c r="Z9" s="55" t="str">
        <f t="shared" ref="Z9:Z15" si="7">Q9</f>
        <v>用途</v>
      </c>
      <c r="AA9" s="772">
        <f t="shared" si="3"/>
        <v>1</v>
      </c>
      <c r="AB9" s="772">
        <f t="shared" si="4"/>
        <v>1</v>
      </c>
      <c r="AC9" s="772">
        <f t="shared" si="5"/>
        <v>1</v>
      </c>
    </row>
    <row r="10" spans="1:29" s="427" customFormat="1" ht="27">
      <c r="A10" s="421"/>
      <c r="B10" s="422" t="s">
        <v>2551</v>
      </c>
      <c r="C10" s="432"/>
      <c r="D10" s="136">
        <v>100</v>
      </c>
      <c r="E10" s="432"/>
      <c r="F10" s="136">
        <f>ROUND(100/'数据-取费表'!G16,0)</f>
        <v>104</v>
      </c>
      <c r="G10" s="432"/>
      <c r="H10" s="136">
        <f>ROUND(100/'数据-取费表'!G16,0)</f>
        <v>104</v>
      </c>
      <c r="I10" s="432"/>
      <c r="J10" s="136">
        <f>ROUND(100/'数据-取费表'!G16,0)</f>
        <v>104</v>
      </c>
      <c r="K10" s="671"/>
      <c r="L10" s="1137"/>
      <c r="M10" s="1138"/>
      <c r="N10" s="1138"/>
      <c r="O10" s="1139"/>
      <c r="P10" s="3224"/>
      <c r="Q10" s="1797" t="str">
        <f t="shared" si="6"/>
        <v>土地使用年限（年）</v>
      </c>
      <c r="R10" s="769" t="s">
        <v>17</v>
      </c>
      <c r="S10" s="770">
        <f t="shared" si="0"/>
        <v>104</v>
      </c>
      <c r="T10" s="769" t="s">
        <v>17</v>
      </c>
      <c r="U10" s="770">
        <f t="shared" si="1"/>
        <v>104</v>
      </c>
      <c r="V10" s="769" t="s">
        <v>17</v>
      </c>
      <c r="W10" s="770">
        <f t="shared" si="2"/>
        <v>104</v>
      </c>
      <c r="X10" s="771"/>
      <c r="Y10" s="3057"/>
      <c r="Z10" s="55" t="str">
        <f t="shared" si="7"/>
        <v>土地使用年限（年）</v>
      </c>
      <c r="AA10" s="772">
        <f t="shared" si="3"/>
        <v>0.96153846153846156</v>
      </c>
      <c r="AB10" s="772">
        <f t="shared" si="4"/>
        <v>0.96153846153846156</v>
      </c>
      <c r="AC10" s="772">
        <f t="shared" si="5"/>
        <v>0.96153846153846156</v>
      </c>
    </row>
    <row r="11" spans="1:29" ht="15">
      <c r="A11" s="428"/>
      <c r="B11" s="422" t="s">
        <v>2552</v>
      </c>
      <c r="C11" s="429"/>
      <c r="D11" s="136">
        <v>100</v>
      </c>
      <c r="E11" s="429"/>
      <c r="F11" s="136" t="e">
        <f>LOOKUP(E11,75:75,76:76)-LOOKUP(C11,75:75,76:76)+100</f>
        <v>#N/A</v>
      </c>
      <c r="G11" s="430"/>
      <c r="H11" s="136" t="e">
        <f>LOOKUP(G11,75:75,76:76)-LOOKUP(C11,75:75,76:76)+100</f>
        <v>#N/A</v>
      </c>
      <c r="I11" s="429"/>
      <c r="J11" s="136" t="e">
        <f>LOOKUP(I11,75:75,76:76)-LOOKUP(C11,75:75,76:76)+100</f>
        <v>#N/A</v>
      </c>
      <c r="K11" s="672"/>
      <c r="L11" s="1140"/>
      <c r="M11" s="1133"/>
      <c r="N11" s="1133"/>
      <c r="O11" s="1141"/>
      <c r="P11" s="3224"/>
      <c r="Q11" s="1797"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29" s="117" customFormat="1" ht="15">
      <c r="A12" s="431"/>
      <c r="B12" s="2602">
        <v>111</v>
      </c>
      <c r="C12" s="432"/>
      <c r="D12" s="433">
        <v>100</v>
      </c>
      <c r="E12" s="549"/>
      <c r="F12" s="136">
        <f>SUMIF(77:77,E12,78:78)-SUMIF(77:77,C12,78:78)+100</f>
        <v>100</v>
      </c>
      <c r="G12" s="673"/>
      <c r="H12" s="136">
        <f>SUMIF(77:77,G12,78:78)-SUMIF(77:77,C12,78:78)+100</f>
        <v>100</v>
      </c>
      <c r="I12" s="549"/>
      <c r="J12" s="136">
        <f>SUMIF(77:77,I12,78:78)-SUMIF(77:77,C12,78:78)+100</f>
        <v>100</v>
      </c>
      <c r="K12" s="671"/>
      <c r="L12" s="1134"/>
      <c r="M12" s="1135"/>
      <c r="N12" s="1135"/>
      <c r="O12" s="1136"/>
      <c r="P12" s="3224"/>
      <c r="Q12" s="1797">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
      <c r="A13" s="428"/>
      <c r="B13" s="2602">
        <v>111</v>
      </c>
      <c r="C13" s="434"/>
      <c r="D13" s="435">
        <v>100</v>
      </c>
      <c r="E13" s="549"/>
      <c r="F13" s="136">
        <f>SUMIF(79:79,E13,80:80)-SUMIF(79:79,C13,80:80)+100</f>
        <v>100</v>
      </c>
      <c r="G13" s="673"/>
      <c r="H13" s="435">
        <f>SUMIF(79:79,G13,80:80)-SUMIF(79:79,C13,80:80)+100</f>
        <v>100</v>
      </c>
      <c r="I13" s="549"/>
      <c r="J13" s="435">
        <f>SUMIF(79:79,I13,80:80)-SUMIF(79:79,C13,80:80)+100</f>
        <v>100</v>
      </c>
      <c r="K13" s="671"/>
      <c r="L13" s="1142"/>
      <c r="M13" s="1133"/>
      <c r="N13" s="1133"/>
      <c r="O13" s="1141"/>
      <c r="P13" s="3224"/>
      <c r="Q13" s="1797">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5.75" thickBot="1">
      <c r="A14" s="436"/>
      <c r="B14" s="2604">
        <v>111</v>
      </c>
      <c r="C14" s="437"/>
      <c r="D14" s="438">
        <v>100</v>
      </c>
      <c r="E14" s="549"/>
      <c r="F14" s="438">
        <f>SUMIF(81:81,E14,82:82)-SUMIF(81:81,C14,82:82)+100</f>
        <v>100</v>
      </c>
      <c r="G14" s="673"/>
      <c r="H14" s="438">
        <f>SUMIF(81:81,G14,82:82)-SUMIF(81:81,C14,82:82)+100</f>
        <v>100</v>
      </c>
      <c r="I14" s="549"/>
      <c r="J14" s="438">
        <f>SUMIF(81:81,I14,82:82)-SUMIF(81:81,C14,82:82)+100</f>
        <v>100</v>
      </c>
      <c r="K14" s="671"/>
      <c r="L14" s="1142"/>
      <c r="M14" s="1133"/>
      <c r="N14" s="1133"/>
      <c r="O14" s="1141"/>
      <c r="P14" s="3224"/>
      <c r="Q14" s="1797">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772">
        <f t="shared" si="5"/>
        <v>1</v>
      </c>
    </row>
    <row r="15" spans="1:29" ht="57">
      <c r="A15" s="440" t="s">
        <v>2553</v>
      </c>
      <c r="B15" s="628" t="s">
        <v>2792</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2"/>
      <c r="L15" s="1142"/>
      <c r="M15" s="1133"/>
      <c r="N15" s="1133"/>
      <c r="O15" s="1141"/>
      <c r="P15" s="3217" t="s">
        <v>2554</v>
      </c>
      <c r="Q15" s="1812" t="str">
        <f t="shared" si="6"/>
        <v>产业集聚程度</v>
      </c>
      <c r="R15" s="773" t="s">
        <v>17</v>
      </c>
      <c r="S15" s="774">
        <f t="shared" si="0"/>
        <v>100</v>
      </c>
      <c r="T15" s="773" t="s">
        <v>17</v>
      </c>
      <c r="U15" s="774">
        <f t="shared" si="1"/>
        <v>100</v>
      </c>
      <c r="V15" s="773" t="s">
        <v>17</v>
      </c>
      <c r="W15" s="774">
        <f t="shared" si="2"/>
        <v>100</v>
      </c>
      <c r="X15" s="1815"/>
      <c r="Y15" s="3217" t="s">
        <v>2554</v>
      </c>
      <c r="Z15" s="1816" t="str">
        <f t="shared" si="7"/>
        <v>产业集聚程度</v>
      </c>
      <c r="AA15" s="1813">
        <f t="shared" si="3"/>
        <v>1</v>
      </c>
      <c r="AB15" s="1813">
        <f t="shared" si="4"/>
        <v>1</v>
      </c>
      <c r="AC15" s="1813">
        <f t="shared" si="5"/>
        <v>1</v>
      </c>
    </row>
    <row r="16" spans="1:29" ht="15">
      <c r="A16" s="428"/>
      <c r="B16" s="629"/>
      <c r="C16" s="447"/>
      <c r="D16" s="448"/>
      <c r="E16" s="2613"/>
      <c r="F16" s="448"/>
      <c r="G16" s="2613"/>
      <c r="H16" s="450"/>
      <c r="I16" s="2613"/>
      <c r="J16" s="448"/>
      <c r="K16" s="671"/>
      <c r="L16" s="1142"/>
      <c r="M16" s="1133"/>
      <c r="N16" s="1133"/>
      <c r="O16" s="1141"/>
      <c r="P16" s="3218"/>
      <c r="Q16" s="1812"/>
      <c r="R16" s="773"/>
      <c r="S16" s="774"/>
      <c r="T16" s="773"/>
      <c r="U16" s="774"/>
      <c r="V16" s="773"/>
      <c r="W16" s="774"/>
      <c r="X16" s="1815"/>
      <c r="Y16" s="3218"/>
      <c r="Z16" s="1816"/>
      <c r="AA16" s="1813">
        <v>1</v>
      </c>
      <c r="AB16" s="1813">
        <v>1</v>
      </c>
      <c r="AC16" s="1813">
        <v>1</v>
      </c>
    </row>
    <row r="17" spans="1:29" ht="85.5">
      <c r="A17" s="428"/>
      <c r="B17" s="630" t="s">
        <v>2703</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2"/>
      <c r="L17" s="1142"/>
      <c r="M17" s="1133"/>
      <c r="N17" s="1133"/>
      <c r="O17" s="1141"/>
      <c r="P17" s="3218"/>
      <c r="Q17" s="1812" t="str">
        <f>B17</f>
        <v>交通便捷度</v>
      </c>
      <c r="R17" s="773" t="s">
        <v>17</v>
      </c>
      <c r="S17" s="774">
        <f>F17</f>
        <v>100</v>
      </c>
      <c r="T17" s="773" t="s">
        <v>17</v>
      </c>
      <c r="U17" s="774">
        <f>H17</f>
        <v>100</v>
      </c>
      <c r="V17" s="773" t="s">
        <v>17</v>
      </c>
      <c r="W17" s="774">
        <f>J17</f>
        <v>100</v>
      </c>
      <c r="X17" s="1815"/>
      <c r="Y17" s="3218"/>
      <c r="Z17" s="1816" t="str">
        <f>Q17</f>
        <v>交通便捷度</v>
      </c>
      <c r="AA17" s="1813">
        <f t="shared" si="3"/>
        <v>1</v>
      </c>
      <c r="AB17" s="1813">
        <f t="shared" si="4"/>
        <v>1</v>
      </c>
      <c r="AC17" s="1813">
        <f t="shared" si="5"/>
        <v>1</v>
      </c>
    </row>
    <row r="18" spans="1:29" ht="15">
      <c r="A18" s="428"/>
      <c r="B18" s="631"/>
      <c r="C18" s="447"/>
      <c r="D18" s="448"/>
      <c r="E18" s="2607"/>
      <c r="F18" s="448"/>
      <c r="G18" s="2607"/>
      <c r="H18" s="448"/>
      <c r="I18" s="2606"/>
      <c r="J18" s="448"/>
      <c r="K18" s="671"/>
      <c r="L18" s="1142"/>
      <c r="M18" s="1133"/>
      <c r="N18" s="1133"/>
      <c r="O18" s="1141"/>
      <c r="P18" s="3218"/>
      <c r="Q18" s="1812"/>
      <c r="R18" s="773"/>
      <c r="S18" s="774"/>
      <c r="T18" s="773"/>
      <c r="U18" s="774"/>
      <c r="V18" s="773"/>
      <c r="W18" s="774"/>
      <c r="X18" s="1815"/>
      <c r="Y18" s="3218"/>
      <c r="Z18" s="1816"/>
      <c r="AA18" s="1813">
        <v>1</v>
      </c>
      <c r="AB18" s="1813">
        <v>1</v>
      </c>
      <c r="AC18" s="1813">
        <v>1</v>
      </c>
    </row>
    <row r="19" spans="1:29" ht="15">
      <c r="A19" s="428"/>
      <c r="B19" s="630" t="s">
        <v>2742</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2"/>
      <c r="L19" s="1142"/>
      <c r="M19" s="1133"/>
      <c r="N19" s="1133"/>
      <c r="O19" s="1141"/>
      <c r="P19" s="3218"/>
      <c r="Q19" s="1812" t="str">
        <f t="shared" ref="Q19:Q33" si="8">B19</f>
        <v>区域土地利用方向</v>
      </c>
      <c r="R19" s="773" t="s">
        <v>17</v>
      </c>
      <c r="S19" s="774">
        <f>F19</f>
        <v>100</v>
      </c>
      <c r="T19" s="773" t="s">
        <v>17</v>
      </c>
      <c r="U19" s="774">
        <f>H19</f>
        <v>100</v>
      </c>
      <c r="V19" s="773" t="s">
        <v>17</v>
      </c>
      <c r="W19" s="774">
        <f>J19</f>
        <v>100</v>
      </c>
      <c r="X19" s="1815"/>
      <c r="Y19" s="3218"/>
      <c r="Z19" s="1816" t="str">
        <f>Q19</f>
        <v>区域土地利用方向</v>
      </c>
      <c r="AA19" s="1813">
        <f t="shared" si="3"/>
        <v>1</v>
      </c>
      <c r="AB19" s="1813">
        <f t="shared" si="4"/>
        <v>1</v>
      </c>
      <c r="AC19" s="1813">
        <f t="shared" si="5"/>
        <v>1</v>
      </c>
    </row>
    <row r="20" spans="1:29" ht="15">
      <c r="A20" s="404"/>
      <c r="B20" s="631"/>
      <c r="C20" s="447"/>
      <c r="D20" s="448"/>
      <c r="E20" s="2607"/>
      <c r="F20" s="448"/>
      <c r="G20" s="2607"/>
      <c r="H20" s="448"/>
      <c r="I20" s="2607"/>
      <c r="J20" s="448"/>
      <c r="K20" s="811"/>
      <c r="L20" s="1142"/>
      <c r="M20" s="1133"/>
      <c r="N20" s="1133"/>
      <c r="O20" s="1141"/>
      <c r="P20" s="3218"/>
      <c r="Q20" s="1812"/>
      <c r="R20" s="773"/>
      <c r="S20" s="774"/>
      <c r="T20" s="773"/>
      <c r="U20" s="774"/>
      <c r="V20" s="773"/>
      <c r="W20" s="774"/>
      <c r="X20" s="1815"/>
      <c r="Y20" s="3218"/>
      <c r="Z20" s="1816"/>
      <c r="AA20" s="1813"/>
      <c r="AB20" s="1813"/>
      <c r="AC20" s="1813"/>
    </row>
    <row r="21" spans="1:29" ht="71.25">
      <c r="A21" s="404"/>
      <c r="B21" s="630" t="s">
        <v>2793</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2"/>
      <c r="L21" s="1142"/>
      <c r="M21" s="1133"/>
      <c r="N21" s="1133"/>
      <c r="O21" s="1141"/>
      <c r="P21" s="3218"/>
      <c r="Q21" s="1812" t="str">
        <f t="shared" si="8"/>
        <v>环境状况</v>
      </c>
      <c r="R21" s="773" t="s">
        <v>17</v>
      </c>
      <c r="S21" s="774">
        <f>F21</f>
        <v>100</v>
      </c>
      <c r="T21" s="773" t="s">
        <v>17</v>
      </c>
      <c r="U21" s="774">
        <f>H21</f>
        <v>100</v>
      </c>
      <c r="V21" s="773" t="s">
        <v>17</v>
      </c>
      <c r="W21" s="774">
        <f>J21</f>
        <v>100</v>
      </c>
      <c r="X21" s="1815"/>
      <c r="Y21" s="3218"/>
      <c r="Z21" s="1816" t="str">
        <f>Q21</f>
        <v>环境状况</v>
      </c>
      <c r="AA21" s="1813">
        <f t="shared" si="3"/>
        <v>1</v>
      </c>
      <c r="AB21" s="1813">
        <f t="shared" si="4"/>
        <v>1</v>
      </c>
      <c r="AC21" s="1813">
        <f t="shared" si="5"/>
        <v>1</v>
      </c>
    </row>
    <row r="22" spans="1:29" ht="15">
      <c r="A22" s="404"/>
      <c r="B22" s="631"/>
      <c r="C22" s="447"/>
      <c r="D22" s="448"/>
      <c r="E22" s="2613"/>
      <c r="F22" s="448"/>
      <c r="G22" s="2613"/>
      <c r="H22" s="448"/>
      <c r="I22" s="447"/>
      <c r="J22" s="448"/>
      <c r="K22" s="671"/>
      <c r="L22" s="1142"/>
      <c r="M22" s="1133"/>
      <c r="N22" s="1133"/>
      <c r="O22" s="1141"/>
      <c r="P22" s="3218"/>
      <c r="Q22" s="1812"/>
      <c r="R22" s="773"/>
      <c r="S22" s="774"/>
      <c r="T22" s="773"/>
      <c r="U22" s="774"/>
      <c r="V22" s="773"/>
      <c r="W22" s="774"/>
      <c r="X22" s="1815"/>
      <c r="Y22" s="3218"/>
      <c r="Z22" s="1816"/>
      <c r="AA22" s="1813">
        <v>1</v>
      </c>
      <c r="AB22" s="1813">
        <v>1</v>
      </c>
      <c r="AC22" s="1813">
        <v>1</v>
      </c>
    </row>
    <row r="23" spans="1:29" s="117" customFormat="1" ht="42.75">
      <c r="A23" s="648"/>
      <c r="B23" s="632" t="s">
        <v>2648</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2"/>
      <c r="L23" s="1134"/>
      <c r="M23" s="1135"/>
      <c r="N23" s="1135"/>
      <c r="O23" s="1136"/>
      <c r="P23" s="3218"/>
      <c r="Q23" s="1797" t="str">
        <f t="shared" si="8"/>
        <v>公共配套设施</v>
      </c>
      <c r="R23" s="769" t="s">
        <v>17</v>
      </c>
      <c r="S23" s="770">
        <f>F23</f>
        <v>100</v>
      </c>
      <c r="T23" s="769" t="s">
        <v>17</v>
      </c>
      <c r="U23" s="770">
        <f>H23</f>
        <v>100</v>
      </c>
      <c r="V23" s="769" t="s">
        <v>17</v>
      </c>
      <c r="W23" s="770">
        <f>J23</f>
        <v>100</v>
      </c>
      <c r="X23" s="771"/>
      <c r="Y23" s="3218"/>
      <c r="Z23" s="55" t="str">
        <f>Q23</f>
        <v>公共配套设施</v>
      </c>
      <c r="AA23" s="1813">
        <f>D23/F23</f>
        <v>1</v>
      </c>
      <c r="AB23" s="1813">
        <f>D23/H23</f>
        <v>1</v>
      </c>
      <c r="AC23" s="1813">
        <f>D23/J23</f>
        <v>1</v>
      </c>
    </row>
    <row r="24" spans="1:29" s="117" customFormat="1" ht="15">
      <c r="A24" s="648"/>
      <c r="B24" s="631"/>
      <c r="C24" s="2702"/>
      <c r="D24" s="448"/>
      <c r="E24" s="2613"/>
      <c r="F24" s="448"/>
      <c r="G24" s="2613"/>
      <c r="H24" s="448"/>
      <c r="I24" s="447"/>
      <c r="J24" s="448"/>
      <c r="K24" s="671"/>
      <c r="L24" s="1134"/>
      <c r="M24" s="1135"/>
      <c r="N24" s="1135"/>
      <c r="O24" s="1136"/>
      <c r="P24" s="3218"/>
      <c r="Q24" s="1797"/>
      <c r="R24" s="769"/>
      <c r="S24" s="770"/>
      <c r="T24" s="769"/>
      <c r="U24" s="770"/>
      <c r="V24" s="769"/>
      <c r="W24" s="770"/>
      <c r="X24" s="771"/>
      <c r="Y24" s="3218"/>
      <c r="Z24" s="55"/>
      <c r="AA24" s="772">
        <v>1</v>
      </c>
      <c r="AB24" s="772">
        <v>1</v>
      </c>
      <c r="AC24" s="772">
        <v>1</v>
      </c>
    </row>
    <row r="25" spans="1:29" s="117" customFormat="1" ht="28.5">
      <c r="A25" s="648"/>
      <c r="B25" s="632" t="s">
        <v>2649</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2"/>
      <c r="L25" s="1134"/>
      <c r="M25" s="1135"/>
      <c r="N25" s="1135"/>
      <c r="O25" s="1136"/>
      <c r="P25" s="3218"/>
      <c r="Q25" s="1797" t="str">
        <f t="shared" ref="Q25" si="9">B25</f>
        <v>基础设施水平</v>
      </c>
      <c r="R25" s="769" t="s">
        <v>17</v>
      </c>
      <c r="S25" s="770">
        <f>F25</f>
        <v>100</v>
      </c>
      <c r="T25" s="769" t="s">
        <v>17</v>
      </c>
      <c r="U25" s="770">
        <f>H25</f>
        <v>100</v>
      </c>
      <c r="V25" s="769" t="s">
        <v>17</v>
      </c>
      <c r="W25" s="770">
        <f>J25</f>
        <v>100</v>
      </c>
      <c r="X25" s="771"/>
      <c r="Y25" s="3218"/>
      <c r="Z25" s="55" t="str">
        <f>Q25</f>
        <v>基础设施水平</v>
      </c>
      <c r="AA25" s="1813">
        <f>D25/F25</f>
        <v>1</v>
      </c>
      <c r="AB25" s="1813">
        <f>D25/H25</f>
        <v>1</v>
      </c>
      <c r="AC25" s="1813">
        <f>D25/J25</f>
        <v>1</v>
      </c>
    </row>
    <row r="26" spans="1:29" s="117" customFormat="1" ht="15">
      <c r="A26" s="648"/>
      <c r="B26" s="631"/>
      <c r="C26" s="2702"/>
      <c r="D26" s="448"/>
      <c r="E26" s="2703"/>
      <c r="F26" s="448"/>
      <c r="G26" s="2703"/>
      <c r="H26" s="448"/>
      <c r="I26" s="2703"/>
      <c r="J26" s="448"/>
      <c r="K26" s="671"/>
      <c r="L26" s="1134"/>
      <c r="M26" s="1135"/>
      <c r="N26" s="1135"/>
      <c r="O26" s="1136"/>
      <c r="P26" s="3218"/>
      <c r="Q26" s="1797"/>
      <c r="R26" s="769"/>
      <c r="S26" s="770"/>
      <c r="T26" s="769"/>
      <c r="U26" s="770"/>
      <c r="V26" s="769"/>
      <c r="W26" s="770"/>
      <c r="X26" s="771"/>
      <c r="Y26" s="3218"/>
      <c r="Z26" s="55"/>
      <c r="AA26" s="772">
        <v>1</v>
      </c>
      <c r="AB26" s="772">
        <v>1</v>
      </c>
      <c r="AC26" s="772">
        <v>1</v>
      </c>
    </row>
    <row r="27" spans="1:29" ht="15">
      <c r="A27" s="428"/>
      <c r="B27" s="631" t="s">
        <v>2650</v>
      </c>
      <c r="C27" s="616"/>
      <c r="D27" s="435">
        <v>100</v>
      </c>
      <c r="E27" s="633"/>
      <c r="F27" s="435">
        <f>SUMIF(95:95,E27,96:96)-SUMIF(95:95,C27,96:96)+100</f>
        <v>100</v>
      </c>
      <c r="G27" s="633"/>
      <c r="H27" s="435">
        <f>SUMIF(95:95,G27,96:96)-SUMIF(95:95,C27,96:96)+100</f>
        <v>100</v>
      </c>
      <c r="I27" s="633"/>
      <c r="J27" s="435">
        <f>SUMIF(95:95,I27,96:96)-SUMIF(95:95,C27,96:96)+100</f>
        <v>100</v>
      </c>
      <c r="K27" s="672"/>
      <c r="L27" s="1142"/>
      <c r="M27" s="1133"/>
      <c r="N27" s="1133"/>
      <c r="O27" s="1141"/>
      <c r="P27" s="3218"/>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218"/>
      <c r="Z27" s="1816" t="str">
        <f t="shared" ref="Z27:Z40" si="13">Q27</f>
        <v>临街状况</v>
      </c>
      <c r="AA27" s="1813">
        <f t="shared" si="3"/>
        <v>1</v>
      </c>
      <c r="AB27" s="1813">
        <f t="shared" si="4"/>
        <v>1</v>
      </c>
      <c r="AC27" s="1813">
        <f t="shared" si="5"/>
        <v>1</v>
      </c>
    </row>
    <row r="28" spans="1:29" ht="27">
      <c r="A28" s="428"/>
      <c r="B28" s="632" t="s">
        <v>2685</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2"/>
      <c r="L28" s="1142"/>
      <c r="M28" s="1133"/>
      <c r="N28" s="1133"/>
      <c r="O28" s="1141"/>
      <c r="P28" s="3218"/>
      <c r="Q28" s="1812" t="str">
        <f t="shared" si="8"/>
        <v>毗邻道路的类型与等级</v>
      </c>
      <c r="R28" s="773" t="s">
        <v>17</v>
      </c>
      <c r="S28" s="774">
        <f t="shared" si="10"/>
        <v>100</v>
      </c>
      <c r="T28" s="773" t="s">
        <v>17</v>
      </c>
      <c r="U28" s="774">
        <f t="shared" si="11"/>
        <v>100</v>
      </c>
      <c r="V28" s="773" t="s">
        <v>17</v>
      </c>
      <c r="W28" s="774">
        <f t="shared" si="12"/>
        <v>100</v>
      </c>
      <c r="X28" s="1815"/>
      <c r="Y28" s="3218"/>
      <c r="Z28" s="1816" t="str">
        <f t="shared" si="13"/>
        <v>毗邻道路的类型与等级</v>
      </c>
      <c r="AA28" s="1813">
        <f t="shared" si="3"/>
        <v>1</v>
      </c>
      <c r="AB28" s="1813">
        <f t="shared" si="4"/>
        <v>1</v>
      </c>
      <c r="AC28" s="1813">
        <f t="shared" si="5"/>
        <v>1</v>
      </c>
    </row>
    <row r="29" spans="1:29" ht="15">
      <c r="A29" s="428"/>
      <c r="B29" s="631"/>
      <c r="C29" s="447"/>
      <c r="D29" s="448"/>
      <c r="E29" s="2613"/>
      <c r="F29" s="448"/>
      <c r="G29" s="2613"/>
      <c r="H29" s="448"/>
      <c r="I29" s="2613"/>
      <c r="J29" s="448"/>
      <c r="K29" s="613"/>
      <c r="L29" s="1142"/>
      <c r="M29" s="1133"/>
      <c r="N29" s="1133"/>
      <c r="O29" s="1141"/>
      <c r="P29" s="3218"/>
      <c r="Q29" s="1812"/>
      <c r="R29" s="773"/>
      <c r="S29" s="774"/>
      <c r="T29" s="773"/>
      <c r="U29" s="774"/>
      <c r="V29" s="773"/>
      <c r="W29" s="774"/>
      <c r="X29" s="1815"/>
      <c r="Y29" s="3218"/>
      <c r="Z29" s="1816"/>
      <c r="AA29" s="1813">
        <v>1</v>
      </c>
      <c r="AB29" s="1813">
        <v>1</v>
      </c>
      <c r="AC29" s="1813">
        <v>1</v>
      </c>
    </row>
    <row r="30" spans="1:29" ht="15">
      <c r="A30" s="428"/>
      <c r="B30" s="653" t="s">
        <v>2744</v>
      </c>
      <c r="C30" s="1391">
        <f>估价对象房地状况!G23</f>
        <v>0</v>
      </c>
      <c r="D30" s="435">
        <v>100</v>
      </c>
      <c r="E30" s="633"/>
      <c r="F30" s="435">
        <f>SUMIF(99:99,E30,100:100)-SUMIF(99:99,C30,100:100)+100</f>
        <v>100</v>
      </c>
      <c r="G30" s="633"/>
      <c r="H30" s="435">
        <f>SUMIF(99:99,G30,100:100)-SUMIF(99:99,C30,100:100)+100</f>
        <v>100</v>
      </c>
      <c r="I30" s="633"/>
      <c r="J30" s="435">
        <f>SUMIF(99:99,I30,100:100)-SUMIF(99:99,C30,100:100)+100</f>
        <v>100</v>
      </c>
      <c r="K30" s="612"/>
      <c r="L30" s="1142"/>
      <c r="M30" s="1133"/>
      <c r="N30" s="1133"/>
      <c r="O30" s="1141"/>
      <c r="P30" s="3218"/>
      <c r="Q30" s="1812" t="str">
        <f t="shared" si="8"/>
        <v>土地级别</v>
      </c>
      <c r="R30" s="773" t="s">
        <v>17</v>
      </c>
      <c r="S30" s="774">
        <f t="shared" si="10"/>
        <v>100</v>
      </c>
      <c r="T30" s="773" t="s">
        <v>17</v>
      </c>
      <c r="U30" s="774">
        <f t="shared" si="11"/>
        <v>100</v>
      </c>
      <c r="V30" s="773" t="s">
        <v>17</v>
      </c>
      <c r="W30" s="774">
        <f t="shared" si="12"/>
        <v>100</v>
      </c>
      <c r="X30" s="1815"/>
      <c r="Y30" s="3218"/>
      <c r="Z30" s="1816" t="str">
        <f t="shared" si="13"/>
        <v>土地级别</v>
      </c>
      <c r="AA30" s="1813">
        <f t="shared" si="3"/>
        <v>1</v>
      </c>
      <c r="AB30" s="1813">
        <f t="shared" si="4"/>
        <v>1</v>
      </c>
      <c r="AC30" s="1813">
        <f t="shared" si="5"/>
        <v>1</v>
      </c>
    </row>
    <row r="31" spans="1:29" ht="15">
      <c r="A31" s="404"/>
      <c r="B31" s="2680">
        <v>111</v>
      </c>
      <c r="C31" s="673"/>
      <c r="D31" s="435">
        <v>100</v>
      </c>
      <c r="E31" s="477"/>
      <c r="F31" s="435">
        <f>SUMIF(101:101,E31,102:102)-SUMIF(101:101,C31,102:102)+100</f>
        <v>100</v>
      </c>
      <c r="G31" s="477"/>
      <c r="H31" s="435">
        <f>SUMIF(101:101,G31,102:102)-SUMIF(101:101,C31,102:102)+100</f>
        <v>100</v>
      </c>
      <c r="I31" s="549"/>
      <c r="J31" s="435">
        <f>SUMIF(101:101,I31,102:102)-SUMIF(101:101,C31,102:102)+100</f>
        <v>100</v>
      </c>
      <c r="K31" s="613"/>
      <c r="L31" s="1142"/>
      <c r="M31" s="1133"/>
      <c r="N31" s="1133"/>
      <c r="O31" s="1141"/>
      <c r="P31" s="3218"/>
      <c r="Q31" s="1812">
        <f t="shared" si="8"/>
        <v>111</v>
      </c>
      <c r="R31" s="773" t="s">
        <v>17</v>
      </c>
      <c r="S31" s="774">
        <f t="shared" si="10"/>
        <v>100</v>
      </c>
      <c r="T31" s="773" t="s">
        <v>17</v>
      </c>
      <c r="U31" s="774">
        <f t="shared" si="11"/>
        <v>100</v>
      </c>
      <c r="V31" s="773" t="s">
        <v>17</v>
      </c>
      <c r="W31" s="774">
        <f t="shared" si="12"/>
        <v>100</v>
      </c>
      <c r="X31" s="1815"/>
      <c r="Y31" s="3218"/>
      <c r="Z31" s="1816">
        <f t="shared" si="13"/>
        <v>111</v>
      </c>
      <c r="AA31" s="1813">
        <f t="shared" si="3"/>
        <v>1</v>
      </c>
      <c r="AB31" s="1813">
        <f t="shared" si="4"/>
        <v>1</v>
      </c>
      <c r="AC31" s="1813">
        <f t="shared" si="5"/>
        <v>1</v>
      </c>
    </row>
    <row r="32" spans="1:29" ht="15">
      <c r="A32" s="674"/>
      <c r="B32" s="2716">
        <v>111</v>
      </c>
      <c r="C32" s="673"/>
      <c r="D32" s="435">
        <v>100</v>
      </c>
      <c r="E32" s="477"/>
      <c r="F32" s="435">
        <f>SUMIF(103:103,E33,104:104)-SUMIF(103:103,C33,104:104)+100</f>
        <v>100</v>
      </c>
      <c r="G32" s="477"/>
      <c r="H32" s="435">
        <f>SUMIF(103:103,G32,104:104)-SUMIF(103:103,C32,104:104)+100</f>
        <v>100</v>
      </c>
      <c r="I32" s="673"/>
      <c r="J32" s="435">
        <f>SUMIF(103:103,I32,104:104)-SUMIF(103:103,C32,104:104)+100</f>
        <v>100</v>
      </c>
      <c r="K32" s="613"/>
      <c r="L32" s="1142"/>
      <c r="M32" s="1133"/>
      <c r="N32" s="1133"/>
      <c r="O32" s="1141"/>
      <c r="P32" s="3276" t="s">
        <v>2559</v>
      </c>
      <c r="Q32" s="1812">
        <f t="shared" si="8"/>
        <v>111</v>
      </c>
      <c r="R32" s="773" t="s">
        <v>17</v>
      </c>
      <c r="S32" s="774">
        <f t="shared" si="10"/>
        <v>100</v>
      </c>
      <c r="T32" s="773" t="s">
        <v>17</v>
      </c>
      <c r="U32" s="774">
        <f t="shared" si="11"/>
        <v>100</v>
      </c>
      <c r="V32" s="773" t="s">
        <v>17</v>
      </c>
      <c r="W32" s="774">
        <f t="shared" si="12"/>
        <v>100</v>
      </c>
      <c r="X32" s="1815"/>
      <c r="Y32" s="3222" t="s">
        <v>2559</v>
      </c>
      <c r="Z32" s="1816">
        <f t="shared" si="13"/>
        <v>111</v>
      </c>
      <c r="AA32" s="1813">
        <f t="shared" si="3"/>
        <v>1</v>
      </c>
      <c r="AB32" s="1813">
        <f t="shared" si="4"/>
        <v>1</v>
      </c>
      <c r="AC32" s="1813">
        <f t="shared" si="5"/>
        <v>1</v>
      </c>
    </row>
    <row r="33" spans="1:29" s="471" customFormat="1" ht="15.75" thickBot="1">
      <c r="A33" s="675"/>
      <c r="B33" s="2717">
        <v>111</v>
      </c>
      <c r="C33" s="677"/>
      <c r="D33" s="137">
        <v>100</v>
      </c>
      <c r="E33" s="700"/>
      <c r="F33" s="438">
        <f>SUMIF(105:105,E33,106:106)-SUMIF(105:105,C33,106:106)+100</f>
        <v>100</v>
      </c>
      <c r="G33" s="700"/>
      <c r="H33" s="438">
        <f>SUMIF(105:105,G33,106:106)-SUMIF(105:105,C33,106:106)+100</f>
        <v>100</v>
      </c>
      <c r="I33" s="677"/>
      <c r="J33" s="438">
        <f>SUMIF(105:105,I33,106:106)-SUMIF(105:105,C33,106:106)+100</f>
        <v>100</v>
      </c>
      <c r="K33" s="613"/>
      <c r="L33" s="1140"/>
      <c r="M33" s="1143"/>
      <c r="N33" s="1143"/>
      <c r="O33" s="1144"/>
      <c r="P33" s="3222"/>
      <c r="Q33" s="1812">
        <f t="shared" si="8"/>
        <v>111</v>
      </c>
      <c r="R33" s="776" t="s">
        <v>17</v>
      </c>
      <c r="S33" s="777">
        <f t="shared" si="10"/>
        <v>100</v>
      </c>
      <c r="T33" s="776" t="s">
        <v>17</v>
      </c>
      <c r="U33" s="777">
        <f t="shared" si="11"/>
        <v>100</v>
      </c>
      <c r="V33" s="776" t="s">
        <v>17</v>
      </c>
      <c r="W33" s="777">
        <f t="shared" si="12"/>
        <v>100</v>
      </c>
      <c r="X33" s="778"/>
      <c r="Y33" s="3222"/>
      <c r="Z33" s="779">
        <f t="shared" si="13"/>
        <v>111</v>
      </c>
      <c r="AA33" s="1813">
        <f t="shared" si="3"/>
        <v>1</v>
      </c>
      <c r="AB33" s="1813">
        <f t="shared" si="4"/>
        <v>1</v>
      </c>
      <c r="AC33" s="1813">
        <f t="shared" si="5"/>
        <v>1</v>
      </c>
    </row>
    <row r="34" spans="1:29" ht="15">
      <c r="A34" s="440" t="s">
        <v>2557</v>
      </c>
      <c r="B34" s="456" t="s">
        <v>2745</v>
      </c>
      <c r="C34" s="678"/>
      <c r="D34" s="467">
        <v>100</v>
      </c>
      <c r="E34" s="678"/>
      <c r="F34" s="467" t="e">
        <f>LOOKUP(E34,108:108,109:109)-LOOKUP(C34,108:108,109:109)+100</f>
        <v>#N/A</v>
      </c>
      <c r="G34" s="678"/>
      <c r="H34" s="467" t="e">
        <f>LOOKUP(G34,108:108,109:109)-LOOKUP(C34,108:108,109:109)+100</f>
        <v>#N/A</v>
      </c>
      <c r="I34" s="530"/>
      <c r="J34" s="467" t="e">
        <f>LOOKUP(I34,108:108,109:109)-LOOKUP(C34,108:108,109:109)+100</f>
        <v>#N/A</v>
      </c>
      <c r="K34" s="613"/>
      <c r="L34" s="1142"/>
      <c r="M34" s="1133"/>
      <c r="N34" s="1133"/>
      <c r="O34" s="1141"/>
      <c r="P34" s="3222"/>
      <c r="Q34" s="1812" t="str">
        <f>B34</f>
        <v>宗地面积</v>
      </c>
      <c r="R34" s="773" t="s">
        <v>17</v>
      </c>
      <c r="S34" s="774" t="e">
        <f t="shared" si="10"/>
        <v>#N/A</v>
      </c>
      <c r="T34" s="773" t="s">
        <v>17</v>
      </c>
      <c r="U34" s="774" t="e">
        <f t="shared" si="11"/>
        <v>#N/A</v>
      </c>
      <c r="V34" s="773" t="s">
        <v>17</v>
      </c>
      <c r="W34" s="774" t="e">
        <f t="shared" si="12"/>
        <v>#N/A</v>
      </c>
      <c r="X34" s="1815"/>
      <c r="Y34" s="3222"/>
      <c r="Z34" s="1816" t="str">
        <f t="shared" si="13"/>
        <v>宗地面积</v>
      </c>
      <c r="AA34" s="1813" t="e">
        <f t="shared" si="3"/>
        <v>#N/A</v>
      </c>
      <c r="AB34" s="1813" t="e">
        <f t="shared" si="4"/>
        <v>#N/A</v>
      </c>
      <c r="AC34" s="1813" t="e">
        <f t="shared" si="5"/>
        <v>#N/A</v>
      </c>
    </row>
    <row r="35" spans="1:29" ht="15">
      <c r="A35" s="472"/>
      <c r="B35" s="422" t="s">
        <v>2746</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2"/>
      <c r="M35" s="1133"/>
      <c r="N35" s="1133"/>
      <c r="O35" s="1141"/>
      <c r="P35" s="3222"/>
      <c r="Q35" s="1812" t="str">
        <f t="shared" ref="Q35:Q40" si="14">B35</f>
        <v>宗地形状</v>
      </c>
      <c r="R35" s="773" t="s">
        <v>17</v>
      </c>
      <c r="S35" s="774">
        <f t="shared" si="10"/>
        <v>100</v>
      </c>
      <c r="T35" s="773" t="s">
        <v>17</v>
      </c>
      <c r="U35" s="774">
        <f t="shared" si="11"/>
        <v>100</v>
      </c>
      <c r="V35" s="773" t="s">
        <v>17</v>
      </c>
      <c r="W35" s="774">
        <f t="shared" si="12"/>
        <v>100</v>
      </c>
      <c r="X35" s="1815"/>
      <c r="Y35" s="3222"/>
      <c r="Z35" s="1816" t="str">
        <f t="shared" si="13"/>
        <v>宗地形状</v>
      </c>
      <c r="AA35" s="1813">
        <f t="shared" si="3"/>
        <v>1</v>
      </c>
      <c r="AB35" s="1813">
        <f t="shared" si="4"/>
        <v>1</v>
      </c>
      <c r="AC35" s="1813">
        <f t="shared" si="5"/>
        <v>1</v>
      </c>
    </row>
    <row r="36" spans="1:29" s="117" customFormat="1" ht="15">
      <c r="A36" s="473"/>
      <c r="B36" s="422" t="s">
        <v>2748</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4"/>
      <c r="M36" s="1135"/>
      <c r="N36" s="1135"/>
      <c r="O36" s="1136"/>
      <c r="P36" s="3222"/>
      <c r="Q36" s="1812" t="str">
        <f t="shared" si="14"/>
        <v>宗地开发程度</v>
      </c>
      <c r="R36" s="769" t="s">
        <v>17</v>
      </c>
      <c r="S36" s="770">
        <f t="shared" si="10"/>
        <v>100</v>
      </c>
      <c r="T36" s="769" t="s">
        <v>17</v>
      </c>
      <c r="U36" s="770">
        <f t="shared" si="11"/>
        <v>100</v>
      </c>
      <c r="V36" s="769" t="s">
        <v>17</v>
      </c>
      <c r="W36" s="770">
        <f t="shared" si="12"/>
        <v>100</v>
      </c>
      <c r="X36" s="771"/>
      <c r="Y36" s="3222"/>
      <c r="Z36" s="55" t="str">
        <f t="shared" si="13"/>
        <v>宗地开发程度</v>
      </c>
      <c r="AA36" s="772">
        <f t="shared" si="3"/>
        <v>1</v>
      </c>
      <c r="AB36" s="772">
        <f t="shared" si="4"/>
        <v>1</v>
      </c>
      <c r="AC36" s="772">
        <f t="shared" si="5"/>
        <v>1</v>
      </c>
    </row>
    <row r="37" spans="1:29" ht="15">
      <c r="A37" s="472"/>
      <c r="B37" s="422" t="s">
        <v>2749</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2"/>
      <c r="M37" s="1133"/>
      <c r="N37" s="1133"/>
      <c r="O37" s="1141"/>
      <c r="P37" s="3222" t="s">
        <v>2559</v>
      </c>
      <c r="Q37" s="1812" t="str">
        <f t="shared" si="14"/>
        <v>工程地质条件</v>
      </c>
      <c r="R37" s="773" t="s">
        <v>17</v>
      </c>
      <c r="S37" s="774">
        <f t="shared" si="10"/>
        <v>100</v>
      </c>
      <c r="T37" s="773" t="s">
        <v>17</v>
      </c>
      <c r="U37" s="774">
        <f t="shared" si="11"/>
        <v>100</v>
      </c>
      <c r="V37" s="773" t="s">
        <v>17</v>
      </c>
      <c r="W37" s="774">
        <f t="shared" si="12"/>
        <v>100</v>
      </c>
      <c r="X37" s="1815"/>
      <c r="Y37" s="3222" t="s">
        <v>2559</v>
      </c>
      <c r="Z37" s="1816" t="str">
        <f t="shared" si="13"/>
        <v>工程地质条件</v>
      </c>
      <c r="AA37" s="1813">
        <f t="shared" si="3"/>
        <v>1</v>
      </c>
      <c r="AB37" s="1813">
        <f t="shared" si="4"/>
        <v>1</v>
      </c>
      <c r="AC37" s="1813">
        <f t="shared" si="5"/>
        <v>1</v>
      </c>
    </row>
    <row r="38" spans="1:29" ht="15">
      <c r="A38" s="472"/>
      <c r="B38" s="1389">
        <v>111</v>
      </c>
      <c r="C38" s="673"/>
      <c r="D38" s="435">
        <v>100</v>
      </c>
      <c r="E38" s="673"/>
      <c r="F38" s="435">
        <f>SUMIF(116:116,E38,117:117)-SUMIF(116:116,C38,117:117)+100</f>
        <v>100</v>
      </c>
      <c r="G38" s="673"/>
      <c r="H38" s="435">
        <f>SUMIF(116:116,G38,117:117)-SUMIF(116:116,C38,117:117)+100</f>
        <v>100</v>
      </c>
      <c r="I38" s="549"/>
      <c r="J38" s="435">
        <f>SUMIF(116:116,I38,117:117)-SUMIF(116:116,C38,117:117)+100</f>
        <v>100</v>
      </c>
      <c r="K38" s="613"/>
      <c r="L38" s="1142"/>
      <c r="M38" s="1133"/>
      <c r="N38" s="1133"/>
      <c r="O38" s="1141"/>
      <c r="P38" s="3222"/>
      <c r="Q38" s="1812">
        <f t="shared" si="14"/>
        <v>111</v>
      </c>
      <c r="R38" s="773" t="s">
        <v>17</v>
      </c>
      <c r="S38" s="774">
        <f t="shared" si="10"/>
        <v>100</v>
      </c>
      <c r="T38" s="773" t="s">
        <v>17</v>
      </c>
      <c r="U38" s="774">
        <f t="shared" si="11"/>
        <v>100</v>
      </c>
      <c r="V38" s="773" t="s">
        <v>17</v>
      </c>
      <c r="W38" s="774">
        <f t="shared" si="12"/>
        <v>100</v>
      </c>
      <c r="X38" s="1815"/>
      <c r="Y38" s="3222"/>
      <c r="Z38" s="1816">
        <f t="shared" si="13"/>
        <v>111</v>
      </c>
      <c r="AA38" s="1813">
        <f t="shared" si="3"/>
        <v>1</v>
      </c>
      <c r="AB38" s="1813">
        <f t="shared" si="4"/>
        <v>1</v>
      </c>
      <c r="AC38" s="1813">
        <f t="shared" si="5"/>
        <v>1</v>
      </c>
    </row>
    <row r="39" spans="1:29" ht="15">
      <c r="A39" s="472"/>
      <c r="B39" s="1389">
        <v>111</v>
      </c>
      <c r="C39" s="673"/>
      <c r="D39" s="435">
        <v>100</v>
      </c>
      <c r="E39" s="673"/>
      <c r="F39" s="435">
        <f>SUMIF(118:118,E39,119:119)-SUMIF(118:118,C39,119:119)+100</f>
        <v>100</v>
      </c>
      <c r="G39" s="673"/>
      <c r="H39" s="435">
        <f>SUMIF(118:118,G39,119:119)-SUMIF(118:118,C39,119:119)+100</f>
        <v>100</v>
      </c>
      <c r="I39" s="549"/>
      <c r="J39" s="435">
        <f>SUMIF(118:118,I39,119:119)-SUMIF(118:118,C39,119:119)+100</f>
        <v>100</v>
      </c>
      <c r="K39" s="613"/>
      <c r="L39" s="1142"/>
      <c r="M39" s="1133"/>
      <c r="N39" s="1133"/>
      <c r="O39" s="1141"/>
      <c r="P39" s="3222"/>
      <c r="Q39" s="1812">
        <f t="shared" si="14"/>
        <v>111</v>
      </c>
      <c r="R39" s="773" t="s">
        <v>17</v>
      </c>
      <c r="S39" s="774">
        <f t="shared" si="10"/>
        <v>100</v>
      </c>
      <c r="T39" s="773" t="s">
        <v>17</v>
      </c>
      <c r="U39" s="774">
        <f t="shared" si="11"/>
        <v>100</v>
      </c>
      <c r="V39" s="773" t="s">
        <v>17</v>
      </c>
      <c r="W39" s="774">
        <f t="shared" si="12"/>
        <v>100</v>
      </c>
      <c r="X39" s="1815"/>
      <c r="Y39" s="3222"/>
      <c r="Z39" s="1816">
        <f t="shared" si="13"/>
        <v>111</v>
      </c>
      <c r="AA39" s="1813">
        <f t="shared" si="3"/>
        <v>1</v>
      </c>
      <c r="AB39" s="1813">
        <f t="shared" si="4"/>
        <v>1</v>
      </c>
      <c r="AC39" s="1813">
        <f t="shared" si="5"/>
        <v>1</v>
      </c>
    </row>
    <row r="40" spans="1:29" s="471" customFormat="1" ht="15.75" thickBot="1">
      <c r="A40" s="468"/>
      <c r="B40" s="1389">
        <v>111</v>
      </c>
      <c r="C40" s="2705"/>
      <c r="D40" s="137">
        <v>100</v>
      </c>
      <c r="E40" s="673"/>
      <c r="F40" s="438">
        <f>SUMIF(120:120,E40,121:121)-SUMIF(120:120,C40,121:121)+100</f>
        <v>100</v>
      </c>
      <c r="G40" s="673"/>
      <c r="H40" s="438">
        <f>SUMIF(120:120,G40,121:121)-SUMIF(120:120,C40,121:121)+100</f>
        <v>100</v>
      </c>
      <c r="I40" s="549"/>
      <c r="J40" s="438">
        <f>SUMIF(120:120,I40,121:121)-SUMIF(120:120,C40,121:121)+100</f>
        <v>100</v>
      </c>
      <c r="K40" s="680"/>
      <c r="L40" s="1140"/>
      <c r="M40" s="1143"/>
      <c r="N40" s="1143"/>
      <c r="O40" s="1144"/>
      <c r="P40" s="3222"/>
      <c r="Q40" s="1812">
        <f t="shared" si="14"/>
        <v>111</v>
      </c>
      <c r="R40" s="776" t="s">
        <v>17</v>
      </c>
      <c r="S40" s="777">
        <f t="shared" si="10"/>
        <v>100</v>
      </c>
      <c r="T40" s="776" t="s">
        <v>17</v>
      </c>
      <c r="U40" s="777">
        <f t="shared" si="11"/>
        <v>100</v>
      </c>
      <c r="V40" s="776" t="s">
        <v>17</v>
      </c>
      <c r="W40" s="777">
        <f t="shared" si="12"/>
        <v>100</v>
      </c>
      <c r="X40" s="778"/>
      <c r="Y40" s="3222"/>
      <c r="Z40" s="779">
        <f t="shared" si="13"/>
        <v>111</v>
      </c>
      <c r="AA40" s="1813">
        <f t="shared" si="3"/>
        <v>1</v>
      </c>
      <c r="AB40" s="1813">
        <f t="shared" si="4"/>
        <v>1</v>
      </c>
      <c r="AC40" s="1813">
        <f t="shared" si="5"/>
        <v>1</v>
      </c>
    </row>
    <row r="41" spans="1:29" ht="15">
      <c r="A41" s="479" t="s">
        <v>2714</v>
      </c>
      <c r="B41" s="2706" t="s">
        <v>2794</v>
      </c>
      <c r="C41" s="681" t="s">
        <v>1</v>
      </c>
      <c r="D41" s="481"/>
      <c r="E41" s="482"/>
      <c r="F41" s="483"/>
      <c r="G41" s="484"/>
      <c r="H41" s="485"/>
      <c r="I41" s="482"/>
      <c r="J41" s="485"/>
      <c r="K41" s="782"/>
      <c r="L41" s="1145"/>
      <c r="M41" s="1133"/>
      <c r="N41" s="1133"/>
      <c r="O41" s="1146"/>
      <c r="P41" s="3224" t="str">
        <f>A41</f>
        <v>成交单价</v>
      </c>
      <c r="Q41" s="3224"/>
      <c r="R41" s="3183">
        <f>E41</f>
        <v>0</v>
      </c>
      <c r="S41" s="3183"/>
      <c r="T41" s="3183">
        <f>G41</f>
        <v>0</v>
      </c>
      <c r="U41" s="3183"/>
      <c r="V41" s="3183">
        <f>I41</f>
        <v>0</v>
      </c>
      <c r="W41" s="3183"/>
      <c r="X41" s="758"/>
      <c r="Y41" s="780"/>
      <c r="Z41" s="758"/>
      <c r="AA41" s="758"/>
      <c r="AB41" s="758"/>
      <c r="AC41" s="758"/>
    </row>
    <row r="42" spans="1:29" ht="15.75" thickBot="1">
      <c r="A42" s="486" t="s">
        <v>2663</v>
      </c>
      <c r="B42" s="682"/>
      <c r="C42" s="490" t="e">
        <f>R43</f>
        <v>#DIV/0!</v>
      </c>
      <c r="D42" s="489"/>
      <c r="E42" s="490" t="e">
        <f>R42</f>
        <v>#DIV/0!</v>
      </c>
      <c r="F42" s="491"/>
      <c r="G42" s="488" t="e">
        <f>T42</f>
        <v>#DIV/0!</v>
      </c>
      <c r="H42" s="489"/>
      <c r="I42" s="490" t="e">
        <f>V42</f>
        <v>#DIV/0!</v>
      </c>
      <c r="J42" s="489"/>
      <c r="K42" s="783"/>
      <c r="L42" s="1145"/>
      <c r="M42" s="1133"/>
      <c r="N42" s="1133"/>
      <c r="O42" s="1146"/>
      <c r="P42" s="3224" t="str">
        <f>A42</f>
        <v>比较价值（元/平方米）</v>
      </c>
      <c r="Q42" s="3224"/>
      <c r="R42" s="3277" t="e">
        <f>ROUND(PRODUCT(R41,AA7:AA40),0)</f>
        <v>#DIV/0!</v>
      </c>
      <c r="S42" s="3277"/>
      <c r="T42" s="3277" t="e">
        <f>ROUND(PRODUCT(T41,AB7:AB40),0)</f>
        <v>#DIV/0!</v>
      </c>
      <c r="U42" s="3277"/>
      <c r="V42" s="3277" t="e">
        <f>ROUND(PRODUCT(V41,AC7:AC40),0)</f>
        <v>#DIV/0!</v>
      </c>
      <c r="W42" s="3277"/>
      <c r="X42" s="758"/>
      <c r="Y42" s="758"/>
      <c r="Z42" s="758"/>
      <c r="AA42" s="758"/>
      <c r="AB42" s="758"/>
      <c r="AC42" s="758"/>
    </row>
    <row r="43" spans="1:29" ht="15.75" thickBot="1">
      <c r="A43" s="492" t="s">
        <v>2664</v>
      </c>
      <c r="B43" s="493"/>
      <c r="C43" s="494" t="e">
        <f>R43</f>
        <v>#DIV/0!</v>
      </c>
      <c r="D43" s="494"/>
      <c r="E43" s="494"/>
      <c r="F43" s="494"/>
      <c r="G43" s="494"/>
      <c r="H43" s="494"/>
      <c r="I43" s="494"/>
      <c r="J43" s="494"/>
      <c r="K43" s="784"/>
      <c r="L43" s="1145"/>
      <c r="M43" s="1133"/>
      <c r="N43" s="1133"/>
      <c r="O43" s="1146"/>
      <c r="P43" s="3226" t="str">
        <f>A43</f>
        <v>估价对象XX用房的比较价值（楼面单价，元/平方米）</v>
      </c>
      <c r="Q43" s="3227"/>
      <c r="R43" s="3278" t="e">
        <f>ROUND(AVERAGE(R42:V42),0)</f>
        <v>#DIV/0!</v>
      </c>
      <c r="S43" s="3278"/>
      <c r="T43" s="3278"/>
      <c r="U43" s="3278"/>
      <c r="V43" s="3278"/>
      <c r="W43" s="3278"/>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7"/>
      <c r="L46" s="1108"/>
      <c r="M46" s="1133"/>
      <c r="N46" s="1133"/>
      <c r="O46" s="1146"/>
    </row>
    <row r="47" spans="1:29" ht="13.5" customHeight="1">
      <c r="A47" s="1146"/>
      <c r="B47" s="1146"/>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7"/>
      <c r="L47" s="1108"/>
      <c r="M47" s="1146"/>
      <c r="N47" s="1146"/>
      <c r="O47" s="1146"/>
    </row>
    <row r="48" spans="1:29" s="502" customFormat="1" ht="13.5" customHeight="1">
      <c r="A48" s="1147"/>
      <c r="B48" s="1147"/>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0"/>
      <c r="L48" s="1151"/>
      <c r="M48" s="1147"/>
      <c r="N48" s="1147"/>
      <c r="O48" s="1147"/>
    </row>
    <row r="49" spans="1:17" s="502" customFormat="1" ht="15" thickBot="1">
      <c r="A49" s="1147"/>
      <c r="B49" s="1148"/>
      <c r="C49" s="761"/>
      <c r="D49" s="759"/>
      <c r="E49" s="759"/>
      <c r="F49" s="759"/>
      <c r="G49" s="759"/>
      <c r="H49" s="759"/>
      <c r="I49" s="759"/>
      <c r="J49" s="759"/>
      <c r="K49" s="1150"/>
      <c r="L49" s="1151"/>
      <c r="M49" s="1147"/>
      <c r="N49" s="1147"/>
      <c r="O49" s="1147"/>
    </row>
    <row r="50" spans="1:17" ht="27">
      <c r="A50" s="683" t="s">
        <v>2752</v>
      </c>
      <c r="B50" s="684" t="s">
        <v>2753</v>
      </c>
      <c r="C50" s="2707" t="s">
        <v>2754</v>
      </c>
      <c r="D50" s="2708" t="s">
        <v>2755</v>
      </c>
      <c r="E50" s="685" t="s">
        <v>2756</v>
      </c>
      <c r="F50" s="686" t="s">
        <v>2757</v>
      </c>
      <c r="G50" s="3202" t="s">
        <v>2758</v>
      </c>
      <c r="H50" s="3279"/>
      <c r="I50" s="1816" t="s">
        <v>2795</v>
      </c>
      <c r="J50" s="1816" t="str">
        <f>项目基本情况!F35</f>
        <v>山东省济南市</v>
      </c>
      <c r="K50" s="2710" t="s">
        <v>2760</v>
      </c>
      <c r="L50" s="1108"/>
      <c r="M50" s="1146"/>
      <c r="N50" s="1146"/>
      <c r="O50" s="1146"/>
    </row>
    <row r="51" spans="1:17" s="691" customFormat="1">
      <c r="A51" s="687" t="s">
        <v>2761</v>
      </c>
      <c r="B51" s="688" t="e">
        <f>C43</f>
        <v>#DIV/0!</v>
      </c>
      <c r="C51" s="689">
        <v>1</v>
      </c>
      <c r="D51" s="1165">
        <v>1</v>
      </c>
      <c r="E51" s="689">
        <f>'数据-汇总表'!E8+'数据-汇总表'!E9</f>
        <v>1380.28</v>
      </c>
      <c r="F51" s="690" t="e">
        <f t="shared" ref="F51:F60" si="15">ROUND(B51*E51/10000,0)</f>
        <v>#DIV/0!</v>
      </c>
      <c r="G51" s="3201"/>
      <c r="H51" s="3224"/>
      <c r="I51" s="944">
        <v>1</v>
      </c>
      <c r="J51" s="944">
        <v>1</v>
      </c>
      <c r="K51" s="1147"/>
      <c r="L51" s="943"/>
      <c r="M51" s="943"/>
      <c r="N51" s="943"/>
      <c r="O51" s="943"/>
    </row>
    <row r="52" spans="1:17" s="691" customFormat="1">
      <c r="A52" s="692" t="s">
        <v>2762</v>
      </c>
      <c r="B52" s="262" t="e">
        <f>ROUND($C$43*C52*D52,0)</f>
        <v>#DIV/0!</v>
      </c>
      <c r="C52" s="200">
        <f t="shared" ref="C52:C60" si="16">IF($C$50="北京市系数",I52,J52)</f>
        <v>0</v>
      </c>
      <c r="D52" s="1166">
        <v>0.25</v>
      </c>
      <c r="E52" s="693"/>
      <c r="F52" s="690" t="e">
        <f t="shared" si="15"/>
        <v>#DIV/0!</v>
      </c>
      <c r="G52" s="3280" t="s">
        <v>2763</v>
      </c>
      <c r="H52" s="1106">
        <f>项目基本情况!B37</f>
        <v>0</v>
      </c>
      <c r="I52" s="944">
        <f>SUMIF(修正!A45:A56,H52,修正!B45:B56)</f>
        <v>0</v>
      </c>
      <c r="J52" s="945"/>
      <c r="K52" s="1146"/>
      <c r="L52" s="943"/>
      <c r="M52" s="943"/>
      <c r="N52" s="943"/>
      <c r="O52" s="943"/>
    </row>
    <row r="53" spans="1:17" s="691" customFormat="1">
      <c r="A53" s="692" t="s">
        <v>2764</v>
      </c>
      <c r="B53" s="262" t="e">
        <f t="shared" ref="B53:B60" si="17">ROUND($C$43*C53*D53,0)</f>
        <v>#DIV/0!</v>
      </c>
      <c r="C53" s="200">
        <f t="shared" si="16"/>
        <v>0</v>
      </c>
      <c r="D53" s="1166">
        <v>0.25</v>
      </c>
      <c r="E53" s="693"/>
      <c r="F53" s="690" t="e">
        <f t="shared" si="15"/>
        <v>#DIV/0!</v>
      </c>
      <c r="G53" s="3280"/>
      <c r="H53" s="1106">
        <f>项目基本情况!B37</f>
        <v>0</v>
      </c>
      <c r="I53" s="944">
        <f>SUMIF(修正!A45:A56,H53,修正!C45:C56)</f>
        <v>0</v>
      </c>
      <c r="J53" s="945"/>
      <c r="K53" s="1147"/>
      <c r="L53" s="943"/>
      <c r="M53" s="943"/>
      <c r="N53" s="943"/>
      <c r="O53" s="943"/>
    </row>
    <row r="54" spans="1:17" s="691" customFormat="1">
      <c r="A54" s="692" t="s">
        <v>2765</v>
      </c>
      <c r="B54" s="262" t="e">
        <f t="shared" si="17"/>
        <v>#DIV/0!</v>
      </c>
      <c r="C54" s="200">
        <f t="shared" si="16"/>
        <v>0</v>
      </c>
      <c r="D54" s="1166">
        <v>0.25</v>
      </c>
      <c r="E54" s="693"/>
      <c r="F54" s="690" t="e">
        <f t="shared" si="15"/>
        <v>#DIV/0!</v>
      </c>
      <c r="G54" s="3280"/>
      <c r="H54" s="1106">
        <f>项目基本情况!B37</f>
        <v>0</v>
      </c>
      <c r="I54" s="944">
        <f>SUMIF(修正!A45:A56,H54,修正!D45:D56)</f>
        <v>0</v>
      </c>
      <c r="J54" s="945"/>
      <c r="K54" s="1146"/>
      <c r="L54" s="943"/>
      <c r="M54" s="943"/>
      <c r="N54" s="943"/>
      <c r="O54" s="943"/>
    </row>
    <row r="55" spans="1:17" s="691" customFormat="1">
      <c r="A55" s="692" t="s">
        <v>2766</v>
      </c>
      <c r="B55" s="262" t="e">
        <f t="shared" si="17"/>
        <v>#DIV/0!</v>
      </c>
      <c r="C55" s="200">
        <f t="shared" si="16"/>
        <v>0</v>
      </c>
      <c r="D55" s="1166">
        <v>0.25</v>
      </c>
      <c r="E55" s="693"/>
      <c r="F55" s="690" t="e">
        <f t="shared" si="15"/>
        <v>#DIV/0!</v>
      </c>
      <c r="G55" s="3280"/>
      <c r="H55" s="1106">
        <f>项目基本情况!B37</f>
        <v>0</v>
      </c>
      <c r="I55" s="944">
        <f>SUMIF(修正!A45:A56,H55,修正!E45:E56)</f>
        <v>0</v>
      </c>
      <c r="J55" s="945"/>
      <c r="K55" s="1147"/>
      <c r="L55" s="943"/>
      <c r="M55" s="943"/>
      <c r="N55" s="943"/>
      <c r="O55" s="943"/>
    </row>
    <row r="56" spans="1:17" s="691" customFormat="1">
      <c r="A56" s="692" t="s">
        <v>2767</v>
      </c>
      <c r="B56" s="262" t="e">
        <f t="shared" si="17"/>
        <v>#DIV/0!</v>
      </c>
      <c r="C56" s="200">
        <f t="shared" si="16"/>
        <v>0</v>
      </c>
      <c r="D56" s="1166">
        <v>0.25</v>
      </c>
      <c r="E56" s="261">
        <f>'数据-汇总表'!E11</f>
        <v>0</v>
      </c>
      <c r="F56" s="690" t="e">
        <f t="shared" si="15"/>
        <v>#DIV/0!</v>
      </c>
      <c r="G56" s="2711" t="s">
        <v>2768</v>
      </c>
      <c r="H56" s="1106">
        <f>项目基本情况!C37</f>
        <v>0</v>
      </c>
      <c r="I56" s="944">
        <f>SUMIF(修正!A45:A56,H56,修正!F45:F56)</f>
        <v>0</v>
      </c>
      <c r="J56" s="945"/>
      <c r="K56" s="1146"/>
      <c r="L56" s="943"/>
      <c r="M56" s="943"/>
      <c r="N56" s="943"/>
      <c r="O56" s="943"/>
    </row>
    <row r="57" spans="1:17" s="691" customFormat="1">
      <c r="A57" s="692" t="s">
        <v>2769</v>
      </c>
      <c r="B57" s="262" t="e">
        <f t="shared" si="17"/>
        <v>#DIV/0!</v>
      </c>
      <c r="C57" s="200">
        <f t="shared" si="16"/>
        <v>0</v>
      </c>
      <c r="D57" s="1166">
        <v>0.25</v>
      </c>
      <c r="E57" s="261">
        <f>'数据-汇总表'!E12</f>
        <v>0</v>
      </c>
      <c r="F57" s="690" t="e">
        <f t="shared" si="15"/>
        <v>#DIV/0!</v>
      </c>
      <c r="G57" s="1111" t="s">
        <v>2770</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1" customFormat="1">
      <c r="A58" s="692" t="s">
        <v>2771</v>
      </c>
      <c r="B58" s="262" t="e">
        <f t="shared" si="17"/>
        <v>#DIV/0!</v>
      </c>
      <c r="C58" s="200">
        <f t="shared" si="16"/>
        <v>0</v>
      </c>
      <c r="D58" s="1166">
        <v>0.25</v>
      </c>
      <c r="E58" s="261">
        <f>'数据-汇总表'!E13</f>
        <v>0</v>
      </c>
      <c r="F58" s="690" t="e">
        <f t="shared" si="15"/>
        <v>#DIV/0!</v>
      </c>
      <c r="G58" s="1111" t="s">
        <v>2772</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1" customFormat="1">
      <c r="A59" s="692" t="s">
        <v>2773</v>
      </c>
      <c r="B59" s="262" t="e">
        <f t="shared" si="17"/>
        <v>#DIV/0!</v>
      </c>
      <c r="C59" s="200">
        <f t="shared" si="16"/>
        <v>0</v>
      </c>
      <c r="D59" s="1166">
        <v>0.25</v>
      </c>
      <c r="E59" s="261">
        <f>'数据-汇总表'!E14</f>
        <v>0</v>
      </c>
      <c r="F59" s="690" t="e">
        <f t="shared" si="15"/>
        <v>#DIV/0!</v>
      </c>
      <c r="G59" s="2711" t="s">
        <v>2763</v>
      </c>
      <c r="H59" s="1106">
        <f>项目基本情况!B37</f>
        <v>0</v>
      </c>
      <c r="I59" s="944">
        <f>SUMIF(修正!A45:A56,H59,修正!H45:H56)</f>
        <v>0</v>
      </c>
      <c r="J59" s="945"/>
      <c r="K59" s="1147"/>
      <c r="L59" s="943"/>
      <c r="M59" s="943"/>
      <c r="N59" s="943"/>
      <c r="O59" s="943"/>
    </row>
    <row r="60" spans="1:17" s="691" customFormat="1" ht="15" thickBot="1">
      <c r="A60" s="692" t="s">
        <v>2774</v>
      </c>
      <c r="B60" s="262" t="e">
        <f t="shared" si="17"/>
        <v>#DIV/0!</v>
      </c>
      <c r="C60" s="200">
        <f t="shared" si="16"/>
        <v>0</v>
      </c>
      <c r="D60" s="1166">
        <v>0.25</v>
      </c>
      <c r="E60" s="261">
        <f>'数据-汇总表'!E15</f>
        <v>0</v>
      </c>
      <c r="F60" s="690" t="e">
        <f t="shared" si="15"/>
        <v>#DIV/0!</v>
      </c>
      <c r="G60" s="2712" t="s">
        <v>2768</v>
      </c>
      <c r="H60" s="1116">
        <f>项目基本情况!C37</f>
        <v>0</v>
      </c>
      <c r="I60" s="944">
        <f>SUMIF(修正!A45:A56,H60,修正!H45:H56)</f>
        <v>0</v>
      </c>
      <c r="J60" s="945"/>
      <c r="K60" s="1146"/>
      <c r="L60" s="943"/>
      <c r="M60" s="943"/>
      <c r="N60" s="943"/>
      <c r="O60" s="943"/>
    </row>
    <row r="61" spans="1:17" s="691" customFormat="1" ht="15" thickBot="1">
      <c r="A61" s="694" t="s">
        <v>2775</v>
      </c>
      <c r="B61" s="695" t="s">
        <v>28</v>
      </c>
      <c r="C61" s="695" t="s">
        <v>29</v>
      </c>
      <c r="D61" s="695" t="s">
        <v>1029</v>
      </c>
      <c r="E61" s="695">
        <f>IF(B41="楼面地价",SUM(E51:E60),'数据-汇总表'!D3)</f>
        <v>6332.52</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2018-8-1</v>
      </c>
      <c r="D63" s="760">
        <f>EDATE(C63,-3)</f>
        <v>43221</v>
      </c>
      <c r="E63" s="760">
        <f>EDATE(D63,-3)</f>
        <v>43132</v>
      </c>
      <c r="F63" s="760">
        <f t="shared" ref="F63:O63" si="18">EDATE(E63,-3)</f>
        <v>43040</v>
      </c>
      <c r="G63" s="760">
        <f t="shared" si="18"/>
        <v>42948</v>
      </c>
      <c r="H63" s="760">
        <f t="shared" si="18"/>
        <v>42856</v>
      </c>
      <c r="I63" s="760">
        <f t="shared" si="18"/>
        <v>42767</v>
      </c>
      <c r="J63" s="760">
        <f t="shared" si="18"/>
        <v>42675</v>
      </c>
      <c r="K63" s="760">
        <f t="shared" si="18"/>
        <v>42583</v>
      </c>
      <c r="L63" s="760">
        <f t="shared" si="18"/>
        <v>42491</v>
      </c>
      <c r="M63" s="760">
        <f t="shared" si="18"/>
        <v>42401</v>
      </c>
      <c r="N63" s="760">
        <f t="shared" si="18"/>
        <v>42309</v>
      </c>
      <c r="O63" s="760">
        <f t="shared" si="18"/>
        <v>42217</v>
      </c>
    </row>
    <row r="64" spans="1:17" ht="21.75" thickBot="1">
      <c r="A64" s="762" t="s">
        <v>2668</v>
      </c>
      <c r="B64" s="758"/>
      <c r="C64" s="763"/>
      <c r="D64" s="763"/>
      <c r="E64" s="763"/>
      <c r="F64" s="764"/>
      <c r="G64" s="764"/>
      <c r="H64" s="763"/>
      <c r="I64" s="763"/>
      <c r="J64" s="763"/>
      <c r="K64" s="765"/>
      <c r="L64" s="766"/>
      <c r="M64" s="763"/>
      <c r="N64" s="763"/>
      <c r="O64" s="1161"/>
      <c r="P64" s="503"/>
      <c r="Q64" s="504"/>
    </row>
    <row r="65" spans="1:17" s="508" customFormat="1" ht="15">
      <c r="A65" s="2713" t="s">
        <v>2776</v>
      </c>
      <c r="B65" s="1361"/>
      <c r="C65" s="1574" t="str">
        <f>YEAR(C63)&amp;"-"&amp;ROUNDUP(MONTH(C63)/3,0)</f>
        <v>2018-3</v>
      </c>
      <c r="D65" s="1574" t="str">
        <f t="shared" ref="D65:O65" si="19">YEAR(D63)&amp;"-"&amp;ROUNDUP(MONTH(D63)/3,0)</f>
        <v>2018-2</v>
      </c>
      <c r="E65" s="1574" t="str">
        <f t="shared" si="19"/>
        <v>2018-1</v>
      </c>
      <c r="F65" s="1574" t="str">
        <f t="shared" si="19"/>
        <v>2017-4</v>
      </c>
      <c r="G65" s="1574" t="str">
        <f t="shared" si="19"/>
        <v>2017-3</v>
      </c>
      <c r="H65" s="1574" t="str">
        <f t="shared" si="19"/>
        <v>2017-2</v>
      </c>
      <c r="I65" s="1574" t="str">
        <f t="shared" si="19"/>
        <v>2017-1</v>
      </c>
      <c r="J65" s="1574" t="str">
        <f t="shared" si="19"/>
        <v>2016-4</v>
      </c>
      <c r="K65" s="1574" t="str">
        <f t="shared" si="19"/>
        <v>2016-3</v>
      </c>
      <c r="L65" s="1574" t="str">
        <f t="shared" si="19"/>
        <v>2016-2</v>
      </c>
      <c r="M65" s="1574" t="str">
        <f t="shared" si="19"/>
        <v>2016-1</v>
      </c>
      <c r="N65" s="1574" t="str">
        <f t="shared" si="19"/>
        <v>2015-4</v>
      </c>
      <c r="O65" s="1574" t="str">
        <f t="shared" si="19"/>
        <v>2015-3</v>
      </c>
      <c r="P65" s="507"/>
    </row>
    <row r="66" spans="1:17" s="117" customFormat="1" ht="30.75" customHeight="1">
      <c r="A66" s="2718" t="s">
        <v>2796</v>
      </c>
      <c r="B66" s="332" t="str">
        <f>"北京市平均增长率"&amp;TEXT(基准地价修正!P24,"0.00%")</f>
        <v>北京市平均增长率1.41%</v>
      </c>
      <c r="C66" s="603">
        <v>100</v>
      </c>
      <c r="D66" s="595"/>
      <c r="E66" s="595"/>
      <c r="F66" s="595"/>
      <c r="G66" s="595"/>
      <c r="H66" s="595"/>
      <c r="I66" s="595"/>
      <c r="J66" s="595"/>
      <c r="K66" s="595"/>
      <c r="L66" s="595"/>
      <c r="M66" s="1569"/>
      <c r="N66" s="1569"/>
      <c r="O66" s="1571"/>
      <c r="P66" s="504"/>
    </row>
    <row r="67" spans="1:17" s="117" customFormat="1" ht="15.75" thickBot="1">
      <c r="A67" s="515" t="s">
        <v>2579</v>
      </c>
      <c r="B67" s="516"/>
      <c r="C67" s="517"/>
      <c r="D67" s="518"/>
      <c r="E67" s="518"/>
      <c r="F67" s="518"/>
      <c r="G67" s="518"/>
      <c r="H67" s="518"/>
      <c r="I67" s="518"/>
      <c r="J67" s="518"/>
      <c r="K67" s="518"/>
      <c r="L67" s="518"/>
      <c r="M67" s="519"/>
      <c r="N67" s="519"/>
      <c r="O67" s="520"/>
      <c r="P67" s="504"/>
      <c r="Q67" s="504"/>
    </row>
    <row r="68" spans="1:17" s="117" customFormat="1" ht="15">
      <c r="A68" s="521" t="s">
        <v>2544</v>
      </c>
      <c r="B68" s="510"/>
      <c r="C68" s="522" t="s">
        <v>2646</v>
      </c>
      <c r="D68" s="523"/>
      <c r="E68" s="523"/>
      <c r="F68" s="523"/>
      <c r="G68" s="523"/>
      <c r="H68" s="523"/>
      <c r="I68" s="523"/>
      <c r="J68" s="523"/>
      <c r="K68" s="523"/>
      <c r="L68" s="524"/>
      <c r="M68" s="525"/>
      <c r="N68" s="1153"/>
      <c r="O68" s="1153"/>
      <c r="P68" s="526"/>
      <c r="Q68" s="504"/>
    </row>
    <row r="69" spans="1:17" s="117" customFormat="1" ht="15.75" thickBot="1">
      <c r="A69" s="521"/>
      <c r="B69" s="510"/>
      <c r="C69" s="638">
        <v>100</v>
      </c>
      <c r="D69" s="512"/>
      <c r="E69" s="512"/>
      <c r="F69" s="512"/>
      <c r="G69" s="512"/>
      <c r="H69" s="512"/>
      <c r="I69" s="512"/>
      <c r="J69" s="512"/>
      <c r="K69" s="512"/>
      <c r="L69" s="512"/>
      <c r="M69" s="514"/>
      <c r="N69" s="1153"/>
      <c r="O69" s="1153"/>
      <c r="P69" s="504"/>
      <c r="Q69" s="504"/>
    </row>
    <row r="70" spans="1:17">
      <c r="A70" s="527" t="s">
        <v>2582</v>
      </c>
      <c r="B70" s="528" t="s">
        <v>2548</v>
      </c>
      <c r="C70" s="530"/>
      <c r="D70" s="530"/>
      <c r="E70" s="530"/>
      <c r="F70" s="530"/>
      <c r="G70" s="530"/>
      <c r="H70" s="530"/>
      <c r="I70" s="530"/>
      <c r="J70" s="530"/>
      <c r="K70" s="531"/>
      <c r="L70" s="532"/>
      <c r="M70" s="533"/>
      <c r="N70" s="1154"/>
      <c r="O70" s="1154"/>
      <c r="P70" s="45"/>
      <c r="Q70" s="504"/>
    </row>
    <row r="71" spans="1:17" ht="15.75" thickBot="1">
      <c r="A71" s="534"/>
      <c r="B71" s="535"/>
      <c r="C71" s="536"/>
      <c r="D71" s="536"/>
      <c r="E71" s="536"/>
      <c r="F71" s="536"/>
      <c r="G71" s="536"/>
      <c r="H71" s="536"/>
      <c r="I71" s="536"/>
      <c r="J71" s="536"/>
      <c r="K71" s="536"/>
      <c r="L71" s="536"/>
      <c r="M71" s="537"/>
      <c r="N71" s="1155"/>
      <c r="O71" s="1155"/>
      <c r="P71" s="45"/>
      <c r="Q71" s="504"/>
    </row>
    <row r="72" spans="1:17" ht="27.75" thickTop="1">
      <c r="A72" s="534"/>
      <c r="B72" s="538" t="s">
        <v>2551</v>
      </c>
      <c r="C72" s="539"/>
      <c r="D72" s="539"/>
      <c r="E72" s="539"/>
      <c r="F72" s="539"/>
      <c r="G72" s="539"/>
      <c r="H72" s="539"/>
      <c r="I72" s="539"/>
      <c r="J72" s="539"/>
      <c r="K72" s="540"/>
      <c r="L72" s="541"/>
      <c r="M72" s="542"/>
      <c r="N72" s="1154"/>
      <c r="O72" s="1154"/>
      <c r="P72" s="45"/>
      <c r="Q72" s="504"/>
    </row>
    <row r="73" spans="1:17" ht="15.75" thickBot="1">
      <c r="A73" s="534"/>
      <c r="B73" s="543"/>
      <c r="C73" s="544"/>
      <c r="D73" s="544"/>
      <c r="E73" s="544"/>
      <c r="F73" s="544"/>
      <c r="G73" s="544"/>
      <c r="H73" s="544"/>
      <c r="I73" s="544"/>
      <c r="J73" s="544"/>
      <c r="K73" s="544"/>
      <c r="L73" s="544"/>
      <c r="M73" s="545"/>
      <c r="N73" s="1155"/>
      <c r="O73" s="1155"/>
      <c r="P73" s="45"/>
      <c r="Q73" s="504"/>
    </row>
    <row r="74" spans="1:17" ht="15.75" thickTop="1">
      <c r="A74" s="534"/>
      <c r="B74" s="546" t="s">
        <v>2552</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5"/>
      <c r="O74" s="1155"/>
      <c r="P74" s="45"/>
      <c r="Q74" s="504"/>
    </row>
    <row r="75" spans="1:17" ht="15">
      <c r="A75" s="534"/>
      <c r="B75" s="548"/>
      <c r="C75" s="549"/>
      <c r="D75" s="549"/>
      <c r="E75" s="549"/>
      <c r="F75" s="549"/>
      <c r="G75" s="549"/>
      <c r="H75" s="549"/>
      <c r="I75" s="549"/>
      <c r="J75" s="549"/>
      <c r="K75" s="550"/>
      <c r="L75" s="551"/>
      <c r="M75" s="552"/>
      <c r="N75" s="1154"/>
      <c r="O75" s="1154"/>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5"/>
      <c r="O76" s="1155"/>
      <c r="P76" s="45"/>
      <c r="Q76" s="504"/>
    </row>
    <row r="77" spans="1:17" s="471" customFormat="1" ht="15.75" thickTop="1">
      <c r="A77" s="553"/>
      <c r="B77" s="538">
        <f>B12</f>
        <v>111</v>
      </c>
      <c r="C77" s="554"/>
      <c r="D77" s="554"/>
      <c r="E77" s="554"/>
      <c r="F77" s="554"/>
      <c r="G77" s="554"/>
      <c r="H77" s="555"/>
      <c r="I77" s="555"/>
      <c r="J77" s="555"/>
      <c r="K77" s="555"/>
      <c r="L77" s="556"/>
      <c r="M77" s="557"/>
      <c r="N77" s="1156"/>
      <c r="O77" s="1156"/>
      <c r="P77" s="558"/>
      <c r="Q77" s="559"/>
    </row>
    <row r="78" spans="1:17" s="471" customFormat="1" ht="15.75" thickBot="1">
      <c r="A78" s="553"/>
      <c r="B78" s="543"/>
      <c r="C78" s="560"/>
      <c r="D78" s="536"/>
      <c r="E78" s="536"/>
      <c r="F78" s="536"/>
      <c r="G78" s="536"/>
      <c r="H78" s="536"/>
      <c r="I78" s="536"/>
      <c r="J78" s="536"/>
      <c r="K78" s="536"/>
      <c r="L78" s="536"/>
      <c r="M78" s="537"/>
      <c r="N78" s="1155"/>
      <c r="O78" s="1155"/>
      <c r="P78" s="558"/>
      <c r="Q78" s="559"/>
    </row>
    <row r="79" spans="1:17" s="471" customFormat="1" ht="15.75" thickTop="1">
      <c r="A79" s="553"/>
      <c r="B79" s="538">
        <f>B13</f>
        <v>111</v>
      </c>
      <c r="C79" s="554"/>
      <c r="D79" s="554"/>
      <c r="E79" s="554"/>
      <c r="F79" s="554"/>
      <c r="G79" s="554"/>
      <c r="H79" s="555"/>
      <c r="I79" s="555"/>
      <c r="J79" s="555"/>
      <c r="K79" s="555"/>
      <c r="L79" s="556"/>
      <c r="M79" s="557"/>
      <c r="N79" s="1156"/>
      <c r="O79" s="1156"/>
      <c r="P79" s="470"/>
      <c r="Q79" s="561"/>
    </row>
    <row r="80" spans="1:17" s="471" customFormat="1" ht="15.75" thickBot="1">
      <c r="A80" s="553"/>
      <c r="B80" s="543"/>
      <c r="C80" s="560"/>
      <c r="D80" s="560"/>
      <c r="E80" s="560"/>
      <c r="F80" s="560"/>
      <c r="G80" s="560"/>
      <c r="H80" s="562"/>
      <c r="I80" s="562"/>
      <c r="J80" s="562"/>
      <c r="K80" s="562"/>
      <c r="L80" s="562"/>
      <c r="M80" s="563"/>
      <c r="N80" s="1156"/>
      <c r="O80" s="1156"/>
      <c r="P80" s="558"/>
      <c r="Q80" s="559"/>
    </row>
    <row r="81" spans="1:17" s="471" customFormat="1" ht="15.75" thickTop="1">
      <c r="A81" s="553"/>
      <c r="B81" s="546">
        <f>B14</f>
        <v>111</v>
      </c>
      <c r="C81" s="523"/>
      <c r="D81" s="523"/>
      <c r="E81" s="523"/>
      <c r="F81" s="523"/>
      <c r="G81" s="523"/>
      <c r="H81" s="564"/>
      <c r="I81" s="564"/>
      <c r="J81" s="564"/>
      <c r="K81" s="564"/>
      <c r="L81" s="565"/>
      <c r="M81" s="566"/>
      <c r="N81" s="1156"/>
      <c r="O81" s="1156"/>
      <c r="P81" s="567"/>
      <c r="Q81" s="559"/>
    </row>
    <row r="82" spans="1:17" s="471" customFormat="1" ht="15.75" thickBot="1">
      <c r="A82" s="568"/>
      <c r="B82" s="569"/>
      <c r="C82" s="570"/>
      <c r="D82" s="570"/>
      <c r="E82" s="570"/>
      <c r="F82" s="570"/>
      <c r="G82" s="570"/>
      <c r="H82" s="571"/>
      <c r="I82" s="571"/>
      <c r="J82" s="571"/>
      <c r="K82" s="571"/>
      <c r="L82" s="571"/>
      <c r="M82" s="572"/>
      <c r="N82" s="1156"/>
      <c r="O82" s="1156"/>
      <c r="P82" s="558"/>
      <c r="Q82" s="559"/>
    </row>
    <row r="83" spans="1:17">
      <c r="A83" s="527" t="s">
        <v>2553</v>
      </c>
      <c r="B83" s="528" t="s">
        <v>2699</v>
      </c>
      <c r="C83" s="573" t="s">
        <v>2591</v>
      </c>
      <c r="D83" s="573" t="s">
        <v>2592</v>
      </c>
      <c r="E83" s="573" t="s">
        <v>2593</v>
      </c>
      <c r="F83" s="573" t="s">
        <v>2594</v>
      </c>
      <c r="G83" s="573" t="s">
        <v>2595</v>
      </c>
      <c r="H83" s="529"/>
      <c r="I83" s="529"/>
      <c r="J83" s="529"/>
      <c r="K83" s="574"/>
      <c r="L83" s="575"/>
      <c r="M83" s="576"/>
      <c r="N83" s="1154"/>
      <c r="O83" s="1154"/>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5"/>
      <c r="O84" s="1155"/>
      <c r="P84" s="45"/>
      <c r="Q84" s="504"/>
    </row>
    <row r="85" spans="1:17" ht="15.75" thickTop="1">
      <c r="A85" s="534"/>
      <c r="B85" s="538" t="s">
        <v>2596</v>
      </c>
      <c r="C85" s="578" t="s">
        <v>2591</v>
      </c>
      <c r="D85" s="578" t="s">
        <v>2592</v>
      </c>
      <c r="E85" s="578" t="s">
        <v>2593</v>
      </c>
      <c r="F85" s="578" t="s">
        <v>2594</v>
      </c>
      <c r="G85" s="578" t="s">
        <v>2595</v>
      </c>
      <c r="H85" s="539"/>
      <c r="I85" s="539"/>
      <c r="J85" s="539"/>
      <c r="K85" s="540"/>
      <c r="L85" s="541"/>
      <c r="M85" s="542"/>
      <c r="N85" s="1154"/>
      <c r="O85" s="1154"/>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5"/>
      <c r="O86" s="1155"/>
      <c r="P86" s="45"/>
      <c r="Q86" s="504"/>
    </row>
    <row r="87" spans="1:17" s="117" customFormat="1" ht="15.75" thickTop="1">
      <c r="A87" s="579"/>
      <c r="B87" s="538" t="s">
        <v>2779</v>
      </c>
      <c r="C87" s="573" t="s">
        <v>2591</v>
      </c>
      <c r="D87" s="573" t="s">
        <v>2592</v>
      </c>
      <c r="E87" s="573" t="s">
        <v>2593</v>
      </c>
      <c r="F87" s="573" t="s">
        <v>2594</v>
      </c>
      <c r="G87" s="573" t="s">
        <v>2595</v>
      </c>
      <c r="H87" s="578"/>
      <c r="I87" s="578"/>
      <c r="J87" s="578"/>
      <c r="K87" s="578"/>
      <c r="L87" s="697"/>
      <c r="M87" s="621"/>
      <c r="N87" s="1153"/>
      <c r="O87" s="1153"/>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5"/>
      <c r="O88" s="1155"/>
      <c r="P88" s="45"/>
      <c r="Q88" s="504"/>
    </row>
    <row r="89" spans="1:17" s="117" customFormat="1" ht="27.75" thickTop="1">
      <c r="A89" s="579"/>
      <c r="B89" s="538" t="s">
        <v>2780</v>
      </c>
      <c r="C89" s="573" t="s">
        <v>2591</v>
      </c>
      <c r="D89" s="573" t="s">
        <v>2592</v>
      </c>
      <c r="E89" s="573" t="s">
        <v>2593</v>
      </c>
      <c r="F89" s="573" t="s">
        <v>2594</v>
      </c>
      <c r="G89" s="573" t="s">
        <v>2595</v>
      </c>
      <c r="H89" s="578"/>
      <c r="I89" s="578"/>
      <c r="J89" s="578"/>
      <c r="K89" s="578"/>
      <c r="L89" s="578"/>
      <c r="M89" s="621"/>
      <c r="N89" s="1153"/>
      <c r="O89" s="1153"/>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5"/>
      <c r="O90" s="1155"/>
      <c r="P90" s="45"/>
      <c r="Q90" s="504"/>
    </row>
    <row r="91" spans="1:17" s="471" customFormat="1" ht="15.75" thickTop="1">
      <c r="A91" s="553"/>
      <c r="B91" s="538" t="s">
        <v>2648</v>
      </c>
      <c r="C91" s="573" t="s">
        <v>2591</v>
      </c>
      <c r="D91" s="573" t="s">
        <v>2592</v>
      </c>
      <c r="E91" s="573" t="s">
        <v>2593</v>
      </c>
      <c r="F91" s="573" t="s">
        <v>2594</v>
      </c>
      <c r="G91" s="573" t="s">
        <v>2595</v>
      </c>
      <c r="H91" s="600"/>
      <c r="I91" s="600"/>
      <c r="J91" s="600"/>
      <c r="K91" s="600"/>
      <c r="L91" s="601"/>
      <c r="M91" s="602"/>
      <c r="N91" s="1156"/>
      <c r="O91" s="1156"/>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6"/>
      <c r="O92" s="1156"/>
      <c r="P92" s="558"/>
      <c r="Q92" s="559"/>
    </row>
    <row r="93" spans="1:17" s="471" customFormat="1" ht="15.75" thickTop="1">
      <c r="A93" s="553"/>
      <c r="B93" s="546" t="s">
        <v>2797</v>
      </c>
      <c r="C93" s="659" t="s">
        <v>2669</v>
      </c>
      <c r="D93" s="659" t="s">
        <v>2670</v>
      </c>
      <c r="E93" s="659" t="s">
        <v>2671</v>
      </c>
      <c r="F93" s="659" t="s">
        <v>2672</v>
      </c>
      <c r="G93" s="659" t="s">
        <v>2673</v>
      </c>
      <c r="H93" s="600"/>
      <c r="I93" s="600"/>
      <c r="J93" s="600"/>
      <c r="K93" s="600"/>
      <c r="L93" s="600"/>
      <c r="M93" s="602"/>
      <c r="N93" s="1156"/>
      <c r="O93" s="1156"/>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7"/>
      <c r="N94" s="1156"/>
      <c r="O94" s="1156"/>
      <c r="P94" s="558"/>
      <c r="Q94" s="559"/>
    </row>
    <row r="95" spans="1:17" ht="15.75" thickTop="1">
      <c r="A95" s="534"/>
      <c r="B95" s="538" t="str">
        <f>B27</f>
        <v>临街状况</v>
      </c>
      <c r="C95" s="539" t="s">
        <v>2781</v>
      </c>
      <c r="D95" s="539" t="s">
        <v>2782</v>
      </c>
      <c r="E95" s="539" t="s">
        <v>2783</v>
      </c>
      <c r="F95" s="539" t="s">
        <v>2784</v>
      </c>
      <c r="G95" s="539"/>
      <c r="H95" s="539"/>
      <c r="I95" s="539"/>
      <c r="J95" s="539"/>
      <c r="K95" s="540"/>
      <c r="L95" s="541"/>
      <c r="M95" s="542"/>
      <c r="N95" s="1154"/>
      <c r="O95" s="1154"/>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5"/>
      <c r="O96" s="1155"/>
      <c r="P96" s="45"/>
      <c r="Q96" s="504"/>
    </row>
    <row r="97" spans="1:17" ht="27.75" thickTop="1">
      <c r="A97" s="534"/>
      <c r="B97" s="538" t="s">
        <v>2685</v>
      </c>
      <c r="C97" s="554"/>
      <c r="D97" s="554"/>
      <c r="E97" s="554"/>
      <c r="F97" s="554"/>
      <c r="G97" s="554"/>
      <c r="H97" s="583"/>
      <c r="I97" s="583"/>
      <c r="J97" s="583"/>
      <c r="K97" s="584"/>
      <c r="L97" s="585"/>
      <c r="M97" s="586"/>
      <c r="N97" s="1154"/>
      <c r="O97" s="1154"/>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5"/>
      <c r="O98" s="1155"/>
      <c r="P98" s="45"/>
      <c r="Q98" s="504"/>
    </row>
    <row r="99" spans="1:17" ht="15.75" thickTop="1">
      <c r="A99" s="534"/>
      <c r="B99" s="538" t="s">
        <v>2744</v>
      </c>
      <c r="C99" s="583"/>
      <c r="D99" s="583"/>
      <c r="E99" s="583"/>
      <c r="F99" s="583"/>
      <c r="G99" s="583"/>
      <c r="H99" s="583"/>
      <c r="I99" s="583"/>
      <c r="J99" s="583"/>
      <c r="K99" s="584"/>
      <c r="L99" s="585"/>
      <c r="M99" s="586"/>
      <c r="N99" s="1154"/>
      <c r="O99" s="1154"/>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5"/>
      <c r="O100" s="1155"/>
      <c r="P100" s="45"/>
      <c r="Q100" s="504"/>
    </row>
    <row r="101" spans="1:17" ht="15.75" thickTop="1">
      <c r="A101" s="534"/>
      <c r="B101" s="546">
        <f>B31</f>
        <v>111</v>
      </c>
      <c r="C101" s="554"/>
      <c r="D101" s="554"/>
      <c r="E101" s="554"/>
      <c r="F101" s="554"/>
      <c r="G101" s="587"/>
      <c r="H101" s="587"/>
      <c r="I101" s="587"/>
      <c r="J101" s="587"/>
      <c r="K101" s="588"/>
      <c r="L101" s="589"/>
      <c r="M101" s="590"/>
      <c r="N101" s="1154"/>
      <c r="O101" s="1154"/>
      <c r="P101" s="45"/>
      <c r="Q101" s="504"/>
    </row>
    <row r="102" spans="1:17" ht="15.75" thickBot="1">
      <c r="A102" s="534"/>
      <c r="B102" s="569"/>
      <c r="C102" s="560"/>
      <c r="D102" s="536"/>
      <c r="E102" s="536"/>
      <c r="F102" s="536"/>
      <c r="G102" s="591"/>
      <c r="H102" s="591"/>
      <c r="I102" s="591"/>
      <c r="J102" s="591"/>
      <c r="K102" s="591"/>
      <c r="L102" s="591"/>
      <c r="M102" s="592"/>
      <c r="N102" s="1155"/>
      <c r="O102" s="1155"/>
      <c r="P102" s="45"/>
      <c r="Q102" s="504"/>
    </row>
    <row r="103" spans="1:17" ht="15" thickTop="1">
      <c r="A103" s="674"/>
      <c r="B103" s="538">
        <f>B32</f>
        <v>111</v>
      </c>
      <c r="C103" s="554"/>
      <c r="D103" s="554"/>
      <c r="E103" s="554"/>
      <c r="F103" s="554"/>
      <c r="G103" s="583"/>
      <c r="H103" s="583"/>
      <c r="I103" s="583"/>
      <c r="J103" s="583"/>
      <c r="K103" s="584"/>
      <c r="L103" s="585"/>
      <c r="M103" s="586"/>
      <c r="N103" s="1154"/>
      <c r="O103" s="1154"/>
      <c r="P103" s="45"/>
      <c r="Q103" s="504"/>
    </row>
    <row r="104" spans="1:17" ht="15.75" thickBot="1">
      <c r="A104" s="534"/>
      <c r="B104" s="543"/>
      <c r="C104" s="560"/>
      <c r="D104" s="560"/>
      <c r="E104" s="560"/>
      <c r="F104" s="560"/>
      <c r="G104" s="536"/>
      <c r="H104" s="536"/>
      <c r="I104" s="536"/>
      <c r="J104" s="536"/>
      <c r="K104" s="536"/>
      <c r="L104" s="536"/>
      <c r="M104" s="537"/>
      <c r="N104" s="1155"/>
      <c r="O104" s="1155"/>
      <c r="P104" s="45"/>
      <c r="Q104" s="504"/>
    </row>
    <row r="105" spans="1:17" s="471" customFormat="1" ht="15" thickTop="1">
      <c r="A105" s="593"/>
      <c r="B105" s="594">
        <f>B33</f>
        <v>111</v>
      </c>
      <c r="C105" s="523"/>
      <c r="D105" s="523"/>
      <c r="E105" s="523"/>
      <c r="F105" s="523"/>
      <c r="G105" s="595"/>
      <c r="H105" s="595"/>
      <c r="I105" s="595"/>
      <c r="J105" s="596"/>
      <c r="K105" s="596"/>
      <c r="L105" s="597"/>
      <c r="M105" s="598"/>
      <c r="N105" s="1156"/>
      <c r="O105" s="1156"/>
      <c r="P105" s="558"/>
      <c r="Q105" s="559"/>
    </row>
    <row r="106" spans="1:17" s="471" customFormat="1" ht="15.75" thickBot="1">
      <c r="A106" s="553"/>
      <c r="B106" s="546"/>
      <c r="C106" s="570"/>
      <c r="D106" s="570"/>
      <c r="E106" s="570"/>
      <c r="F106" s="570"/>
      <c r="G106" s="676"/>
      <c r="H106" s="676"/>
      <c r="I106" s="676"/>
      <c r="J106" s="676"/>
      <c r="K106" s="676"/>
      <c r="L106" s="676"/>
      <c r="M106" s="698"/>
      <c r="N106" s="1155"/>
      <c r="O106" s="1155"/>
      <c r="P106" s="558"/>
      <c r="Q106" s="559"/>
    </row>
    <row r="107" spans="1:17">
      <c r="A107" s="527" t="s">
        <v>2557</v>
      </c>
      <c r="B107" s="528" t="s">
        <v>2785</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4"/>
      <c r="O107" s="1154"/>
      <c r="P107" s="45"/>
      <c r="Q107" s="504"/>
    </row>
    <row r="108" spans="1:17" ht="15">
      <c r="A108" s="534"/>
      <c r="B108" s="546"/>
      <c r="C108" s="595"/>
      <c r="D108" s="595"/>
      <c r="E108" s="595"/>
      <c r="F108" s="595"/>
      <c r="G108" s="595"/>
      <c r="H108" s="595"/>
      <c r="I108" s="595"/>
      <c r="J108" s="596"/>
      <c r="K108" s="596"/>
      <c r="L108" s="597"/>
      <c r="M108" s="598"/>
      <c r="N108" s="1154"/>
      <c r="O108" s="1154"/>
      <c r="P108" s="45"/>
      <c r="Q108" s="504"/>
    </row>
    <row r="109" spans="1:17" ht="15.75" thickBot="1">
      <c r="A109" s="534"/>
      <c r="B109" s="543"/>
      <c r="C109" s="570"/>
      <c r="D109" s="591"/>
      <c r="E109" s="591"/>
      <c r="F109" s="591"/>
      <c r="G109" s="591"/>
      <c r="H109" s="591"/>
      <c r="I109" s="591"/>
      <c r="J109" s="591"/>
      <c r="K109" s="591"/>
      <c r="L109" s="591"/>
      <c r="M109" s="592"/>
      <c r="N109" s="1155"/>
      <c r="O109" s="1155"/>
      <c r="P109" s="45"/>
      <c r="Q109" s="504"/>
    </row>
    <row r="110" spans="1:17" ht="15" thickTop="1">
      <c r="A110" s="599"/>
      <c r="B110" s="538" t="s">
        <v>2786</v>
      </c>
      <c r="C110" s="583"/>
      <c r="D110" s="583"/>
      <c r="E110" s="583"/>
      <c r="F110" s="583"/>
      <c r="G110" s="583"/>
      <c r="H110" s="583"/>
      <c r="I110" s="583"/>
      <c r="J110" s="583"/>
      <c r="K110" s="584"/>
      <c r="L110" s="585"/>
      <c r="M110" s="586"/>
      <c r="N110" s="1154"/>
      <c r="O110" s="1154"/>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5"/>
      <c r="O111" s="1155"/>
      <c r="P111" s="45"/>
      <c r="Q111" s="504"/>
    </row>
    <row r="112" spans="1:17" s="471" customFormat="1" ht="15" thickTop="1">
      <c r="A112" s="593"/>
      <c r="B112" s="538" t="s">
        <v>2788</v>
      </c>
      <c r="C112" s="554"/>
      <c r="D112" s="554"/>
      <c r="E112" s="554"/>
      <c r="F112" s="554"/>
      <c r="G112" s="554"/>
      <c r="H112" s="583"/>
      <c r="I112" s="583"/>
      <c r="J112" s="583"/>
      <c r="K112" s="584"/>
      <c r="L112" s="585"/>
      <c r="M112" s="586"/>
      <c r="N112" s="1156"/>
      <c r="O112" s="1156"/>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6"/>
      <c r="O113" s="1156"/>
      <c r="P113" s="558"/>
      <c r="Q113" s="559"/>
    </row>
    <row r="114" spans="1:17" ht="15" thickTop="1">
      <c r="A114" s="599"/>
      <c r="B114" s="538" t="s">
        <v>2789</v>
      </c>
      <c r="C114" s="554"/>
      <c r="D114" s="554"/>
      <c r="E114" s="583"/>
      <c r="F114" s="583"/>
      <c r="G114" s="583"/>
      <c r="H114" s="583"/>
      <c r="I114" s="583"/>
      <c r="J114" s="583"/>
      <c r="K114" s="584"/>
      <c r="L114" s="585"/>
      <c r="M114" s="586"/>
      <c r="N114" s="1154"/>
      <c r="O114" s="1154"/>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5"/>
      <c r="O115" s="1155"/>
      <c r="P115" s="45"/>
      <c r="Q115" s="504"/>
    </row>
    <row r="116" spans="1:17" ht="15" thickTop="1">
      <c r="A116" s="599"/>
      <c r="B116" s="538">
        <f>B38</f>
        <v>111</v>
      </c>
      <c r="C116" s="554"/>
      <c r="D116" s="554"/>
      <c r="E116" s="554"/>
      <c r="F116" s="554"/>
      <c r="G116" s="554"/>
      <c r="H116" s="583"/>
      <c r="I116" s="583"/>
      <c r="J116" s="583"/>
      <c r="K116" s="584"/>
      <c r="L116" s="585"/>
      <c r="M116" s="586"/>
      <c r="N116" s="1154"/>
      <c r="O116" s="1154"/>
      <c r="P116" s="45"/>
      <c r="Q116" s="504"/>
    </row>
    <row r="117" spans="1:17" ht="15.75" thickBot="1">
      <c r="A117" s="534"/>
      <c r="B117" s="543"/>
      <c r="C117" s="560"/>
      <c r="D117" s="536"/>
      <c r="E117" s="536"/>
      <c r="F117" s="536"/>
      <c r="G117" s="536"/>
      <c r="H117" s="536"/>
      <c r="I117" s="536"/>
      <c r="J117" s="536"/>
      <c r="K117" s="536"/>
      <c r="L117" s="536"/>
      <c r="M117" s="537"/>
      <c r="N117" s="1155"/>
      <c r="O117" s="1155"/>
      <c r="P117" s="45"/>
      <c r="Q117" s="504"/>
    </row>
    <row r="118" spans="1:17" ht="15" thickTop="1">
      <c r="A118" s="599"/>
      <c r="B118" s="538">
        <f>B39</f>
        <v>111</v>
      </c>
      <c r="C118" s="554"/>
      <c r="D118" s="554"/>
      <c r="E118" s="554"/>
      <c r="F118" s="554"/>
      <c r="G118" s="583"/>
      <c r="H118" s="583"/>
      <c r="I118" s="583"/>
      <c r="J118" s="583"/>
      <c r="K118" s="584"/>
      <c r="L118" s="585"/>
      <c r="M118" s="586"/>
      <c r="N118" s="1154"/>
      <c r="O118" s="1154"/>
      <c r="P118" s="45"/>
      <c r="Q118" s="504"/>
    </row>
    <row r="119" spans="1:17" ht="15.75" thickBot="1">
      <c r="A119" s="534"/>
      <c r="B119" s="543"/>
      <c r="C119" s="560"/>
      <c r="D119" s="560"/>
      <c r="E119" s="560"/>
      <c r="F119" s="560"/>
      <c r="G119" s="536"/>
      <c r="H119" s="536"/>
      <c r="I119" s="536"/>
      <c r="J119" s="536"/>
      <c r="K119" s="536"/>
      <c r="L119" s="536"/>
      <c r="M119" s="537"/>
      <c r="N119" s="1155"/>
      <c r="O119" s="1155"/>
      <c r="P119" s="45"/>
      <c r="Q119" s="504"/>
    </row>
    <row r="120" spans="1:17" s="471" customFormat="1" ht="15" thickTop="1">
      <c r="A120" s="593"/>
      <c r="B120" s="538">
        <f>B40</f>
        <v>111</v>
      </c>
      <c r="C120" s="523"/>
      <c r="D120" s="523"/>
      <c r="E120" s="523"/>
      <c r="F120" s="523"/>
      <c r="G120" s="555"/>
      <c r="H120" s="555"/>
      <c r="I120" s="555"/>
      <c r="J120" s="555"/>
      <c r="K120" s="555"/>
      <c r="L120" s="556"/>
      <c r="M120" s="557"/>
      <c r="N120" s="1156"/>
      <c r="O120" s="1156"/>
      <c r="P120" s="558"/>
      <c r="Q120" s="559"/>
    </row>
    <row r="121" spans="1:17" s="471" customFormat="1" ht="15.75" thickBot="1">
      <c r="A121" s="568"/>
      <c r="B121" s="699"/>
      <c r="C121" s="570"/>
      <c r="D121" s="570"/>
      <c r="E121" s="570"/>
      <c r="F121" s="570"/>
      <c r="G121" s="591"/>
      <c r="H121" s="591"/>
      <c r="I121" s="591"/>
      <c r="J121" s="591"/>
      <c r="K121" s="591"/>
      <c r="L121" s="591"/>
      <c r="M121" s="592"/>
      <c r="N121" s="1156"/>
      <c r="O121" s="1156"/>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G13" sqref="G13"/>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4" customWidth="1"/>
    <col min="33" max="36" width="9.375" style="2798" customWidth="1"/>
    <col min="37" max="38" width="9.375" style="2722" customWidth="1"/>
    <col min="39" max="16384" width="12" style="2722"/>
  </cols>
  <sheetData>
    <row r="1" spans="1:36" ht="28.5">
      <c r="A1" s="240" t="s">
        <v>2798</v>
      </c>
      <c r="B1" s="241"/>
      <c r="C1" s="245" t="s">
        <v>2799</v>
      </c>
      <c r="D1" s="388">
        <f>SUM(D29:D30,D33:D39)</f>
        <v>0</v>
      </c>
      <c r="E1" s="2719"/>
      <c r="F1" s="2719"/>
      <c r="G1" s="2719"/>
      <c r="H1" s="2719"/>
      <c r="I1" s="2719"/>
      <c r="J1" s="2719"/>
      <c r="K1" s="1372"/>
      <c r="L1" s="2720" t="s">
        <v>2800</v>
      </c>
      <c r="M1" s="1082">
        <f>SUMPRODUCT((区片价!B5:B9=I2)*(区片价!C3:F3=E2)*(区片价!C5:F9))</f>
        <v>0</v>
      </c>
      <c r="N1" s="1085">
        <f>SUMPRODUCT((因素修正幅度!B5:B9=I2)*(因素修正幅度!C3:F3=E2)*(因素修正幅度!C5:F9))</f>
        <v>0</v>
      </c>
      <c r="O1" s="2721"/>
      <c r="P1" s="2721"/>
      <c r="Q1" s="1372"/>
      <c r="R1" s="1604" t="s">
        <v>2801</v>
      </c>
      <c r="S1" s="1604" t="s">
        <v>2802</v>
      </c>
      <c r="T1" s="1604" t="s">
        <v>2803</v>
      </c>
      <c r="U1" s="1604" t="s">
        <v>2804</v>
      </c>
      <c r="V1" s="1604" t="s">
        <v>2805</v>
      </c>
      <c r="W1" s="1608"/>
      <c r="X1" s="1608"/>
      <c r="Y1" s="1608"/>
      <c r="Z1" s="1608"/>
      <c r="AA1" s="1608"/>
      <c r="AB1" s="1608"/>
      <c r="AC1" s="1609"/>
      <c r="AD1" s="1610"/>
      <c r="AE1" s="1610"/>
      <c r="AF1" s="1610"/>
      <c r="AG1" s="1610"/>
      <c r="AH1" s="1610"/>
      <c r="AI1" s="1610"/>
      <c r="AJ1" s="1611"/>
    </row>
    <row r="2" spans="1:36" ht="15.75">
      <c r="A2" s="245" t="s">
        <v>2806</v>
      </c>
      <c r="B2" s="248" t="e">
        <f>C26</f>
        <v>#DIV/0!</v>
      </c>
      <c r="C2" s="2723" t="s">
        <v>2807</v>
      </c>
      <c r="D2" s="2724" t="s">
        <v>2808</v>
      </c>
      <c r="E2" s="2725"/>
      <c r="F2" s="2724" t="s">
        <v>2809</v>
      </c>
      <c r="G2" s="2726">
        <f>IF(E2="商业",项目基本情况!B37,IF(E2="办公",项目基本情况!C37,IF(E2="住宅",项目基本情况!D37,项目基本情况!E37)))</f>
        <v>0</v>
      </c>
      <c r="H2" s="2724" t="s">
        <v>2810</v>
      </c>
      <c r="I2" s="2726">
        <f>IF(E2="商业",项目基本情况!B38,IF(E2="办公",项目基本情况!C38,IF(E2="住宅",项目基本情况!D38,项目基本情况!E38)))</f>
        <v>0</v>
      </c>
      <c r="J2" s="2727"/>
      <c r="K2" s="1372"/>
      <c r="L2" s="2728" t="s">
        <v>2811</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2812</v>
      </c>
      <c r="B3" s="248" t="e">
        <f>ROUND(B2*10000/D1,0)</f>
        <v>#DIV/0!</v>
      </c>
      <c r="C3" s="2723" t="s">
        <v>2813</v>
      </c>
      <c r="D3" s="2724" t="s">
        <v>2814</v>
      </c>
      <c r="E3" s="2729"/>
      <c r="F3" s="2730" t="s">
        <v>2815</v>
      </c>
      <c r="G3" s="915">
        <f>IF(F3="宗地容积率",'数据-汇总表'!I4,IF(F3="估价对象容积率",'数据-汇总表'!I6,'数据-汇总表'!I7))</f>
        <v>0.22</v>
      </c>
      <c r="H3" s="198" t="s">
        <v>2816</v>
      </c>
      <c r="I3" s="946"/>
      <c r="J3" s="2727" t="s">
        <v>2817</v>
      </c>
      <c r="K3" s="1372"/>
      <c r="L3" s="2728" t="s">
        <v>2818</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99"/>
      <c r="B4" s="3300"/>
      <c r="C4" s="3300"/>
      <c r="D4" s="3301"/>
      <c r="E4" s="3301"/>
      <c r="F4" s="3301"/>
      <c r="G4" s="3301"/>
      <c r="H4" s="3301"/>
      <c r="I4" s="3301"/>
      <c r="J4" s="3302"/>
      <c r="K4" s="1372"/>
      <c r="L4" s="2728" t="s">
        <v>2819</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0" customFormat="1" ht="15.75" thickBot="1">
      <c r="A5" s="2731" t="s">
        <v>807</v>
      </c>
      <c r="B5" s="2732" t="s">
        <v>2820</v>
      </c>
      <c r="C5" s="916" t="e">
        <f>ROUND(IF(E2="商业",IF(F16="增加",C6*C7+C16,C6*C7-C16),IF(E2="住宅",IF(F16="增加",C6*C12+C16,C6*C12-C16),IF(F16="增加",C6+C16,C6-C16))),0)</f>
        <v>#DIV/0!</v>
      </c>
      <c r="D5" s="1789">
        <f>ROUND(IF(E2="商业",IF(F16="增加",C6+C16,C6-C16)),0)</f>
        <v>0</v>
      </c>
      <c r="E5" s="2733"/>
      <c r="F5" s="2733"/>
      <c r="G5" s="2734"/>
      <c r="H5" s="2734"/>
      <c r="I5" s="2734"/>
      <c r="J5" s="2735"/>
      <c r="K5" s="2736"/>
      <c r="L5" s="2728" t="s">
        <v>2821</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7"/>
      <c r="AD5" s="2738"/>
      <c r="AE5" s="2738"/>
      <c r="AF5" s="2738"/>
      <c r="AG5" s="2738"/>
      <c r="AH5" s="2738"/>
      <c r="AI5" s="2738"/>
      <c r="AJ5" s="2739"/>
    </row>
    <row r="6" spans="1:36" ht="15.75" thickBot="1">
      <c r="A6" s="2741" t="s">
        <v>2822</v>
      </c>
      <c r="B6" s="2742" t="s">
        <v>2823</v>
      </c>
      <c r="C6" s="917">
        <f>SUMIF(L1:L12,G2,M1:M12)</f>
        <v>0</v>
      </c>
      <c r="D6" s="2743" t="s">
        <v>2824</v>
      </c>
      <c r="E6" s="2744"/>
      <c r="F6" s="2744"/>
      <c r="G6" s="2745"/>
      <c r="H6" s="2745"/>
      <c r="I6" s="2745"/>
      <c r="J6" s="2746"/>
      <c r="K6" s="1844"/>
      <c r="L6" s="2728" t="s">
        <v>2825</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7"/>
      <c r="AD6" s="2738"/>
      <c r="AE6" s="2738"/>
      <c r="AF6" s="2738"/>
      <c r="AG6" s="2738"/>
      <c r="AH6" s="2738"/>
      <c r="AI6" s="2738"/>
      <c r="AJ6" s="2739"/>
    </row>
    <row r="7" spans="1:36" ht="24">
      <c r="A7" s="3285" t="str">
        <f>IF(E2="商业",IF(C8="不临58条商业街","",2),"")</f>
        <v/>
      </c>
      <c r="B7" s="2747" t="s">
        <v>2826</v>
      </c>
      <c r="C7" s="918" t="e">
        <f>IF(C8="不临58条商业街",1,ROUND(1+(1.6*E8+1.2*E9+0.8*E10+0.4*E11)*C9,4))</f>
        <v>#DIV/0!</v>
      </c>
      <c r="D7" s="2748" t="s">
        <v>2827</v>
      </c>
      <c r="E7" s="947"/>
      <c r="F7" s="2749"/>
      <c r="G7" s="2750"/>
      <c r="H7" s="2750"/>
      <c r="I7" s="2750"/>
      <c r="J7" s="2751"/>
      <c r="K7" s="1844"/>
      <c r="L7" s="2728" t="s">
        <v>2828</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2829</v>
      </c>
      <c r="X7" s="1606">
        <f>G2</f>
        <v>0</v>
      </c>
      <c r="Y7" s="1606" t="s">
        <v>2830</v>
      </c>
      <c r="Z7" s="1607">
        <f>G3</f>
        <v>0.22</v>
      </c>
      <c r="AA7" s="1608"/>
      <c r="AB7" s="1608"/>
      <c r="AC7" s="1609"/>
      <c r="AD7" s="1610"/>
      <c r="AE7" s="1610"/>
      <c r="AF7" s="1610"/>
      <c r="AG7" s="1610"/>
      <c r="AH7" s="1610"/>
      <c r="AI7" s="1610"/>
      <c r="AJ7" s="1611"/>
    </row>
    <row r="8" spans="1:36" ht="15">
      <c r="A8" s="3286"/>
      <c r="B8" s="198" t="s">
        <v>2831</v>
      </c>
      <c r="C8" s="2752"/>
      <c r="D8" s="919" t="s">
        <v>139</v>
      </c>
      <c r="E8" s="920" t="e">
        <f>ROUND(C11/E7,4)</f>
        <v>#DIV/0!</v>
      </c>
      <c r="F8" s="2753" t="s">
        <v>2832</v>
      </c>
      <c r="G8" s="2754"/>
      <c r="H8" s="2754"/>
      <c r="I8" s="2754"/>
      <c r="J8" s="2755"/>
      <c r="K8" s="1372"/>
      <c r="L8" s="2728" t="s">
        <v>2833</v>
      </c>
      <c r="M8" s="1083">
        <f>SUMPRODUCT((区片价!B206:B244=I2)*(区片价!C3:F3=E2)*(区片价!C206:F244))</f>
        <v>0</v>
      </c>
      <c r="N8" s="1085">
        <f>SUMPRODUCT((因素修正幅度!B206:B244=I2)*(因素修正幅度!C3:F3=E2)*(因素修正幅度!C206:F244))</f>
        <v>0</v>
      </c>
      <c r="O8" s="1372"/>
      <c r="P8" s="1372"/>
      <c r="Q8" s="1372"/>
      <c r="R8" s="1604">
        <v>7</v>
      </c>
      <c r="S8" s="1605"/>
      <c r="T8" s="1604" t="e">
        <f t="shared" si="0"/>
        <v>#DIV/0!</v>
      </c>
      <c r="U8" s="1605"/>
      <c r="V8" s="1604" t="e">
        <f t="shared" si="1"/>
        <v>#DIV/0!</v>
      </c>
      <c r="W8" s="3296" t="s">
        <v>2834</v>
      </c>
      <c r="X8" s="3297"/>
      <c r="Y8" s="1612" t="s">
        <v>2835</v>
      </c>
      <c r="Z8" s="1612" t="s">
        <v>2836</v>
      </c>
      <c r="AA8" s="1612" t="s">
        <v>2837</v>
      </c>
      <c r="AB8" s="1612" t="s">
        <v>2838</v>
      </c>
      <c r="AC8" s="1612" t="s">
        <v>2839</v>
      </c>
      <c r="AD8" s="1612" t="s">
        <v>2840</v>
      </c>
      <c r="AE8" s="1612" t="s">
        <v>2841</v>
      </c>
      <c r="AF8" s="1612" t="s">
        <v>2842</v>
      </c>
      <c r="AG8" s="1612" t="s">
        <v>2843</v>
      </c>
      <c r="AH8" s="1612" t="s">
        <v>2844</v>
      </c>
      <c r="AI8" s="1612" t="s">
        <v>2845</v>
      </c>
      <c r="AJ8" s="1612" t="s">
        <v>2846</v>
      </c>
    </row>
    <row r="9" spans="1:36" ht="15">
      <c r="A9" s="3286"/>
      <c r="B9" s="198" t="s">
        <v>2847</v>
      </c>
      <c r="C9" s="921">
        <f>SUMIF(修正!C59:C119,C8,修正!E59:E119)</f>
        <v>0</v>
      </c>
      <c r="D9" s="200" t="s">
        <v>140</v>
      </c>
      <c r="E9" s="200" t="e">
        <f>ROUND(C11/E7,4)</f>
        <v>#DIV/0!</v>
      </c>
      <c r="F9" s="2753" t="s">
        <v>2848</v>
      </c>
      <c r="G9" s="2754"/>
      <c r="H9" s="2754"/>
      <c r="I9" s="2754"/>
      <c r="J9" s="2755"/>
      <c r="K9" s="1372"/>
      <c r="L9" s="2728" t="s">
        <v>2849</v>
      </c>
      <c r="M9" s="1083">
        <f>SUMPRODUCT((区片价!B245:B289=I2)*(区片价!C3:F3=E2)*(区片价!C245:F289))</f>
        <v>0</v>
      </c>
      <c r="N9" s="1085">
        <f>SUMPRODUCT((因素修正幅度!B245:B289=I2)*(因素修正幅度!C3:F3=E2)*(因素修正幅度!C245:F289))</f>
        <v>0</v>
      </c>
      <c r="O9" s="1372"/>
      <c r="P9" s="1372"/>
      <c r="Q9" s="1372"/>
      <c r="R9" s="1604">
        <v>8</v>
      </c>
      <c r="S9" s="1605"/>
      <c r="T9" s="1604" t="e">
        <f t="shared" si="0"/>
        <v>#DIV/0!</v>
      </c>
      <c r="U9" s="1605"/>
      <c r="V9" s="1604" t="e">
        <f t="shared" si="1"/>
        <v>#DIV/0!</v>
      </c>
      <c r="W9" s="3298" t="s">
        <v>2850</v>
      </c>
      <c r="X9" s="1613" t="s">
        <v>2851</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86"/>
      <c r="B10" s="198" t="s">
        <v>2852</v>
      </c>
      <c r="C10" s="200">
        <f>SUMIF(修正!C59:C119,C8,修正!F59:F119)</f>
        <v>0</v>
      </c>
      <c r="D10" s="200" t="s">
        <v>141</v>
      </c>
      <c r="E10" s="200" t="e">
        <f>ROUND(C11/E7,4)</f>
        <v>#DIV/0!</v>
      </c>
      <c r="F10" s="2753" t="s">
        <v>2853</v>
      </c>
      <c r="G10" s="2754"/>
      <c r="H10" s="2754"/>
      <c r="I10" s="2754"/>
      <c r="J10" s="2755"/>
      <c r="K10" s="1372"/>
      <c r="L10" s="2728" t="s">
        <v>2854</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t="e">
        <f t="shared" si="0"/>
        <v>#DIV/0!</v>
      </c>
      <c r="U10" s="1605"/>
      <c r="V10" s="1604" t="e">
        <f t="shared" si="1"/>
        <v>#DIV/0!</v>
      </c>
      <c r="W10" s="3298"/>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86"/>
      <c r="B11" s="2756" t="s">
        <v>2855</v>
      </c>
      <c r="C11" s="922">
        <f>C10/4</f>
        <v>0</v>
      </c>
      <c r="D11" s="922" t="s">
        <v>142</v>
      </c>
      <c r="E11" s="922" t="e">
        <f>ROUND(C11/E7,4)</f>
        <v>#DIV/0!</v>
      </c>
      <c r="F11" s="2757" t="s">
        <v>2856</v>
      </c>
      <c r="G11" s="2758"/>
      <c r="H11" s="2758"/>
      <c r="I11" s="2758"/>
      <c r="J11" s="2759"/>
      <c r="K11" s="1372"/>
      <c r="L11" s="2728" t="s">
        <v>2857</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t="e">
        <f t="shared" si="0"/>
        <v>#DIV/0!</v>
      </c>
      <c r="U11" s="1605"/>
      <c r="V11" s="1604" t="e">
        <f t="shared" si="1"/>
        <v>#DIV/0!</v>
      </c>
      <c r="W11" s="3298" t="s">
        <v>2858</v>
      </c>
      <c r="X11" s="1616" t="s">
        <v>2859</v>
      </c>
      <c r="Y11" s="1617">
        <f>$G$3</f>
        <v>0.22</v>
      </c>
      <c r="Z11" s="1617">
        <f t="shared" ref="Z11:AJ11" si="3">$G$3</f>
        <v>0.22</v>
      </c>
      <c r="AA11" s="1617">
        <f t="shared" si="3"/>
        <v>0.22</v>
      </c>
      <c r="AB11" s="1617">
        <f t="shared" si="3"/>
        <v>0.22</v>
      </c>
      <c r="AC11" s="1617">
        <f t="shared" si="3"/>
        <v>0.22</v>
      </c>
      <c r="AD11" s="1617">
        <f t="shared" si="3"/>
        <v>0.22</v>
      </c>
      <c r="AE11" s="1617">
        <f t="shared" si="3"/>
        <v>0.22</v>
      </c>
      <c r="AF11" s="1617">
        <f t="shared" si="3"/>
        <v>0.22</v>
      </c>
      <c r="AG11" s="1617">
        <f t="shared" si="3"/>
        <v>0.22</v>
      </c>
      <c r="AH11" s="1617">
        <f t="shared" si="3"/>
        <v>0.22</v>
      </c>
      <c r="AI11" s="1617">
        <f t="shared" si="3"/>
        <v>0.22</v>
      </c>
      <c r="AJ11" s="1617">
        <f t="shared" si="3"/>
        <v>0.22</v>
      </c>
    </row>
    <row r="12" spans="1:36" ht="25.5" thickBot="1">
      <c r="A12" s="3285" t="s">
        <v>2860</v>
      </c>
      <c r="B12" s="2760" t="s">
        <v>2861</v>
      </c>
      <c r="C12" s="918">
        <f>ROUND(C15*D15*E15*F15*G15*H15*I15*J15,4)</f>
        <v>1</v>
      </c>
      <c r="D12" s="2761" t="s">
        <v>2862</v>
      </c>
      <c r="E12" s="2762"/>
      <c r="F12" s="2762"/>
      <c r="G12" s="2763"/>
      <c r="H12" s="2763"/>
      <c r="I12" s="2763"/>
      <c r="J12" s="2764"/>
      <c r="K12" s="1372"/>
      <c r="L12" s="2765" t="s">
        <v>2863</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t="e">
        <f t="shared" si="0"/>
        <v>#DIV/0!</v>
      </c>
      <c r="U12" s="1605"/>
      <c r="V12" s="1604" t="e">
        <f t="shared" si="1"/>
        <v>#DIV/0!</v>
      </c>
      <c r="W12" s="3298"/>
      <c r="X12" s="1618" t="s">
        <v>2864</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303"/>
      <c r="B13" s="2766" t="s">
        <v>2865</v>
      </c>
      <c r="C13" s="2767" t="s">
        <v>2866</v>
      </c>
      <c r="D13" s="1810" t="s">
        <v>2867</v>
      </c>
      <c r="E13" s="1810" t="s">
        <v>2868</v>
      </c>
      <c r="F13" s="30" t="s">
        <v>2869</v>
      </c>
      <c r="G13" s="2768" t="s">
        <v>2870</v>
      </c>
      <c r="H13" s="2768" t="s">
        <v>2870</v>
      </c>
      <c r="I13" s="2768" t="s">
        <v>2870</v>
      </c>
      <c r="J13" s="2769" t="s">
        <v>2870</v>
      </c>
      <c r="K13" s="1372"/>
      <c r="L13" s="1372"/>
      <c r="M13" s="1372"/>
      <c r="N13" s="1372"/>
      <c r="O13" s="1372"/>
      <c r="P13" s="1372"/>
      <c r="Q13" s="1372"/>
      <c r="R13" s="1604">
        <v>12</v>
      </c>
      <c r="S13" s="1605"/>
      <c r="T13" s="1604" t="e">
        <f t="shared" si="0"/>
        <v>#DIV/0!</v>
      </c>
      <c r="U13" s="1605"/>
      <c r="V13" s="1604" t="e">
        <f t="shared" si="1"/>
        <v>#DIV/0!</v>
      </c>
      <c r="W13" s="3298"/>
      <c r="X13" s="1618"/>
      <c r="Y13" s="1615">
        <f>(-0.163*(Y12^2)-0.59*Y12+7617)*(10^(-4))/Y11</f>
        <v>3.4622727272727274</v>
      </c>
      <c r="Z13" s="1615">
        <f t="shared" ref="Z13:AJ13" si="5">(-0.163*(Z12^2)-0.59*Z12+7617)*(10^(-4))/Z11</f>
        <v>3.4622727272727274</v>
      </c>
      <c r="AA13" s="1615">
        <f t="shared" si="5"/>
        <v>3.4622727272727274</v>
      </c>
      <c r="AB13" s="1615">
        <f t="shared" si="5"/>
        <v>3.4622727272727274</v>
      </c>
      <c r="AC13" s="1615">
        <f t="shared" si="5"/>
        <v>3.4622727272727274</v>
      </c>
      <c r="AD13" s="1615">
        <f t="shared" si="5"/>
        <v>3.4622727272727274</v>
      </c>
      <c r="AE13" s="1615">
        <f t="shared" si="5"/>
        <v>3.4622727272727274</v>
      </c>
      <c r="AF13" s="1615">
        <f t="shared" si="5"/>
        <v>3.4622727272727274</v>
      </c>
      <c r="AG13" s="1615">
        <f t="shared" si="5"/>
        <v>3.4622727272727274</v>
      </c>
      <c r="AH13" s="1615">
        <f t="shared" si="5"/>
        <v>3.4622727272727274</v>
      </c>
      <c r="AI13" s="1615">
        <f t="shared" si="5"/>
        <v>3.4622727272727274</v>
      </c>
      <c r="AJ13" s="1615">
        <f t="shared" si="5"/>
        <v>3.4622727272727274</v>
      </c>
    </row>
    <row r="14" spans="1:36" ht="15">
      <c r="A14" s="3303"/>
      <c r="B14" s="2770"/>
      <c r="C14" s="2771"/>
      <c r="D14" s="2772"/>
      <c r="E14" s="2772"/>
      <c r="F14" s="2773"/>
      <c r="G14" s="2774" t="s">
        <v>2871</v>
      </c>
      <c r="H14" s="2775"/>
      <c r="I14" s="2776"/>
      <c r="J14" s="2777"/>
      <c r="K14" s="1372"/>
      <c r="L14" s="1372"/>
      <c r="M14" s="1372"/>
      <c r="N14" s="1372"/>
      <c r="O14" s="1372"/>
      <c r="P14" s="1372"/>
      <c r="Q14" s="1372"/>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304"/>
      <c r="B15" s="2778" t="s">
        <v>2872</v>
      </c>
      <c r="C15" s="229">
        <f>IF(C14="有",1.1,1)</f>
        <v>1</v>
      </c>
      <c r="D15" s="229">
        <f>IF(D14="有",1.1,1)</f>
        <v>1</v>
      </c>
      <c r="E15" s="229">
        <f>IF(E14="有",1.1,1)</f>
        <v>1</v>
      </c>
      <c r="F15" s="229">
        <f>IF(F14="500米范围内",1.2,IF(F14="500-1000米",1.1,1))</f>
        <v>1</v>
      </c>
      <c r="G15" s="948">
        <v>1</v>
      </c>
      <c r="H15" s="948">
        <v>1</v>
      </c>
      <c r="I15" s="948">
        <v>1</v>
      </c>
      <c r="J15" s="949">
        <v>1</v>
      </c>
      <c r="K15" s="1372"/>
      <c r="L15" s="2779" t="s">
        <v>2808</v>
      </c>
      <c r="M15" s="919" t="s">
        <v>2873</v>
      </c>
      <c r="N15" s="919" t="s">
        <v>2874</v>
      </c>
      <c r="O15" s="919" t="s">
        <v>2875</v>
      </c>
      <c r="P15" s="2780" t="s">
        <v>2876</v>
      </c>
      <c r="Q15" s="1372"/>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85" t="s">
        <v>2877</v>
      </c>
      <c r="B16" s="2747" t="s">
        <v>2878</v>
      </c>
      <c r="C16" s="1803" t="e">
        <f>ROUND(SUM(G17:J17)/C17,0)</f>
        <v>#DIV/0!</v>
      </c>
      <c r="D16" s="2781" t="s">
        <v>2879</v>
      </c>
      <c r="E16" s="2782"/>
      <c r="F16" s="2783"/>
      <c r="G16" s="2784"/>
      <c r="H16" s="2784"/>
      <c r="I16" s="2784"/>
      <c r="J16" s="2785"/>
      <c r="K16" s="1372"/>
      <c r="L16" s="2786" t="s">
        <v>2880</v>
      </c>
      <c r="M16" s="921">
        <v>0.25</v>
      </c>
      <c r="N16" s="921">
        <v>0.2</v>
      </c>
      <c r="O16" s="921">
        <v>0.15</v>
      </c>
      <c r="P16" s="1371">
        <v>0.1</v>
      </c>
      <c r="Q16" s="1372"/>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86"/>
      <c r="B17" s="2787" t="s">
        <v>2881</v>
      </c>
      <c r="C17" s="923">
        <f>SUMPRODUCT((修正!A2:A5=E2)*(修正!B1:M1=G2)*(修正!B2:M5))</f>
        <v>0</v>
      </c>
      <c r="D17" s="2788" t="s">
        <v>2882</v>
      </c>
      <c r="E17" s="922" t="str">
        <f>IF(OR(G2="八级",G2="九级",G2="十级",G2="十一级",G2="十二级"),"五通一平","七通一平")</f>
        <v>七通一平</v>
      </c>
      <c r="F17" s="923" t="s">
        <v>2883</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89" t="s">
        <v>2884</v>
      </c>
      <c r="M17" s="211">
        <f ca="1">ROUND($E$20*(1+M16),3)</f>
        <v>5.3999999999999999E-2</v>
      </c>
      <c r="N17" s="211">
        <f ca="1">ROUND($E$20*(1+N16),3)</f>
        <v>5.1999999999999998E-2</v>
      </c>
      <c r="O17" s="211">
        <f ca="1">ROUND($E$20*(1+O16),3)</f>
        <v>0.05</v>
      </c>
      <c r="P17" s="1375">
        <f ca="1">ROUND($E$20*(1+P16),3)</f>
        <v>4.8000000000000001E-2</v>
      </c>
      <c r="Q17" s="1372"/>
      <c r="R17" s="1372"/>
      <c r="S17" s="1372"/>
      <c r="T17" s="1372"/>
      <c r="U17" s="1372"/>
      <c r="V17" s="1372"/>
      <c r="W17" s="1372"/>
      <c r="X17" s="1372"/>
      <c r="Y17" s="1372"/>
      <c r="Z17" s="1373"/>
      <c r="AE17" s="2790"/>
      <c r="AF17" s="2790"/>
      <c r="AG17" s="2722"/>
      <c r="AH17" s="2722"/>
      <c r="AI17" s="2722"/>
      <c r="AJ17" s="2722"/>
    </row>
    <row r="18" spans="1:37" s="2740" customFormat="1" ht="15.75" thickBot="1">
      <c r="A18" s="2791" t="s">
        <v>808</v>
      </c>
      <c r="B18" s="2792" t="s">
        <v>2885</v>
      </c>
      <c r="C18" s="925">
        <f>SUMIF(修正!C18:C39,E3,修正!E18:E39)</f>
        <v>0</v>
      </c>
      <c r="D18" s="2793"/>
      <c r="E18" s="2794"/>
      <c r="F18" s="2795"/>
      <c r="G18" s="2796"/>
      <c r="H18" s="2796"/>
      <c r="I18" s="2796"/>
      <c r="J18" s="2797"/>
      <c r="K18" s="1379"/>
      <c r="O18" s="1377"/>
      <c r="P18" s="1377"/>
      <c r="Q18" s="1378"/>
      <c r="R18" s="1378"/>
      <c r="S18" s="1378"/>
      <c r="T18" s="1373"/>
      <c r="U18" s="1373"/>
      <c r="V18" s="1373"/>
      <c r="W18" s="1372"/>
      <c r="X18" s="1372"/>
      <c r="Y18" s="1372"/>
      <c r="Z18" s="1379"/>
      <c r="AA18" s="1380"/>
      <c r="AB18" s="1380"/>
      <c r="AC18" s="1380"/>
      <c r="AD18" s="1380"/>
      <c r="AE18" s="1374"/>
      <c r="AF18" s="1374"/>
      <c r="AG18" s="2798"/>
      <c r="AH18" s="2798"/>
      <c r="AI18" s="2798"/>
    </row>
    <row r="19" spans="1:37" s="2740" customFormat="1" ht="27.75" thickBot="1">
      <c r="A19" s="2791" t="s">
        <v>809</v>
      </c>
      <c r="B19" s="2792" t="s">
        <v>2886</v>
      </c>
      <c r="C19" s="926" t="e">
        <f>ROUND(IF(H19="按公示增长率计算",SUMPRODUCT((地价!A3:A23=YEAR(G19)&amp;"-"&amp;ROUNDUP(MONTH(G19)/3,0))*(地价!X2:AB2=E2)*(地价!X3:AB23)),IF(H19="地价指数",M20/M19,(1+I19)^O19)),4)</f>
        <v>#DIV/0!</v>
      </c>
      <c r="D19" s="2799" t="s">
        <v>2887</v>
      </c>
      <c r="E19" s="927">
        <v>41640</v>
      </c>
      <c r="F19" s="2799" t="s">
        <v>2888</v>
      </c>
      <c r="G19" s="928">
        <f>'数据-取费表'!B2</f>
        <v>43321</v>
      </c>
      <c r="H19" s="2800" t="s">
        <v>2889</v>
      </c>
      <c r="I19" s="929" t="str">
        <f>IF(H19="季度增幅（自定义）",SUMIF(N21:N24,E2,O21:O24),"")</f>
        <v/>
      </c>
      <c r="J19" s="2797"/>
      <c r="K19" s="1379"/>
      <c r="L19" s="2801" t="s">
        <v>2890</v>
      </c>
      <c r="M19" s="1736">
        <f>ROUND(SUMIF(地价!B2:F2,E2,地价!B23:F23),0)</f>
        <v>0</v>
      </c>
      <c r="N19" s="2802" t="s">
        <v>2891</v>
      </c>
      <c r="O19" s="930">
        <f>ROUNDDOWN(DATEDIF(E19,G19,"M")/3,0)</f>
        <v>18</v>
      </c>
      <c r="P19" s="1376"/>
      <c r="Q19" s="1378"/>
      <c r="R19" s="1378"/>
      <c r="S19" s="1378"/>
      <c r="T19" s="1373"/>
      <c r="U19" s="1373"/>
      <c r="V19" s="1373"/>
      <c r="W19" s="1372"/>
      <c r="X19" s="1372"/>
      <c r="Y19" s="1372"/>
      <c r="Z19" s="1379"/>
      <c r="AA19" s="1380"/>
      <c r="AB19" s="1380"/>
      <c r="AC19" s="1380"/>
      <c r="AD19" s="1380"/>
      <c r="AE19" s="1380"/>
      <c r="AF19" s="2803"/>
      <c r="AG19" s="2804"/>
      <c r="AH19" s="2798"/>
      <c r="AI19" s="2805"/>
      <c r="AJ19" s="2805"/>
      <c r="AK19" s="2805"/>
    </row>
    <row r="20" spans="1:37" s="2740" customFormat="1" ht="27.75" thickBot="1">
      <c r="A20" s="2806" t="s">
        <v>810</v>
      </c>
      <c r="B20" s="2807" t="s">
        <v>2892</v>
      </c>
      <c r="C20" s="931" t="e">
        <f>ROUND(POWER(1+G20,J20-I20)*(POWER(1+G20,I20)-1)/(POWER(1+G20,J20)-1),4)</f>
        <v>#DIV/0!</v>
      </c>
      <c r="D20" s="2808" t="s">
        <v>2893</v>
      </c>
      <c r="E20" s="1770">
        <f ca="1">存贷款利率!D4/100</f>
        <v>4.3499999999999997E-2</v>
      </c>
      <c r="F20" s="2808" t="s">
        <v>2884</v>
      </c>
      <c r="G20" s="936">
        <f>SUMIF(M15:P15,E2,M17:P17)</f>
        <v>0</v>
      </c>
      <c r="H20" s="2808" t="s">
        <v>2894</v>
      </c>
      <c r="I20" s="937" t="e">
        <f>SUMIF('数据-取费表'!C6:C15,E2,'数据-取费表'!F6:F15)/COUNTIF('数据-取费表'!C6:C15,E2)</f>
        <v>#DIV/0!</v>
      </c>
      <c r="J20" s="938">
        <f>IF(E2="住宅",70,IF(E2="商业",40,50))</f>
        <v>50</v>
      </c>
      <c r="K20" s="1379"/>
      <c r="L20" s="2809" t="s">
        <v>2895</v>
      </c>
      <c r="M20" s="1737">
        <f>ROUND(SUMPRODUCT((地价!A4:A23=YEAR(G19)&amp;"-"&amp;ROUNDUP(MONTH(G19)/3,0))*(地价!B2:F2=E2)*(地价!B4:F23)),0)</f>
        <v>0</v>
      </c>
      <c r="N20" s="2810" t="s">
        <v>2896</v>
      </c>
      <c r="O20" s="2811" t="s">
        <v>2897</v>
      </c>
      <c r="P20" s="2812" t="s">
        <v>2898</v>
      </c>
      <c r="R20" s="1378"/>
      <c r="S20" s="1378"/>
      <c r="T20" s="1373"/>
      <c r="U20" s="1373"/>
      <c r="V20" s="1373"/>
      <c r="W20" s="1372"/>
      <c r="X20" s="1372"/>
      <c r="Y20" s="1372"/>
      <c r="Z20" s="1379"/>
      <c r="AA20" s="1380"/>
      <c r="AB20" s="1380"/>
      <c r="AC20" s="1380"/>
      <c r="AD20" s="1380"/>
      <c r="AE20" s="1380"/>
      <c r="AF20" s="1380"/>
    </row>
    <row r="21" spans="1:37" s="2740" customFormat="1" ht="15">
      <c r="A21" s="2813" t="s">
        <v>811</v>
      </c>
      <c r="B21" s="2814" t="s">
        <v>2899</v>
      </c>
      <c r="C21" s="939">
        <f>IF(B21="容积率修正",IF(G3&lt;=10,D22,J22),C23)</f>
        <v>0</v>
      </c>
      <c r="D21" s="2815"/>
      <c r="E21" s="2815"/>
      <c r="F21" s="2815"/>
      <c r="G21" s="2815"/>
      <c r="H21" s="2815"/>
      <c r="I21" s="2815"/>
      <c r="J21" s="2816"/>
      <c r="K21" s="1379"/>
      <c r="N21" s="2817" t="s">
        <v>2900</v>
      </c>
      <c r="O21" s="1563"/>
      <c r="P21" s="1564">
        <f>SUMPRODUCT((地价!A3:A23=YEAR(G19)&amp;"-"&amp;ROUNDUP(MONTH(G19)/3,0))*(地价!AD2:AH2=N21)*(地价!AD3:AH23))</f>
        <v>1.54E-2</v>
      </c>
      <c r="R21" s="1378"/>
      <c r="S21" s="1378"/>
      <c r="T21" s="1373"/>
      <c r="U21" s="1373"/>
      <c r="V21" s="1373"/>
      <c r="W21" s="1372"/>
      <c r="X21" s="1372"/>
      <c r="Y21" s="1372"/>
      <c r="Z21" s="1379"/>
      <c r="AA21" s="1380"/>
      <c r="AB21" s="1380"/>
      <c r="AC21" s="1380"/>
      <c r="AD21" s="1380"/>
      <c r="AE21" s="1380"/>
      <c r="AF21" s="1380"/>
    </row>
    <row r="22" spans="1:37" s="2740" customFormat="1" ht="14.25">
      <c r="A22" s="2666" t="s">
        <v>2901</v>
      </c>
      <c r="B22" s="2818" t="s">
        <v>2902</v>
      </c>
      <c r="C22" s="1812" t="s">
        <v>2903</v>
      </c>
      <c r="D22" s="1812">
        <f>IF(E22=G22,F22,IF(G3&lt;=10,ROUND(F22+(H22-F22)*(G3-E22)/(G22-E22),4),"——"))</f>
        <v>0</v>
      </c>
      <c r="E22" s="915">
        <f>ROUNDDOWN(G3,1)</f>
        <v>0.2</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0.30000000000000004</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40" t="str">
        <f>IF(G3&gt;10,D113,"——")</f>
        <v>——</v>
      </c>
      <c r="K22" s="1379"/>
      <c r="N22" s="2817" t="s">
        <v>2904</v>
      </c>
      <c r="O22" s="1563"/>
      <c r="P22" s="1564">
        <f>SUMPRODUCT((地价!A3:A23=YEAR(G19)&amp;"-"&amp;ROUNDUP(MONTH(G19)/3,0))*(地价!AD2:AH2=N22)*(地价!AD3:AH23))</f>
        <v>1.54E-2</v>
      </c>
      <c r="R22" s="1378"/>
      <c r="S22" s="1378"/>
      <c r="T22" s="1373"/>
      <c r="U22" s="1373"/>
      <c r="V22" s="1373"/>
      <c r="W22" s="1372"/>
      <c r="X22" s="1372"/>
      <c r="Y22" s="1372"/>
      <c r="Z22" s="1379"/>
      <c r="AA22" s="1380"/>
      <c r="AB22" s="1380"/>
      <c r="AC22" s="1380"/>
      <c r="AD22" s="1380"/>
      <c r="AE22" s="1380"/>
      <c r="AF22" s="1380"/>
    </row>
    <row r="23" spans="1:37" ht="27.75" thickBot="1">
      <c r="A23" s="2666" t="s">
        <v>2905</v>
      </c>
      <c r="B23" s="2819" t="s">
        <v>2906</v>
      </c>
      <c r="C23" s="1015">
        <f>ROUND(IF(G3&gt;1,IF(I3&lt;7,SUMPRODUCT((B93:B98=I3)*(C92:N92=G2)*(C93:N98)),SUMIF(C92:N92,G2,C100:N100)),IF(I3&lt;7,SUMPRODUCT((B102:B107=I3)*(C92:N92=G2)*(C102:N107)),SUMIF(C92:N92,G2,C109:N109))),4)</f>
        <v>0</v>
      </c>
      <c r="D23" s="2775"/>
      <c r="E23" s="2775"/>
      <c r="F23" s="2820"/>
      <c r="G23" s="2821"/>
      <c r="H23" s="2822"/>
      <c r="I23" s="2823"/>
      <c r="J23" s="2824"/>
      <c r="K23" s="1372"/>
      <c r="N23" s="2817" t="s">
        <v>2907</v>
      </c>
      <c r="O23" s="1563"/>
      <c r="P23" s="1564">
        <f>SUMPRODUCT((地价!A3:A23=YEAR(G19)&amp;"-"&amp;ROUNDUP(MONTH(G19)/3,0))*(地价!AD2:AH2=N23)*(地价!AD3:AH23))</f>
        <v>2.4500000000000001E-2</v>
      </c>
      <c r="R23" s="1378"/>
      <c r="S23" s="1378"/>
      <c r="T23" s="1373"/>
      <c r="U23" s="1373"/>
      <c r="V23" s="1373"/>
      <c r="W23" s="1372"/>
      <c r="X23" s="1372"/>
      <c r="Y23" s="1372"/>
      <c r="Z23" s="1379"/>
      <c r="AA23" s="1380"/>
      <c r="AB23" s="1380"/>
      <c r="AC23" s="1380"/>
      <c r="AD23" s="1380"/>
      <c r="AK23" s="2798"/>
    </row>
    <row r="24" spans="1:37" s="2740" customFormat="1" ht="15.75" thickBot="1">
      <c r="A24" s="2806" t="s">
        <v>812</v>
      </c>
      <c r="B24" s="2792" t="s">
        <v>2908</v>
      </c>
      <c r="C24" s="926">
        <f>SUMIF(A45:A88,E2,B45:B88)</f>
        <v>0</v>
      </c>
      <c r="D24" s="2795"/>
      <c r="E24" s="2825"/>
      <c r="F24" s="2825"/>
      <c r="G24" s="2825"/>
      <c r="H24" s="2825"/>
      <c r="I24" s="2825"/>
      <c r="J24" s="2826"/>
      <c r="K24" s="1379"/>
      <c r="N24" s="2827" t="s">
        <v>2909</v>
      </c>
      <c r="O24" s="1565"/>
      <c r="P24" s="1566">
        <f>SUMPRODUCT((地价!A3:A23=YEAR(G19)&amp;"-"&amp;ROUNDUP(MONTH(G19)/3,0))*(地价!AD2:AH2=N24)*(地价!AD3:AH23))</f>
        <v>1.41E-2</v>
      </c>
      <c r="R24" s="1378"/>
      <c r="S24" s="1378"/>
      <c r="T24" s="1373"/>
      <c r="U24" s="1373"/>
      <c r="V24" s="1373"/>
      <c r="W24" s="1372"/>
      <c r="X24" s="1372"/>
      <c r="Y24" s="1372"/>
      <c r="Z24" s="1379"/>
      <c r="AA24" s="1380"/>
      <c r="AB24" s="1380"/>
      <c r="AC24" s="1380"/>
      <c r="AD24" s="1380"/>
      <c r="AE24" s="1380"/>
      <c r="AF24" s="1380"/>
    </row>
    <row r="25" spans="1:37" ht="15.75" thickBot="1">
      <c r="A25" s="2806" t="s">
        <v>813</v>
      </c>
      <c r="B25" s="2828" t="s">
        <v>2910</v>
      </c>
      <c r="C25" s="932"/>
      <c r="D25" s="2750"/>
      <c r="E25" s="2750"/>
      <c r="F25" s="2829"/>
      <c r="G25" s="2750"/>
      <c r="H25" s="2750"/>
      <c r="I25" s="2750"/>
      <c r="J25" s="2751"/>
      <c r="K25" s="1372"/>
      <c r="N25" s="2830" t="s">
        <v>2911</v>
      </c>
      <c r="O25" s="1567"/>
      <c r="P25" s="1566">
        <f>SUMPRODUCT((地价!A3:A23=YEAR(G19)&amp;"-"&amp;ROUNDUP(MONTH(G19)/3,0))*(地价!AD2:AH2=N25)*(地价!AD3:AH23))</f>
        <v>2.23E-2</v>
      </c>
      <c r="R25" s="1378"/>
      <c r="S25" s="1378"/>
      <c r="T25" s="1373"/>
      <c r="U25" s="1373"/>
      <c r="V25" s="1373"/>
      <c r="W25" s="1372"/>
      <c r="X25" s="1372"/>
      <c r="Y25" s="1372"/>
      <c r="Z25" s="1379"/>
      <c r="AA25" s="1380"/>
      <c r="AB25" s="1380"/>
      <c r="AC25" s="1380"/>
      <c r="AD25" s="1380"/>
    </row>
    <row r="26" spans="1:37" ht="15">
      <c r="A26" s="2831"/>
      <c r="B26" s="2818" t="s">
        <v>2912</v>
      </c>
      <c r="C26" s="206" t="e">
        <f>E29+SUM(E33:E39)</f>
        <v>#DIV/0!</v>
      </c>
      <c r="D26" s="2832"/>
      <c r="E26" s="2775"/>
      <c r="F26" s="2833"/>
      <c r="G26" s="2775"/>
      <c r="H26" s="2775"/>
      <c r="I26" s="2775"/>
      <c r="J26" s="2834"/>
      <c r="K26" s="1372"/>
      <c r="R26" s="1378"/>
      <c r="S26" s="1378"/>
      <c r="T26" s="1373"/>
      <c r="U26" s="1373"/>
      <c r="V26" s="1373"/>
      <c r="W26" s="1372"/>
      <c r="X26" s="1372"/>
      <c r="Y26" s="1372"/>
      <c r="Z26" s="1379"/>
      <c r="AA26" s="1380"/>
      <c r="AB26" s="1380"/>
      <c r="AC26" s="1380"/>
      <c r="AD26" s="1380"/>
    </row>
    <row r="27" spans="1:37" ht="15.75" thickBot="1">
      <c r="A27" s="2831"/>
      <c r="B27" s="2835" t="s">
        <v>2913</v>
      </c>
      <c r="C27" s="933" t="e">
        <f>E30+SUM(I33:I39)</f>
        <v>#DIV/0!</v>
      </c>
      <c r="D27" s="2836"/>
      <c r="E27" s="2837"/>
      <c r="F27" s="2838"/>
      <c r="G27" s="2837"/>
      <c r="H27" s="2837"/>
      <c r="I27" s="2837"/>
      <c r="J27" s="2839"/>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0"/>
      <c r="B28" s="2841" t="s">
        <v>2914</v>
      </c>
      <c r="C28" s="2842" t="s">
        <v>2915</v>
      </c>
      <c r="D28" s="2842" t="s">
        <v>2916</v>
      </c>
      <c r="E28" s="2843" t="s">
        <v>2917</v>
      </c>
      <c r="F28" s="2844"/>
      <c r="G28" s="2763"/>
      <c r="H28" s="2763"/>
      <c r="I28" s="2763"/>
      <c r="J28" s="2764"/>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5"/>
      <c r="B29" s="2846" t="s">
        <v>2918</v>
      </c>
      <c r="C29" s="206" t="e">
        <f>ROUND(C5*C18*C19*C20*C21*C24,0)</f>
        <v>#DIV/0!</v>
      </c>
      <c r="D29" s="2847"/>
      <c r="E29" s="944" t="e">
        <f>ROUND(C29*D29/10000,0)</f>
        <v>#DIV/0!</v>
      </c>
      <c r="F29" s="2848" t="s">
        <v>2919</v>
      </c>
      <c r="G29" s="2849"/>
      <c r="H29" s="2849"/>
      <c r="I29" s="2849"/>
      <c r="J29" s="2850"/>
      <c r="K29" s="1372"/>
      <c r="L29" s="1372"/>
      <c r="M29" s="1372"/>
      <c r="N29" s="1372"/>
      <c r="O29" s="1377"/>
      <c r="P29" s="1377"/>
      <c r="Q29" s="1378"/>
      <c r="R29" s="1378"/>
      <c r="S29" s="1378"/>
      <c r="T29" s="1373"/>
      <c r="U29" s="1373"/>
      <c r="V29" s="1373"/>
      <c r="W29" s="1372"/>
      <c r="X29" s="1372"/>
      <c r="Y29" s="1372"/>
      <c r="Z29" s="1379"/>
      <c r="AA29" s="1380"/>
      <c r="AB29" s="1380"/>
      <c r="AC29" s="1380"/>
      <c r="AD29" s="1380"/>
      <c r="AE29" s="2790"/>
      <c r="AF29" s="2790"/>
      <c r="AG29" s="2722"/>
      <c r="AH29" s="2722"/>
      <c r="AI29" s="2722"/>
      <c r="AJ29" s="2722"/>
    </row>
    <row r="30" spans="1:37" ht="25.5" thickBot="1">
      <c r="A30" s="2851"/>
      <c r="B30" s="2852" t="s">
        <v>2920</v>
      </c>
      <c r="C30" s="229" t="e">
        <f>ROUND(IF(E2="工业",C29*M39,C29*M38),0)</f>
        <v>#DIV/0!</v>
      </c>
      <c r="D30" s="2853"/>
      <c r="E30" s="944" t="e">
        <f>ROUND(C30*D30/10000,0)</f>
        <v>#DIV/0!</v>
      </c>
      <c r="F30" s="2854" t="s">
        <v>2921</v>
      </c>
      <c r="G30" s="2855"/>
      <c r="H30" s="2855"/>
      <c r="I30" s="2855"/>
      <c r="J30" s="2856"/>
      <c r="K30" s="1372"/>
      <c r="L30" s="1372"/>
      <c r="M30" s="1372"/>
      <c r="N30" s="1372"/>
      <c r="O30" s="1377"/>
      <c r="P30" s="1377"/>
      <c r="Q30" s="1378"/>
      <c r="R30" s="1378"/>
      <c r="S30" s="1378"/>
      <c r="T30" s="1373"/>
      <c r="U30" s="1373"/>
      <c r="V30" s="1373"/>
      <c r="W30" s="1372"/>
      <c r="X30" s="1372"/>
      <c r="Y30" s="1372"/>
      <c r="Z30" s="1379"/>
      <c r="AA30" s="1380"/>
      <c r="AB30" s="1380"/>
      <c r="AC30" s="1380"/>
      <c r="AD30" s="1380"/>
      <c r="AE30" s="2790"/>
      <c r="AF30" s="2790"/>
      <c r="AG30" s="2722"/>
      <c r="AH30" s="2722"/>
      <c r="AI30" s="2722"/>
      <c r="AJ30" s="2722"/>
    </row>
    <row r="31" spans="1:37" ht="14.25">
      <c r="A31" s="2857"/>
      <c r="B31" s="2858" t="s">
        <v>2922</v>
      </c>
      <c r="C31" s="2859" t="s">
        <v>2923</v>
      </c>
      <c r="D31" s="2763"/>
      <c r="E31" s="2859"/>
      <c r="F31" s="2859"/>
      <c r="G31" s="2761" t="s">
        <v>2924</v>
      </c>
      <c r="H31" s="2763"/>
      <c r="I31" s="2860"/>
      <c r="J31" s="2764"/>
      <c r="K31" s="1372"/>
      <c r="L31" s="1372"/>
      <c r="M31" s="1372"/>
      <c r="N31" s="1372"/>
      <c r="O31" s="1377"/>
      <c r="P31" s="1377"/>
      <c r="Q31" s="1378"/>
      <c r="R31" s="1378"/>
      <c r="S31" s="1378"/>
      <c r="T31" s="1373"/>
      <c r="U31" s="1373"/>
      <c r="V31" s="1373"/>
      <c r="W31" s="1372"/>
      <c r="X31" s="1372"/>
      <c r="Y31" s="1372"/>
      <c r="Z31" s="1379"/>
      <c r="AA31" s="1380"/>
      <c r="AB31" s="1380"/>
      <c r="AC31" s="1380"/>
      <c r="AD31" s="1380"/>
      <c r="AE31" s="2790"/>
      <c r="AF31" s="2790"/>
      <c r="AG31" s="2722"/>
      <c r="AH31" s="2722"/>
      <c r="AI31" s="2722"/>
      <c r="AJ31" s="2722"/>
    </row>
    <row r="32" spans="1:37" ht="24">
      <c r="A32" s="2845"/>
      <c r="B32" s="2861"/>
      <c r="C32" s="501" t="s">
        <v>2915</v>
      </c>
      <c r="D32" s="498" t="s">
        <v>2916</v>
      </c>
      <c r="E32" s="498" t="s">
        <v>2917</v>
      </c>
      <c r="F32" s="388" t="s">
        <v>2925</v>
      </c>
      <c r="G32" s="2862" t="s">
        <v>2915</v>
      </c>
      <c r="H32" s="2862" t="s">
        <v>2916</v>
      </c>
      <c r="I32" s="2862" t="s">
        <v>2917</v>
      </c>
      <c r="J32" s="287"/>
      <c r="K32" s="1372"/>
      <c r="L32" s="1372"/>
      <c r="M32" s="1372"/>
      <c r="N32" s="1372"/>
      <c r="O32" s="1377"/>
      <c r="P32" s="1377"/>
      <c r="Q32" s="1378"/>
      <c r="R32" s="1378"/>
      <c r="S32" s="1378"/>
      <c r="T32" s="1373"/>
      <c r="U32" s="1373"/>
      <c r="V32" s="1373"/>
      <c r="W32" s="1372"/>
      <c r="X32" s="1372"/>
      <c r="Y32" s="1372"/>
      <c r="Z32" s="1379"/>
      <c r="AA32" s="1380"/>
      <c r="AB32" s="1380"/>
      <c r="AC32" s="1380"/>
      <c r="AD32" s="1380"/>
      <c r="AE32" s="2790"/>
      <c r="AF32" s="2790"/>
      <c r="AG32" s="2722"/>
      <c r="AH32" s="2722"/>
      <c r="AI32" s="2722"/>
      <c r="AJ32" s="2722"/>
    </row>
    <row r="33" spans="1:37" ht="36" customHeight="1">
      <c r="A33" s="3293" t="s">
        <v>2926</v>
      </c>
      <c r="B33" s="2863" t="s">
        <v>2927</v>
      </c>
      <c r="C33" s="206" t="e">
        <f>ROUND(D5*C19*C20*C24*F33,0)</f>
        <v>#DIV/0!</v>
      </c>
      <c r="D33" s="2847"/>
      <c r="E33" s="200" t="e">
        <f>ROUND(C33*D33/10000,0)</f>
        <v>#DIV/0!</v>
      </c>
      <c r="F33" s="200">
        <f>SUMIF(修正!A45:A56,G2,修正!B45:B56)</f>
        <v>0</v>
      </c>
      <c r="G33" s="200" t="e">
        <f t="shared" ref="G33" si="6">ROUND(IF(E2="工业",C33*$M$39,C33*$M$38),0)</f>
        <v>#DIV/0!</v>
      </c>
      <c r="H33" s="200">
        <f>D33</f>
        <v>0</v>
      </c>
      <c r="I33" s="200" t="e">
        <f>ROUND(G33*H33/10000,0)</f>
        <v>#DIV/0!</v>
      </c>
      <c r="J33" s="2864"/>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94"/>
      <c r="B34" s="2767" t="s">
        <v>2928</v>
      </c>
      <c r="C34" s="206" t="e">
        <f>ROUND(D5*C19*C20*C24*F34,0)</f>
        <v>#DIV/0!</v>
      </c>
      <c r="D34" s="284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4"/>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94"/>
      <c r="B35" s="2767" t="s">
        <v>2929</v>
      </c>
      <c r="C35" s="206" t="e">
        <f>ROUND(D5*C19*C20*C24*F35,0)</f>
        <v>#DIV/0!</v>
      </c>
      <c r="D35" s="2847"/>
      <c r="E35" s="200" t="e">
        <f t="shared" si="7"/>
        <v>#DIV/0!</v>
      </c>
      <c r="F35" s="200">
        <f>SUMIF(修正!A45:A56,G2,修正!D45:D56)</f>
        <v>0</v>
      </c>
      <c r="G35" s="200" t="e">
        <f>ROUND(IF(E2="工业",C35*$M$39,C35*$M$38),0)</f>
        <v>#DIV/0!</v>
      </c>
      <c r="H35" s="200">
        <f t="shared" si="8"/>
        <v>0</v>
      </c>
      <c r="I35" s="200" t="e">
        <f t="shared" si="9"/>
        <v>#DIV/0!</v>
      </c>
      <c r="J35" s="2864"/>
      <c r="K35" s="1372"/>
      <c r="L35" s="1372"/>
      <c r="M35" s="1372"/>
      <c r="N35" s="1372"/>
      <c r="O35" s="1372"/>
      <c r="P35" s="1372"/>
      <c r="Q35" s="1372"/>
      <c r="R35" s="1372"/>
      <c r="S35" s="1372"/>
      <c r="T35" s="1372"/>
      <c r="U35" s="1372"/>
      <c r="V35" s="1372"/>
      <c r="W35" s="1372"/>
      <c r="X35" s="1372"/>
      <c r="Y35" s="1372"/>
      <c r="Z35" s="1373"/>
    </row>
    <row r="36" spans="1:37" ht="13.5" thickBot="1">
      <c r="A36" s="3295"/>
      <c r="B36" s="2767" t="s">
        <v>2930</v>
      </c>
      <c r="C36" s="206" t="e">
        <f>ROUND(D5*C19*C20*C24*F36,0)</f>
        <v>#DIV/0!</v>
      </c>
      <c r="D36" s="2847"/>
      <c r="E36" s="200" t="e">
        <f t="shared" si="7"/>
        <v>#DIV/0!</v>
      </c>
      <c r="F36" s="200">
        <f>SUMIF(修正!A45:A56,G2,修正!E45:E56)</f>
        <v>0</v>
      </c>
      <c r="G36" s="200" t="e">
        <f>ROUND(IF(E2="工业",C36*$M$39,C36*$M$38),0)</f>
        <v>#DIV/0!</v>
      </c>
      <c r="H36" s="200">
        <f t="shared" si="8"/>
        <v>0</v>
      </c>
      <c r="I36" s="200" t="e">
        <f t="shared" si="9"/>
        <v>#DIV/0!</v>
      </c>
      <c r="J36" s="2864"/>
      <c r="K36" s="1372"/>
      <c r="L36" s="2721"/>
      <c r="M36" s="2721"/>
      <c r="N36" s="1372"/>
      <c r="O36" s="1372"/>
      <c r="P36" s="1372"/>
      <c r="Q36" s="1372"/>
      <c r="R36" s="1372"/>
      <c r="S36" s="1372"/>
      <c r="T36" s="1372"/>
      <c r="U36" s="1372"/>
      <c r="V36" s="1372"/>
      <c r="W36" s="1372"/>
      <c r="X36" s="1372"/>
      <c r="Y36" s="1372"/>
      <c r="Z36" s="1373"/>
    </row>
    <row r="37" spans="1:37">
      <c r="A37" s="2865"/>
      <c r="B37" s="2767" t="s">
        <v>2931</v>
      </c>
      <c r="C37" s="200" t="e">
        <f>ROUND(C5*C19*C20*C24*F37,0)</f>
        <v>#DIV/0!</v>
      </c>
      <c r="D37" s="2847"/>
      <c r="E37" s="200" t="e">
        <f t="shared" si="7"/>
        <v>#DIV/0!</v>
      </c>
      <c r="F37" s="206">
        <f>SUMIF(修正!A45:A56,G2,修正!F45:F56)</f>
        <v>0</v>
      </c>
      <c r="G37" s="200" t="e">
        <f>ROUND(IF(E2="工业",C37*$M$39,C37*$M$38),0)</f>
        <v>#DIV/0!</v>
      </c>
      <c r="H37" s="200">
        <f t="shared" si="8"/>
        <v>0</v>
      </c>
      <c r="I37" s="200" t="e">
        <f t="shared" si="9"/>
        <v>#DIV/0!</v>
      </c>
      <c r="J37" s="2864"/>
      <c r="K37" s="1372"/>
      <c r="L37" s="2866" t="s">
        <v>2932</v>
      </c>
      <c r="M37" s="2867"/>
      <c r="N37" s="1372"/>
      <c r="O37" s="1372"/>
      <c r="P37" s="1372"/>
      <c r="Q37" s="1372"/>
      <c r="R37" s="1372"/>
      <c r="S37" s="1372"/>
      <c r="T37" s="1372"/>
      <c r="U37" s="1372"/>
      <c r="V37" s="1372"/>
      <c r="W37" s="1372"/>
      <c r="X37" s="1372"/>
      <c r="Y37" s="1372"/>
      <c r="Z37" s="1373"/>
    </row>
    <row r="38" spans="1:37">
      <c r="A38" s="2865"/>
      <c r="B38" s="2767" t="s">
        <v>2933</v>
      </c>
      <c r="C38" s="200" t="e">
        <f>ROUND(C5*C19*C20*C24*F38,0)</f>
        <v>#DIV/0!</v>
      </c>
      <c r="D38" s="2847"/>
      <c r="E38" s="200" t="e">
        <f t="shared" si="7"/>
        <v>#DIV/0!</v>
      </c>
      <c r="F38" s="206">
        <f>SUMIF(修正!A45:A56,G2,修正!G45:G56)</f>
        <v>0</v>
      </c>
      <c r="G38" s="200" t="e">
        <f>ROUND(IF(E2="工业",C38*$M$39,C38*$M$38),0)</f>
        <v>#DIV/0!</v>
      </c>
      <c r="H38" s="200">
        <f t="shared" si="8"/>
        <v>0</v>
      </c>
      <c r="I38" s="200" t="e">
        <f t="shared" si="9"/>
        <v>#DIV/0!</v>
      </c>
      <c r="J38" s="2864"/>
      <c r="K38" s="1372"/>
      <c r="L38" s="1889" t="s">
        <v>2934</v>
      </c>
      <c r="M38" s="2868">
        <v>0.25</v>
      </c>
      <c r="N38" s="1372"/>
      <c r="O38" s="1372"/>
      <c r="P38" s="1372"/>
      <c r="Q38" s="1372"/>
      <c r="R38" s="1372"/>
      <c r="S38" s="1372"/>
      <c r="T38" s="1372"/>
      <c r="U38" s="1372"/>
      <c r="V38" s="1372"/>
      <c r="W38" s="1372"/>
      <c r="X38" s="1372"/>
      <c r="Y38" s="1372"/>
      <c r="Z38" s="1373"/>
    </row>
    <row r="39" spans="1:37" ht="13.5" thickBot="1">
      <c r="A39" s="2851"/>
      <c r="B39" s="2869" t="s">
        <v>2935</v>
      </c>
      <c r="C39" s="229" t="e">
        <f>ROUND(C5*C19*C20*C24*F39,0)</f>
        <v>#DIV/0!</v>
      </c>
      <c r="D39" s="2853"/>
      <c r="E39" s="229" t="e">
        <f t="shared" si="7"/>
        <v>#DIV/0!</v>
      </c>
      <c r="F39" s="934">
        <f>SUMIF(修正!A45:A56,G2,修正!H45:H56)</f>
        <v>0</v>
      </c>
      <c r="G39" s="229" t="e">
        <f>ROUND(IF(E2="工业",C39*$M$39,C39*$M$38),0)</f>
        <v>#DIV/0!</v>
      </c>
      <c r="H39" s="229">
        <f t="shared" si="8"/>
        <v>0</v>
      </c>
      <c r="I39" s="229" t="e">
        <f t="shared" si="9"/>
        <v>#DIV/0!</v>
      </c>
      <c r="J39" s="2870"/>
      <c r="K39" s="1372"/>
      <c r="L39" s="2871" t="s">
        <v>2876</v>
      </c>
      <c r="M39" s="2872">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3"/>
      <c r="Z41" s="1373"/>
      <c r="AA41" s="1373"/>
      <c r="AB41" s="1373"/>
      <c r="AC41" s="1373"/>
      <c r="AD41" s="1373"/>
      <c r="AE41" s="1373"/>
      <c r="AF41" s="1373"/>
      <c r="AG41" s="1373"/>
      <c r="AH41" s="1373"/>
      <c r="AI41" s="1373"/>
      <c r="AJ41" s="1373"/>
    </row>
    <row r="42" spans="1:37" s="1372" customFormat="1">
      <c r="A42" s="1373"/>
      <c r="B42" s="2873"/>
      <c r="Z42" s="1373"/>
      <c r="AA42" s="1373"/>
      <c r="AB42" s="1373"/>
      <c r="AC42" s="1373"/>
      <c r="AD42" s="1373"/>
      <c r="AE42" s="1373"/>
      <c r="AF42" s="1373"/>
      <c r="AG42" s="1373"/>
      <c r="AH42" s="1373"/>
      <c r="AI42" s="1373"/>
      <c r="AJ42" s="1373"/>
    </row>
    <row r="43" spans="1:37" s="1372" customFormat="1">
      <c r="A43" s="1373"/>
      <c r="B43" s="2873"/>
      <c r="Z43" s="1373"/>
      <c r="AA43" s="1373"/>
      <c r="AB43" s="1373"/>
      <c r="AC43" s="1373"/>
      <c r="AD43" s="1373"/>
      <c r="AE43" s="1373"/>
      <c r="AF43" s="1373"/>
      <c r="AG43" s="1373"/>
      <c r="AH43" s="1373"/>
      <c r="AI43" s="1373"/>
      <c r="AJ43" s="1373"/>
    </row>
    <row r="44" spans="1:37" s="1372" customFormat="1">
      <c r="A44" s="1373"/>
      <c r="B44" s="2873"/>
      <c r="Z44" s="1373"/>
      <c r="AA44" s="1373"/>
      <c r="AB44" s="1373"/>
      <c r="AC44" s="1373"/>
      <c r="AD44" s="1373"/>
      <c r="AE44" s="1373"/>
      <c r="AF44" s="1373"/>
      <c r="AG44" s="1373"/>
      <c r="AH44" s="1373"/>
      <c r="AI44" s="1373"/>
      <c r="AJ44" s="1373"/>
    </row>
    <row r="45" spans="1:37" s="1372" customFormat="1" ht="15.75" thickBot="1">
      <c r="A45" s="2874" t="s">
        <v>2936</v>
      </c>
      <c r="B45" s="2875"/>
      <c r="C45" s="7"/>
      <c r="D45" s="7"/>
      <c r="E45" s="7"/>
      <c r="F45" s="6"/>
      <c r="G45" s="6"/>
      <c r="H45" s="6"/>
      <c r="I45" s="7"/>
      <c r="J45" s="7"/>
      <c r="K45" s="7"/>
      <c r="L45" s="7"/>
      <c r="M45" s="7"/>
      <c r="N45" s="2790"/>
      <c r="Z45" s="1373"/>
      <c r="AA45" s="1373"/>
      <c r="AB45" s="1373"/>
      <c r="AC45" s="1373"/>
      <c r="AD45" s="1373"/>
      <c r="AE45" s="1373"/>
      <c r="AF45" s="1373"/>
      <c r="AG45" s="1373"/>
      <c r="AH45" s="1373"/>
      <c r="AI45" s="1373"/>
      <c r="AJ45" s="1373"/>
    </row>
    <row r="46" spans="1:37" s="1372" customFormat="1" ht="15">
      <c r="A46" s="2876" t="s">
        <v>2937</v>
      </c>
      <c r="B46" s="2877">
        <f>1+E48</f>
        <v>1</v>
      </c>
      <c r="C46" s="2878"/>
      <c r="D46" s="813"/>
      <c r="E46" s="814"/>
      <c r="F46" s="2879"/>
      <c r="G46" s="6"/>
      <c r="H46" s="7"/>
      <c r="I46" s="7"/>
      <c r="J46" s="7"/>
      <c r="K46" s="7"/>
      <c r="L46" s="7"/>
      <c r="M46" s="7"/>
      <c r="N46" s="2790"/>
      <c r="Z46" s="1373"/>
      <c r="AA46" s="1373"/>
      <c r="AB46" s="1373"/>
      <c r="AC46" s="1373"/>
      <c r="AD46" s="1373"/>
      <c r="AE46" s="1373"/>
      <c r="AF46" s="1373"/>
      <c r="AG46" s="1373"/>
      <c r="AH46" s="1373"/>
      <c r="AI46" s="1373"/>
      <c r="AJ46" s="1373"/>
    </row>
    <row r="47" spans="1:37" s="1372" customFormat="1" ht="24.75">
      <c r="A47" s="2880" t="s">
        <v>2938</v>
      </c>
      <c r="B47" s="1811" t="s">
        <v>2939</v>
      </c>
      <c r="C47" s="1811" t="s">
        <v>2940</v>
      </c>
      <c r="D47" s="1811" t="s">
        <v>2941</v>
      </c>
      <c r="E47" s="818" t="s">
        <v>2942</v>
      </c>
      <c r="F47" s="2881" t="s">
        <v>2943</v>
      </c>
      <c r="G47" s="1811" t="s">
        <v>754</v>
      </c>
      <c r="H47" s="2882" t="s">
        <v>2944</v>
      </c>
      <c r="I47" s="1811" t="s">
        <v>2945</v>
      </c>
      <c r="J47" s="603" t="s">
        <v>2591</v>
      </c>
      <c r="K47" s="603" t="s">
        <v>2592</v>
      </c>
      <c r="L47" s="603" t="s">
        <v>2593</v>
      </c>
      <c r="M47" s="603" t="s">
        <v>2594</v>
      </c>
      <c r="N47" s="603" t="s">
        <v>2595</v>
      </c>
      <c r="AA47" s="1373"/>
      <c r="AB47" s="1373"/>
      <c r="AC47" s="1373"/>
      <c r="AD47" s="1373"/>
      <c r="AE47" s="1373"/>
      <c r="AF47" s="1373"/>
      <c r="AG47" s="1373"/>
      <c r="AH47" s="1373"/>
      <c r="AI47" s="1373"/>
      <c r="AJ47" s="1373"/>
      <c r="AK47" s="1373"/>
    </row>
    <row r="48" spans="1:37" s="1372" customFormat="1" ht="38.25">
      <c r="A48" s="2880" t="s">
        <v>2946</v>
      </c>
      <c r="B48" s="2883" t="str">
        <f>估价对象房地状况!C4</f>
        <v>估价对象位于XX商圈，周边商业氛围成熟，人流量大，商业繁华度好</v>
      </c>
      <c r="C48" s="2772"/>
      <c r="D48" s="1288">
        <f t="shared" ref="D48:D56" si="10">SUMIF($J$47:$N$47,C48,J48:N48)</f>
        <v>0</v>
      </c>
      <c r="E48" s="820">
        <f>ROUND(SUM(D48:D56),4)</f>
        <v>0</v>
      </c>
      <c r="F48" s="2503"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0" t="s">
        <v>2947</v>
      </c>
      <c r="B49" s="2884" t="str">
        <f>估价对象房地状况!C18</f>
        <v>估价对象周边道路状况、公共交通通达情况、停车便捷程度，综合评价交通便捷度较好</v>
      </c>
      <c r="C49" s="2772"/>
      <c r="D49" s="1288">
        <f t="shared" si="10"/>
        <v>0</v>
      </c>
      <c r="E49" s="821"/>
      <c r="F49" s="2503"/>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0" t="s">
        <v>2948</v>
      </c>
      <c r="B50" s="2884">
        <f>估价对象房地状况!C19</f>
        <v>0</v>
      </c>
      <c r="C50" s="2772"/>
      <c r="D50" s="1288">
        <f t="shared" si="10"/>
        <v>0</v>
      </c>
      <c r="E50" s="821"/>
      <c r="F50" s="2503"/>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0" t="s">
        <v>2949</v>
      </c>
      <c r="B51" s="2885" t="s">
        <v>2950</v>
      </c>
      <c r="C51" s="2772"/>
      <c r="D51" s="1288">
        <f t="shared" si="10"/>
        <v>0</v>
      </c>
      <c r="E51" s="821"/>
      <c r="F51" s="2503"/>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0" t="s">
        <v>2951</v>
      </c>
      <c r="B52" s="2884">
        <f>估价对象房地状况!C24</f>
        <v>0</v>
      </c>
      <c r="C52" s="2772"/>
      <c r="D52" s="1288">
        <f t="shared" si="10"/>
        <v>0</v>
      </c>
      <c r="E52" s="821"/>
      <c r="F52" s="2503"/>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0" t="s">
        <v>2952</v>
      </c>
      <c r="B53" s="2886" t="s">
        <v>2953</v>
      </c>
      <c r="C53" s="2772"/>
      <c r="D53" s="1288">
        <f t="shared" si="10"/>
        <v>0</v>
      </c>
      <c r="E53" s="821"/>
      <c r="F53" s="2503"/>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87" t="s">
        <v>2954</v>
      </c>
      <c r="B54" s="1727" t="str">
        <f>估价对象房地状况!C21</f>
        <v>估价对象所在区域公共配套设施齐备情况</v>
      </c>
      <c r="C54" s="2772"/>
      <c r="D54" s="1288">
        <f t="shared" si="10"/>
        <v>0</v>
      </c>
      <c r="E54" s="821"/>
      <c r="F54" s="2503"/>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87" t="s">
        <v>2955</v>
      </c>
      <c r="B55" s="2884" t="str">
        <f>估价对象房地状况!C22</f>
        <v>估价对象所在区域基础设施水平</v>
      </c>
      <c r="C55" s="2772"/>
      <c r="D55" s="1288">
        <f t="shared" si="10"/>
        <v>0</v>
      </c>
      <c r="E55" s="821"/>
      <c r="F55" s="2503"/>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88" t="s">
        <v>2956</v>
      </c>
      <c r="B56" s="2889" t="str">
        <f>估价对象房地状况!C20</f>
        <v>区域自然环境：；人文环境；综合评价环境状况一般</v>
      </c>
      <c r="C56" s="2772"/>
      <c r="D56" s="1288">
        <f t="shared" si="10"/>
        <v>0</v>
      </c>
      <c r="E56" s="824"/>
      <c r="F56" s="2503"/>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6" t="s">
        <v>2957</v>
      </c>
      <c r="B57" s="2877">
        <f>1+E59</f>
        <v>1</v>
      </c>
      <c r="C57" s="813"/>
      <c r="D57" s="813"/>
      <c r="E57" s="814"/>
      <c r="F57" s="2879"/>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0" t="s">
        <v>2938</v>
      </c>
      <c r="B58" s="1811"/>
      <c r="C58" s="1811" t="s">
        <v>2940</v>
      </c>
      <c r="D58" s="1811" t="s">
        <v>2941</v>
      </c>
      <c r="E58" s="818" t="s">
        <v>2942</v>
      </c>
      <c r="F58" s="2881" t="s">
        <v>2958</v>
      </c>
      <c r="G58" s="1811" t="s">
        <v>754</v>
      </c>
      <c r="H58" s="2882" t="s">
        <v>2944</v>
      </c>
      <c r="I58" s="1811" t="s">
        <v>2945</v>
      </c>
      <c r="J58" s="603" t="s">
        <v>2591</v>
      </c>
      <c r="K58" s="603" t="s">
        <v>2592</v>
      </c>
      <c r="L58" s="603" t="s">
        <v>2593</v>
      </c>
      <c r="M58" s="603" t="s">
        <v>2594</v>
      </c>
      <c r="N58" s="603" t="s">
        <v>2595</v>
      </c>
      <c r="AA58" s="1373"/>
      <c r="AB58" s="1373"/>
      <c r="AC58" s="1373"/>
      <c r="AD58" s="1373"/>
      <c r="AE58" s="1373"/>
      <c r="AF58" s="1373"/>
      <c r="AG58" s="1373"/>
      <c r="AH58" s="1373"/>
      <c r="AI58" s="1373"/>
      <c r="AJ58" s="1373"/>
      <c r="AK58" s="1373"/>
    </row>
    <row r="59" spans="1:37" s="1372" customFormat="1" ht="38.25">
      <c r="A59" s="2880" t="s">
        <v>2959</v>
      </c>
      <c r="B59" s="2883" t="str">
        <f>估价对象房地状况!C17</f>
        <v>估价对象位于XX商圈，周边办公楼项目较多，入驻率高，办公集聚程度较好</v>
      </c>
      <c r="C59" s="2772"/>
      <c r="D59" s="1288">
        <f t="shared" ref="D59:D67" si="15">SUMIF($J$58:$N$58,C59,J59:N59)</f>
        <v>0</v>
      </c>
      <c r="E59" s="820">
        <f>ROUND(SUM(D59:D67),4)</f>
        <v>0</v>
      </c>
      <c r="F59" s="2503"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80" t="s">
        <v>2947</v>
      </c>
      <c r="B60" s="2884" t="str">
        <f>估价对象房地状况!C18</f>
        <v>估价对象周边道路状况、公共交通通达情况、停车便捷程度，综合评价交通便捷度较好</v>
      </c>
      <c r="C60" s="2772"/>
      <c r="D60" s="1288">
        <f t="shared" si="15"/>
        <v>0</v>
      </c>
      <c r="E60" s="821"/>
      <c r="F60" s="2503"/>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80" t="s">
        <v>2948</v>
      </c>
      <c r="B61" s="2884">
        <f>估价对象房地状况!C19</f>
        <v>0</v>
      </c>
      <c r="C61" s="2772"/>
      <c r="D61" s="1288">
        <f t="shared" si="15"/>
        <v>0</v>
      </c>
      <c r="E61" s="821"/>
      <c r="F61" s="2503"/>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80" t="s">
        <v>2949</v>
      </c>
      <c r="B62" s="2885" t="s">
        <v>2950</v>
      </c>
      <c r="C62" s="2772"/>
      <c r="D62" s="1288">
        <f t="shared" si="15"/>
        <v>0</v>
      </c>
      <c r="E62" s="821"/>
      <c r="F62" s="2503"/>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80" t="s">
        <v>2951</v>
      </c>
      <c r="B63" s="2884">
        <f>估价对象房地状况!C24</f>
        <v>0</v>
      </c>
      <c r="C63" s="2772"/>
      <c r="D63" s="1288">
        <f t="shared" si="15"/>
        <v>0</v>
      </c>
      <c r="E63" s="821"/>
      <c r="F63" s="2503"/>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80" t="s">
        <v>2952</v>
      </c>
      <c r="B64" s="2886" t="s">
        <v>2953</v>
      </c>
      <c r="C64" s="2772"/>
      <c r="D64" s="1288">
        <f t="shared" si="15"/>
        <v>0</v>
      </c>
      <c r="E64" s="821"/>
      <c r="F64" s="2503"/>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80" t="s">
        <v>2954</v>
      </c>
      <c r="B65" s="1727" t="str">
        <f>估价对象房地状况!C21</f>
        <v>估价对象所在区域公共配套设施齐备情况</v>
      </c>
      <c r="C65" s="2772"/>
      <c r="D65" s="1288">
        <f t="shared" si="15"/>
        <v>0</v>
      </c>
      <c r="E65" s="821"/>
      <c r="F65" s="2503"/>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80" t="s">
        <v>2955</v>
      </c>
      <c r="B66" s="1727" t="str">
        <f>估价对象房地状况!C22</f>
        <v>估价对象所在区域基础设施水平</v>
      </c>
      <c r="C66" s="2772"/>
      <c r="D66" s="1288">
        <f t="shared" si="15"/>
        <v>0</v>
      </c>
      <c r="E66" s="821"/>
      <c r="F66" s="2503"/>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88" t="s">
        <v>2956</v>
      </c>
      <c r="B67" s="2890" t="str">
        <f>估价对象房地状况!C20</f>
        <v>区域自然环境：；人文环境；综合评价环境状况一般</v>
      </c>
      <c r="C67" s="2772"/>
      <c r="D67" s="1288">
        <f t="shared" si="15"/>
        <v>0</v>
      </c>
      <c r="E67" s="824"/>
      <c r="F67" s="2503"/>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76" t="s">
        <v>2960</v>
      </c>
      <c r="B68" s="2877">
        <f>1+E70</f>
        <v>1</v>
      </c>
      <c r="C68" s="813"/>
      <c r="D68" s="813"/>
      <c r="E68" s="814"/>
      <c r="F68" s="2879"/>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0" t="s">
        <v>2938</v>
      </c>
      <c r="B69" s="1811"/>
      <c r="C69" s="1811" t="s">
        <v>2940</v>
      </c>
      <c r="D69" s="1811" t="s">
        <v>2941</v>
      </c>
      <c r="E69" s="818" t="s">
        <v>2942</v>
      </c>
      <c r="F69" s="2881" t="s">
        <v>2958</v>
      </c>
      <c r="G69" s="1811" t="s">
        <v>754</v>
      </c>
      <c r="H69" s="2882" t="s">
        <v>2944</v>
      </c>
      <c r="I69" s="1811" t="s">
        <v>2945</v>
      </c>
      <c r="J69" s="603" t="s">
        <v>2591</v>
      </c>
      <c r="K69" s="603" t="s">
        <v>2592</v>
      </c>
      <c r="L69" s="603" t="s">
        <v>2593</v>
      </c>
      <c r="M69" s="603" t="s">
        <v>2594</v>
      </c>
      <c r="N69" s="603" t="s">
        <v>2595</v>
      </c>
      <c r="AA69" s="1373"/>
      <c r="AB69" s="1373"/>
      <c r="AC69" s="1373"/>
      <c r="AD69" s="1373"/>
      <c r="AE69" s="1373"/>
      <c r="AF69" s="1373"/>
      <c r="AG69" s="1373"/>
      <c r="AH69" s="1373"/>
      <c r="AI69" s="1373"/>
      <c r="AJ69" s="1373"/>
      <c r="AK69" s="1373"/>
    </row>
    <row r="70" spans="1:37" s="1372" customFormat="1" ht="51">
      <c r="A70" s="2880" t="s">
        <v>2961</v>
      </c>
      <c r="B70" s="2883" t="str">
        <f>估价对象房地状况!C15</f>
        <v>估价对象周边居住用地比例、居住小区规模和社区发展完善程度，综合评价居住社区成熟度一般</v>
      </c>
      <c r="C70" s="2772"/>
      <c r="D70" s="1288">
        <f t="shared" ref="D70:D78" si="20">SUMIF($J$69:$N$69,C70,J70:N70)</f>
        <v>0</v>
      </c>
      <c r="E70" s="820">
        <f>ROUND(SUM(D70:D78),4)</f>
        <v>0</v>
      </c>
      <c r="F70" s="2503"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0" t="s">
        <v>2947</v>
      </c>
      <c r="B71" s="2884" t="str">
        <f>估价对象房地状况!C18</f>
        <v>估价对象周边道路状况、公共交通通达情况、停车便捷程度，综合评价交通便捷度较好</v>
      </c>
      <c r="C71" s="2772"/>
      <c r="D71" s="1288">
        <f t="shared" si="20"/>
        <v>0</v>
      </c>
      <c r="E71" s="825"/>
      <c r="F71" s="2503"/>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0" t="s">
        <v>2948</v>
      </c>
      <c r="B72" s="2884">
        <f>估价对象房地状况!C19</f>
        <v>0</v>
      </c>
      <c r="C72" s="2772"/>
      <c r="D72" s="1288">
        <f t="shared" si="20"/>
        <v>0</v>
      </c>
      <c r="E72" s="825"/>
      <c r="F72" s="2503"/>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0" t="s">
        <v>2962</v>
      </c>
      <c r="B73" s="2884">
        <f>估价对象房地状况!C24</f>
        <v>0</v>
      </c>
      <c r="C73" s="2772"/>
      <c r="D73" s="1288">
        <f t="shared" si="20"/>
        <v>0</v>
      </c>
      <c r="E73" s="825"/>
      <c r="F73" s="2503"/>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0" t="s">
        <v>2954</v>
      </c>
      <c r="B74" s="1727" t="str">
        <f>估价对象房地状况!C21</f>
        <v>估价对象所在区域公共配套设施齐备情况</v>
      </c>
      <c r="C74" s="2772"/>
      <c r="D74" s="1288">
        <f t="shared" si="20"/>
        <v>0</v>
      </c>
      <c r="E74" s="825"/>
      <c r="F74" s="2503"/>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0" t="s">
        <v>2955</v>
      </c>
      <c r="B75" s="1727" t="str">
        <f>估价对象房地状况!C22</f>
        <v>估价对象所在区域基础设施水平</v>
      </c>
      <c r="C75" s="2772"/>
      <c r="D75" s="1288">
        <f t="shared" si="20"/>
        <v>0</v>
      </c>
      <c r="E75" s="825"/>
      <c r="F75" s="2503"/>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1" customFormat="1" ht="24">
      <c r="A76" s="2880" t="s">
        <v>2952</v>
      </c>
      <c r="B76" s="2886" t="s">
        <v>2953</v>
      </c>
      <c r="C76" s="2772"/>
      <c r="D76" s="1288">
        <f t="shared" si="20"/>
        <v>0</v>
      </c>
      <c r="E76" s="825"/>
      <c r="F76" s="2503"/>
      <c r="G76" s="1286"/>
      <c r="H76" s="1290" t="str">
        <f t="shared" si="21"/>
        <v>——</v>
      </c>
      <c r="I76" s="819">
        <v>0.05</v>
      </c>
      <c r="J76" s="1287">
        <f t="shared" si="22"/>
        <v>0</v>
      </c>
      <c r="K76" s="1287">
        <f t="shared" si="23"/>
        <v>0</v>
      </c>
      <c r="L76" s="1287">
        <v>0</v>
      </c>
      <c r="M76" s="1287">
        <f t="shared" si="24"/>
        <v>0</v>
      </c>
      <c r="N76" s="1287">
        <f t="shared" si="24"/>
        <v>0</v>
      </c>
      <c r="AA76" s="2891"/>
      <c r="AB76" s="1373"/>
      <c r="AC76" s="1373"/>
      <c r="AD76" s="1373"/>
      <c r="AE76" s="1373"/>
      <c r="AF76" s="1373"/>
      <c r="AG76" s="1373"/>
      <c r="AH76" s="2891"/>
      <c r="AI76" s="2891"/>
      <c r="AJ76" s="2891"/>
      <c r="AK76" s="2891"/>
    </row>
    <row r="77" spans="1:37" ht="38.25">
      <c r="A77" s="2880" t="s">
        <v>2956</v>
      </c>
      <c r="B77" s="2883" t="str">
        <f>估价对象房地状况!C20</f>
        <v>区域自然环境：；人文环境；综合评价环境状况一般</v>
      </c>
      <c r="C77" s="2772"/>
      <c r="D77" s="1288">
        <f t="shared" si="20"/>
        <v>0</v>
      </c>
      <c r="E77" s="825"/>
      <c r="F77" s="2503"/>
      <c r="G77" s="1286"/>
      <c r="H77" s="1290" t="str">
        <f t="shared" si="21"/>
        <v>——</v>
      </c>
      <c r="I77" s="819">
        <v>0.15</v>
      </c>
      <c r="J77" s="1287">
        <f t="shared" si="22"/>
        <v>0</v>
      </c>
      <c r="K77" s="1287">
        <f t="shared" si="23"/>
        <v>0</v>
      </c>
      <c r="L77" s="1287">
        <v>0</v>
      </c>
      <c r="M77" s="1287">
        <f t="shared" si="24"/>
        <v>0</v>
      </c>
      <c r="N77" s="1287">
        <f t="shared" si="24"/>
        <v>0</v>
      </c>
      <c r="Z77" s="2722"/>
      <c r="AA77" s="2798"/>
      <c r="AG77" s="1374"/>
      <c r="AK77" s="2798"/>
    </row>
    <row r="78" spans="1:37" ht="24.75" thickBot="1">
      <c r="A78" s="2888" t="s">
        <v>2963</v>
      </c>
      <c r="B78" s="2892"/>
      <c r="C78" s="2772"/>
      <c r="D78" s="1288">
        <f t="shared" si="20"/>
        <v>0</v>
      </c>
      <c r="E78" s="826"/>
      <c r="F78" s="2503"/>
      <c r="G78" s="1286"/>
      <c r="H78" s="1290" t="str">
        <f t="shared" si="21"/>
        <v>——</v>
      </c>
      <c r="I78" s="823">
        <v>0.04</v>
      </c>
      <c r="J78" s="1287">
        <f t="shared" si="22"/>
        <v>0</v>
      </c>
      <c r="K78" s="1287">
        <f t="shared" si="23"/>
        <v>0</v>
      </c>
      <c r="L78" s="1287">
        <v>0</v>
      </c>
      <c r="M78" s="1287">
        <f t="shared" si="24"/>
        <v>0</v>
      </c>
      <c r="N78" s="1287">
        <f t="shared" si="24"/>
        <v>0</v>
      </c>
      <c r="Z78" s="2722"/>
      <c r="AA78" s="2798"/>
      <c r="AG78" s="1374"/>
      <c r="AK78" s="2798"/>
    </row>
    <row r="79" spans="1:37" ht="15">
      <c r="A79" s="2876" t="s">
        <v>2964</v>
      </c>
      <c r="B79" s="2877">
        <f>1+E81</f>
        <v>1</v>
      </c>
      <c r="C79" s="813"/>
      <c r="D79" s="813"/>
      <c r="E79" s="814"/>
      <c r="F79" s="2879"/>
      <c r="G79" s="6"/>
      <c r="H79" s="6"/>
      <c r="I79" s="6"/>
      <c r="J79" s="7"/>
      <c r="K79" s="7"/>
      <c r="L79" s="7"/>
      <c r="M79" s="7"/>
      <c r="N79" s="7"/>
      <c r="Z79" s="2722"/>
      <c r="AA79" s="2798"/>
      <c r="AG79" s="1374"/>
      <c r="AK79" s="2798"/>
    </row>
    <row r="80" spans="1:37" ht="24.75">
      <c r="A80" s="2880" t="s">
        <v>2938</v>
      </c>
      <c r="B80" s="1811"/>
      <c r="C80" s="1811" t="s">
        <v>2940</v>
      </c>
      <c r="D80" s="1811" t="s">
        <v>2941</v>
      </c>
      <c r="E80" s="818" t="s">
        <v>2942</v>
      </c>
      <c r="F80" s="2881" t="s">
        <v>2958</v>
      </c>
      <c r="G80" s="1811" t="s">
        <v>754</v>
      </c>
      <c r="H80" s="2882" t="s">
        <v>2944</v>
      </c>
      <c r="I80" s="1811" t="s">
        <v>2945</v>
      </c>
      <c r="J80" s="603" t="s">
        <v>2591</v>
      </c>
      <c r="K80" s="603" t="s">
        <v>2592</v>
      </c>
      <c r="L80" s="603" t="s">
        <v>2593</v>
      </c>
      <c r="M80" s="603" t="s">
        <v>2594</v>
      </c>
      <c r="N80" s="603" t="s">
        <v>2595</v>
      </c>
      <c r="Z80" s="2722"/>
      <c r="AA80" s="2798"/>
      <c r="AG80" s="1374"/>
      <c r="AK80" s="2798"/>
    </row>
    <row r="81" spans="1:37" ht="38.25">
      <c r="A81" s="2880" t="s">
        <v>2965</v>
      </c>
      <c r="B81" s="2884" t="str">
        <f>估价对象房地状况!G15</f>
        <v>估价对象位于XX开发区，园区建设成熟度XX，产业集聚程度XX</v>
      </c>
      <c r="C81" s="2772"/>
      <c r="D81" s="1288">
        <f t="shared" ref="D81:D88" si="25">SUMIF($J$80:$N$80,C81,J81:N81)</f>
        <v>0</v>
      </c>
      <c r="E81" s="820">
        <f>ROUND(SUM(D81:D88),4)</f>
        <v>0</v>
      </c>
      <c r="F81" s="2503"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22"/>
      <c r="AA81" s="2798"/>
      <c r="AG81" s="1374"/>
      <c r="AK81" s="2798"/>
    </row>
    <row r="82" spans="1:37" ht="51">
      <c r="A82" s="2880" t="s">
        <v>2947</v>
      </c>
      <c r="B82" s="2884" t="str">
        <f>估价对象房地状况!G16</f>
        <v>估价对象周边道路状况、公共交通通达情况、停车便捷程度，综合评价交通便捷度较好</v>
      </c>
      <c r="C82" s="2772"/>
      <c r="D82" s="1288">
        <f t="shared" si="25"/>
        <v>0</v>
      </c>
      <c r="E82" s="825"/>
      <c r="F82" s="2503"/>
      <c r="G82" s="1286"/>
      <c r="H82" s="1290" t="str">
        <f t="shared" si="26"/>
        <v>——</v>
      </c>
      <c r="I82" s="819">
        <v>0.33</v>
      </c>
      <c r="J82" s="1287">
        <f t="shared" si="27"/>
        <v>0</v>
      </c>
      <c r="K82" s="1287">
        <f t="shared" si="28"/>
        <v>0</v>
      </c>
      <c r="L82" s="1287">
        <v>0</v>
      </c>
      <c r="M82" s="1287">
        <f t="shared" si="29"/>
        <v>0</v>
      </c>
      <c r="N82" s="1287">
        <f t="shared" si="29"/>
        <v>0</v>
      </c>
      <c r="Z82" s="2722"/>
      <c r="AA82" s="2798"/>
      <c r="AG82" s="1374"/>
      <c r="AK82" s="2798"/>
    </row>
    <row r="83" spans="1:37" ht="24">
      <c r="A83" s="2880" t="s">
        <v>2948</v>
      </c>
      <c r="B83" s="2884">
        <f>估价对象房地状况!G17</f>
        <v>0</v>
      </c>
      <c r="C83" s="2772"/>
      <c r="D83" s="1288">
        <f t="shared" si="25"/>
        <v>0</v>
      </c>
      <c r="E83" s="825"/>
      <c r="F83" s="2503"/>
      <c r="G83" s="1286"/>
      <c r="H83" s="1290" t="str">
        <f t="shared" si="26"/>
        <v>——</v>
      </c>
      <c r="I83" s="819">
        <v>0.05</v>
      </c>
      <c r="J83" s="1287">
        <f t="shared" si="27"/>
        <v>0</v>
      </c>
      <c r="K83" s="1287">
        <f t="shared" si="28"/>
        <v>0</v>
      </c>
      <c r="L83" s="1287">
        <v>0</v>
      </c>
      <c r="M83" s="1287">
        <f t="shared" si="29"/>
        <v>0</v>
      </c>
      <c r="N83" s="1287">
        <f t="shared" si="29"/>
        <v>0</v>
      </c>
      <c r="Z83" s="2722"/>
      <c r="AA83" s="2798"/>
      <c r="AG83" s="1374"/>
      <c r="AK83" s="2798"/>
    </row>
    <row r="84" spans="1:37" ht="14.25">
      <c r="A84" s="2880" t="s">
        <v>2962</v>
      </c>
      <c r="B84" s="2884">
        <f>估价对象房地状况!G22</f>
        <v>0</v>
      </c>
      <c r="C84" s="2772"/>
      <c r="D84" s="1288">
        <f t="shared" si="25"/>
        <v>0</v>
      </c>
      <c r="E84" s="825"/>
      <c r="F84" s="2503"/>
      <c r="G84" s="1286"/>
      <c r="H84" s="1290" t="str">
        <f t="shared" si="26"/>
        <v>——</v>
      </c>
      <c r="I84" s="819">
        <v>0.04</v>
      </c>
      <c r="J84" s="1287">
        <f t="shared" si="27"/>
        <v>0</v>
      </c>
      <c r="K84" s="1287">
        <f t="shared" si="28"/>
        <v>0</v>
      </c>
      <c r="L84" s="1287">
        <v>0</v>
      </c>
      <c r="M84" s="1287">
        <f t="shared" si="29"/>
        <v>0</v>
      </c>
      <c r="N84" s="1287">
        <f t="shared" si="29"/>
        <v>0</v>
      </c>
      <c r="Z84" s="2722"/>
      <c r="AA84" s="2798"/>
      <c r="AG84" s="1374"/>
      <c r="AK84" s="2798"/>
    </row>
    <row r="85" spans="1:37" ht="25.5">
      <c r="A85" s="2880" t="s">
        <v>2954</v>
      </c>
      <c r="B85" s="1727" t="str">
        <f>估价对象房地状况!G19</f>
        <v>估价对象所在区域公共配套设施齐备情况</v>
      </c>
      <c r="C85" s="2772"/>
      <c r="D85" s="1288">
        <f t="shared" si="25"/>
        <v>0</v>
      </c>
      <c r="E85" s="825"/>
      <c r="F85" s="2503"/>
      <c r="G85" s="1286"/>
      <c r="H85" s="1290" t="str">
        <f t="shared" si="26"/>
        <v>——</v>
      </c>
      <c r="I85" s="819">
        <v>0.06</v>
      </c>
      <c r="J85" s="1287">
        <f t="shared" si="27"/>
        <v>0</v>
      </c>
      <c r="K85" s="1287">
        <f t="shared" si="28"/>
        <v>0</v>
      </c>
      <c r="L85" s="1287">
        <v>0</v>
      </c>
      <c r="M85" s="1287">
        <f t="shared" si="29"/>
        <v>0</v>
      </c>
      <c r="N85" s="1287">
        <f t="shared" si="29"/>
        <v>0</v>
      </c>
      <c r="Z85" s="2722"/>
      <c r="AA85" s="2798"/>
      <c r="AG85" s="1374"/>
      <c r="AK85" s="2798"/>
    </row>
    <row r="86" spans="1:37" ht="25.5">
      <c r="A86" s="2880" t="s">
        <v>2955</v>
      </c>
      <c r="B86" s="1727" t="str">
        <f>估价对象房地状况!G20</f>
        <v>估价对象所在区域基础设施水平</v>
      </c>
      <c r="C86" s="2772"/>
      <c r="D86" s="1288">
        <f t="shared" si="25"/>
        <v>0</v>
      </c>
      <c r="E86" s="825"/>
      <c r="F86" s="2503"/>
      <c r="G86" s="1286"/>
      <c r="H86" s="1290" t="str">
        <f t="shared" si="26"/>
        <v>——</v>
      </c>
      <c r="I86" s="819">
        <v>0.15</v>
      </c>
      <c r="J86" s="1287">
        <f t="shared" si="27"/>
        <v>0</v>
      </c>
      <c r="K86" s="1287">
        <f t="shared" si="28"/>
        <v>0</v>
      </c>
      <c r="L86" s="1287">
        <v>0</v>
      </c>
      <c r="M86" s="1287">
        <f t="shared" si="29"/>
        <v>0</v>
      </c>
      <c r="N86" s="1287">
        <f t="shared" si="29"/>
        <v>0</v>
      </c>
      <c r="Z86" s="2722"/>
      <c r="AA86" s="2798"/>
      <c r="AG86" s="1374"/>
      <c r="AK86" s="2798"/>
    </row>
    <row r="87" spans="1:37" ht="24">
      <c r="A87" s="2880" t="s">
        <v>2952</v>
      </c>
      <c r="B87" s="2886" t="s">
        <v>2966</v>
      </c>
      <c r="C87" s="2772"/>
      <c r="D87" s="1288">
        <f t="shared" si="25"/>
        <v>0</v>
      </c>
      <c r="E87" s="825"/>
      <c r="F87" s="2503"/>
      <c r="G87" s="1286"/>
      <c r="H87" s="1290" t="str">
        <f t="shared" si="26"/>
        <v>——</v>
      </c>
      <c r="I87" s="819">
        <v>0.05</v>
      </c>
      <c r="J87" s="1287">
        <f t="shared" si="27"/>
        <v>0</v>
      </c>
      <c r="K87" s="1287">
        <f t="shared" si="28"/>
        <v>0</v>
      </c>
      <c r="L87" s="1287">
        <v>0</v>
      </c>
      <c r="M87" s="1287">
        <f t="shared" si="29"/>
        <v>0</v>
      </c>
      <c r="N87" s="1287">
        <f t="shared" si="29"/>
        <v>0</v>
      </c>
      <c r="Z87" s="2722"/>
      <c r="AA87" s="2798"/>
      <c r="AG87" s="1374"/>
      <c r="AK87" s="2798"/>
    </row>
    <row r="88" spans="1:37" ht="39" thickBot="1">
      <c r="A88" s="2888" t="s">
        <v>2967</v>
      </c>
      <c r="B88" s="2893" t="str">
        <f>估价对象房地状况!G18</f>
        <v>该园区内是否有污染型企业，绿化情况，卫生条件，整体环境状况判断</v>
      </c>
      <c r="C88" s="2772"/>
      <c r="D88" s="1288">
        <f t="shared" si="25"/>
        <v>0</v>
      </c>
      <c r="E88" s="826"/>
      <c r="F88" s="2503"/>
      <c r="G88" s="1286"/>
      <c r="H88" s="1290" t="str">
        <f t="shared" si="26"/>
        <v>——</v>
      </c>
      <c r="I88" s="823">
        <v>0.06</v>
      </c>
      <c r="J88" s="1287">
        <f t="shared" si="27"/>
        <v>0</v>
      </c>
      <c r="K88" s="1287">
        <f t="shared" si="28"/>
        <v>0</v>
      </c>
      <c r="L88" s="1287">
        <v>0</v>
      </c>
      <c r="M88" s="1287">
        <f t="shared" si="29"/>
        <v>0</v>
      </c>
      <c r="N88" s="1287">
        <f t="shared" si="29"/>
        <v>0</v>
      </c>
      <c r="Z88" s="2722"/>
      <c r="AA88" s="2798"/>
      <c r="AG88" s="1374"/>
      <c r="AK88" s="2798"/>
    </row>
    <row r="90" spans="1:37">
      <c r="A90" s="3287" t="s">
        <v>2968</v>
      </c>
      <c r="B90" s="3287"/>
      <c r="C90" s="3287"/>
      <c r="D90" s="3287"/>
      <c r="E90" s="3287"/>
      <c r="F90" s="3287"/>
      <c r="G90" s="3287"/>
      <c r="H90" s="3287"/>
      <c r="I90" s="3287"/>
      <c r="J90" s="3287"/>
      <c r="K90" s="2894"/>
      <c r="L90" s="2894"/>
      <c r="M90" s="2894"/>
      <c r="N90" s="2894"/>
    </row>
    <row r="91" spans="1:37">
      <c r="A91" s="3289" t="s">
        <v>2969</v>
      </c>
      <c r="B91" s="3289" t="s">
        <v>2970</v>
      </c>
      <c r="C91" s="2848" t="s">
        <v>2971</v>
      </c>
      <c r="D91" s="2849"/>
      <c r="E91" s="2849"/>
      <c r="F91" s="2849"/>
      <c r="G91" s="2849"/>
      <c r="H91" s="2849"/>
      <c r="I91" s="2849"/>
      <c r="J91" s="2895"/>
      <c r="K91" s="2896"/>
      <c r="L91" s="2896"/>
      <c r="M91" s="2896"/>
      <c r="N91" s="2896"/>
    </row>
    <row r="92" spans="1:37">
      <c r="A92" s="3289"/>
      <c r="B92" s="3289"/>
      <c r="C92" s="944" t="s">
        <v>2835</v>
      </c>
      <c r="D92" s="944" t="s">
        <v>2836</v>
      </c>
      <c r="E92" s="944" t="s">
        <v>2837</v>
      </c>
      <c r="F92" s="944" t="s">
        <v>2838</v>
      </c>
      <c r="G92" s="944" t="s">
        <v>2839</v>
      </c>
      <c r="H92" s="944" t="s">
        <v>2840</v>
      </c>
      <c r="I92" s="944" t="s">
        <v>2841</v>
      </c>
      <c r="J92" s="944" t="s">
        <v>2842</v>
      </c>
      <c r="K92" s="944" t="s">
        <v>2843</v>
      </c>
      <c r="L92" s="944" t="s">
        <v>2844</v>
      </c>
      <c r="M92" s="944" t="s">
        <v>2845</v>
      </c>
      <c r="N92" s="944" t="s">
        <v>2846</v>
      </c>
    </row>
    <row r="93" spans="1:37">
      <c r="A93" s="3290" t="s">
        <v>2972</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91"/>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91"/>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91"/>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91"/>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91"/>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91"/>
      <c r="B99" s="2897" t="s">
        <v>2851</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92"/>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90" t="s">
        <v>2973</v>
      </c>
      <c r="B101" s="2901" t="s">
        <v>2974</v>
      </c>
      <c r="C101" s="2902">
        <f>$G$3</f>
        <v>0.22</v>
      </c>
      <c r="D101" s="2902">
        <f t="shared" ref="D101:N101" si="31">$G$3</f>
        <v>0.22</v>
      </c>
      <c r="E101" s="2902">
        <f t="shared" si="31"/>
        <v>0.22</v>
      </c>
      <c r="F101" s="2902">
        <f t="shared" si="31"/>
        <v>0.22</v>
      </c>
      <c r="G101" s="2902">
        <f t="shared" si="31"/>
        <v>0.22</v>
      </c>
      <c r="H101" s="2902">
        <f t="shared" si="31"/>
        <v>0.22</v>
      </c>
      <c r="I101" s="2902">
        <f t="shared" si="31"/>
        <v>0.22</v>
      </c>
      <c r="J101" s="2902">
        <f t="shared" si="31"/>
        <v>0.22</v>
      </c>
      <c r="K101" s="2902">
        <f t="shared" si="31"/>
        <v>0.22</v>
      </c>
      <c r="L101" s="2902">
        <f t="shared" si="31"/>
        <v>0.22</v>
      </c>
      <c r="M101" s="2902">
        <f t="shared" si="31"/>
        <v>0.22</v>
      </c>
      <c r="N101" s="2902">
        <f t="shared" si="31"/>
        <v>0.22</v>
      </c>
    </row>
    <row r="102" spans="1:14">
      <c r="A102" s="3291"/>
      <c r="B102" s="2897">
        <v>1</v>
      </c>
      <c r="C102" s="2898">
        <f>1.9362/C101</f>
        <v>8.8009090909090908</v>
      </c>
      <c r="D102" s="2898">
        <f>1.9362/D101</f>
        <v>8.8009090909090908</v>
      </c>
      <c r="E102" s="2898">
        <f>1.8629/E101</f>
        <v>8.4677272727272719</v>
      </c>
      <c r="F102" s="2898">
        <f>1.8629/F101</f>
        <v>8.4677272727272719</v>
      </c>
      <c r="G102" s="2898">
        <f>1.8629/G101</f>
        <v>8.4677272727272719</v>
      </c>
      <c r="H102" s="2898">
        <f>1.8629/H101</f>
        <v>8.4677272727272719</v>
      </c>
      <c r="I102" s="2898">
        <f>1.8629/I101</f>
        <v>8.4677272727272719</v>
      </c>
      <c r="J102" s="2898">
        <f>1.942/J101</f>
        <v>8.8272727272727263</v>
      </c>
      <c r="K102" s="2898">
        <f>1.942/K101</f>
        <v>8.8272727272727263</v>
      </c>
      <c r="L102" s="2898">
        <f>1.942/L101</f>
        <v>8.8272727272727263</v>
      </c>
      <c r="M102" s="2898">
        <f>1.942/M101</f>
        <v>8.8272727272727263</v>
      </c>
      <c r="N102" s="2898">
        <f>1.942/N101</f>
        <v>8.8272727272727263</v>
      </c>
    </row>
    <row r="103" spans="1:14">
      <c r="A103" s="3291"/>
      <c r="B103" s="2897">
        <v>2</v>
      </c>
      <c r="C103" s="2898">
        <f>1.4198/C101</f>
        <v>6.4536363636363632</v>
      </c>
      <c r="D103" s="2898">
        <f>1.4198/D101</f>
        <v>6.4536363636363632</v>
      </c>
      <c r="E103" s="2898">
        <f>1.3372/E101</f>
        <v>6.0781818181818181</v>
      </c>
      <c r="F103" s="2898">
        <f>1.3372/F101</f>
        <v>6.0781818181818181</v>
      </c>
      <c r="G103" s="2898">
        <f>1.3372/G101</f>
        <v>6.0781818181818181</v>
      </c>
      <c r="H103" s="2898">
        <f>1.3372/H101</f>
        <v>6.0781818181818181</v>
      </c>
      <c r="I103" s="2898">
        <f>1.3372/I101</f>
        <v>6.0781818181818181</v>
      </c>
      <c r="J103" s="2898">
        <f>1.2799/J101</f>
        <v>5.8177272727272733</v>
      </c>
      <c r="K103" s="2898">
        <f>1.2799/K101</f>
        <v>5.8177272727272733</v>
      </c>
      <c r="L103" s="2898">
        <f>1.2799/L101</f>
        <v>5.8177272727272733</v>
      </c>
      <c r="M103" s="2898">
        <f>1.2799/M101</f>
        <v>5.8177272727272733</v>
      </c>
      <c r="N103" s="2898">
        <f>1.2799/N101</f>
        <v>5.8177272727272733</v>
      </c>
    </row>
    <row r="104" spans="1:14">
      <c r="A104" s="3291"/>
      <c r="B104" s="2897">
        <v>3</v>
      </c>
      <c r="C104" s="2898">
        <f>1.1594/C101</f>
        <v>5.27</v>
      </c>
      <c r="D104" s="2898">
        <f>1.1594/D101</f>
        <v>5.27</v>
      </c>
      <c r="E104" s="2898">
        <f>1.0788/E101</f>
        <v>4.9036363636363633</v>
      </c>
      <c r="F104" s="2898">
        <f>1.0788/F101</f>
        <v>4.9036363636363633</v>
      </c>
      <c r="G104" s="2898">
        <f>1.0788/G101</f>
        <v>4.9036363636363633</v>
      </c>
      <c r="H104" s="2898">
        <f>1.0788/H101</f>
        <v>4.9036363636363633</v>
      </c>
      <c r="I104" s="2898">
        <f>1.0788/I101</f>
        <v>4.9036363636363633</v>
      </c>
      <c r="J104" s="2898">
        <f>1.0072/J101</f>
        <v>4.578181818181819</v>
      </c>
      <c r="K104" s="2898">
        <f>1.0072/K101</f>
        <v>4.578181818181819</v>
      </c>
      <c r="L104" s="2898">
        <f>1.0072/L101</f>
        <v>4.578181818181819</v>
      </c>
      <c r="M104" s="2898">
        <f>1.0072/M101</f>
        <v>4.578181818181819</v>
      </c>
      <c r="N104" s="2898">
        <f>1.0072/N101</f>
        <v>4.578181818181819</v>
      </c>
    </row>
    <row r="105" spans="1:14">
      <c r="A105" s="3291"/>
      <c r="B105" s="2897">
        <v>4</v>
      </c>
      <c r="C105" s="2898">
        <f>0.9622/C101</f>
        <v>4.373636363636364</v>
      </c>
      <c r="D105" s="2898">
        <f>0.9622/D101</f>
        <v>4.373636363636364</v>
      </c>
      <c r="E105" s="2898">
        <f>0.8656/E101</f>
        <v>3.9345454545454546</v>
      </c>
      <c r="F105" s="2898">
        <f>0.8656/F101</f>
        <v>3.9345454545454546</v>
      </c>
      <c r="G105" s="2898">
        <f>0.8656/G101</f>
        <v>3.9345454545454546</v>
      </c>
      <c r="H105" s="2898">
        <f>0.8656/H101</f>
        <v>3.9345454545454546</v>
      </c>
      <c r="I105" s="2898">
        <f>0.8656/I101</f>
        <v>3.9345454545454546</v>
      </c>
      <c r="J105" s="2898">
        <f>0.7525/J101</f>
        <v>3.4204545454545454</v>
      </c>
      <c r="K105" s="2898">
        <f>0.7525/K101</f>
        <v>3.4204545454545454</v>
      </c>
      <c r="L105" s="2898">
        <f>0.7525/L101</f>
        <v>3.4204545454545454</v>
      </c>
      <c r="M105" s="2898">
        <f>0.7525/M101</f>
        <v>3.4204545454545454</v>
      </c>
      <c r="N105" s="2898">
        <f>0.7525/N101</f>
        <v>3.4204545454545454</v>
      </c>
    </row>
    <row r="106" spans="1:14">
      <c r="A106" s="3291"/>
      <c r="B106" s="2897">
        <v>5</v>
      </c>
      <c r="C106" s="2898">
        <f>0.8417/C101</f>
        <v>3.8259090909090907</v>
      </c>
      <c r="D106" s="2898">
        <f>0.8417/D101</f>
        <v>3.8259090909090907</v>
      </c>
      <c r="E106" s="2898">
        <f>0.7371/E101</f>
        <v>3.3504545454545451</v>
      </c>
      <c r="F106" s="2898">
        <f>0.7371/F101</f>
        <v>3.3504545454545451</v>
      </c>
      <c r="G106" s="2898">
        <f>0.7371/G101</f>
        <v>3.3504545454545451</v>
      </c>
      <c r="H106" s="2898">
        <f>0.7371/H101</f>
        <v>3.3504545454545451</v>
      </c>
      <c r="I106" s="2898">
        <f>0.7371/I101</f>
        <v>3.3504545454545451</v>
      </c>
      <c r="J106" s="2898">
        <f>0.5659/J101</f>
        <v>2.5722727272727273</v>
      </c>
      <c r="K106" s="2898">
        <f>0.5659/K101</f>
        <v>2.5722727272727273</v>
      </c>
      <c r="L106" s="2898">
        <f>0.5659/L101</f>
        <v>2.5722727272727273</v>
      </c>
      <c r="M106" s="2898">
        <f>0.5659/M101</f>
        <v>2.5722727272727273</v>
      </c>
      <c r="N106" s="2898">
        <f>0.5659/N101</f>
        <v>2.5722727272727273</v>
      </c>
    </row>
    <row r="107" spans="1:14">
      <c r="A107" s="3291"/>
      <c r="B107" s="2897">
        <v>6</v>
      </c>
      <c r="C107" s="2898">
        <f>0.7608/C101</f>
        <v>3.4581818181818185</v>
      </c>
      <c r="D107" s="2898">
        <f>0.7608/D101</f>
        <v>3.4581818181818185</v>
      </c>
      <c r="E107" s="2898">
        <f>0.6482/E101</f>
        <v>2.9463636363636363</v>
      </c>
      <c r="F107" s="2898">
        <f>0.6482/F101</f>
        <v>2.9463636363636363</v>
      </c>
      <c r="G107" s="2898">
        <f>0.6482/G101</f>
        <v>2.9463636363636363</v>
      </c>
      <c r="H107" s="2898">
        <f>0.6482/H101</f>
        <v>2.9463636363636363</v>
      </c>
      <c r="I107" s="2898">
        <f>0.6482/I101</f>
        <v>2.9463636363636363</v>
      </c>
      <c r="J107" s="2898">
        <f>0.4525/J101</f>
        <v>2.0568181818181817</v>
      </c>
      <c r="K107" s="2898">
        <f>0.4525/K101</f>
        <v>2.0568181818181817</v>
      </c>
      <c r="L107" s="2898">
        <f>0.4525/L101</f>
        <v>2.0568181818181817</v>
      </c>
      <c r="M107" s="2898">
        <f>0.4525/M101</f>
        <v>2.0568181818181817</v>
      </c>
      <c r="N107" s="2898">
        <f>0.4525/N101</f>
        <v>2.0568181818181817</v>
      </c>
    </row>
    <row r="108" spans="1:14">
      <c r="A108" s="3291"/>
      <c r="B108" s="3111" t="s">
        <v>2975</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92"/>
      <c r="B109" s="3112"/>
      <c r="C109" s="2900">
        <f>(-0.163*(C108^2)-0.59*C108+7617)*(10^(-4))/C101</f>
        <v>3.4622727272727274</v>
      </c>
      <c r="D109" s="2900">
        <f>(-0.163*(D108^2)-0.59*D108+7617)*(10^(-4))/D101</f>
        <v>3.4622727272727274</v>
      </c>
      <c r="E109" s="2900">
        <f>(-0.161*(E108^2)-7.509*E108+6533)*(10^(-4))/E101</f>
        <v>2.9695454545454547</v>
      </c>
      <c r="F109" s="2900">
        <f>(-0.161*(F108^2)-7.509*F108+6533)*(10^(-4))/F101</f>
        <v>2.9695454545454547</v>
      </c>
      <c r="G109" s="2900">
        <f>(-0.161*(G108^2)-7.509*G108+6533)*(10^(-4))/G101</f>
        <v>2.9695454545454547</v>
      </c>
      <c r="H109" s="2900">
        <f>(-0.161*(H108^2)-7.509*H108+6533)*(10^(-4))/H101</f>
        <v>2.9695454545454547</v>
      </c>
      <c r="I109" s="2900">
        <f>(-0.161*(I108^2)-7.509*I108+6533)*(10^(-4))/I101</f>
        <v>2.9695454545454547</v>
      </c>
      <c r="J109" s="2900">
        <f>(-0.214*(J108^2)-21.991*J108+4665)*(10^(-4))/J101</f>
        <v>2.1204545454545456</v>
      </c>
      <c r="K109" s="2900">
        <f>(-0.214*(K108^2)-21.991*K108+4665)*(10^(-4))/K101</f>
        <v>2.1204545454545456</v>
      </c>
      <c r="L109" s="2900">
        <f>(-0.214*(L108^2)-21.991*L108+4665)*(10^(-4))/L101</f>
        <v>2.1204545454545456</v>
      </c>
      <c r="M109" s="2900">
        <f>(-0.214*(M108^2)-21.991*M108+4665)*(10^(-4))/M101</f>
        <v>2.1204545454545456</v>
      </c>
      <c r="N109" s="2900">
        <f>(-0.214*(N108^2)-21.991*N108+4665)*(10^(-4))/N101</f>
        <v>2.1204545454545456</v>
      </c>
    </row>
    <row r="110" spans="1:14">
      <c r="A110" s="3288" t="s">
        <v>2976</v>
      </c>
      <c r="B110" s="3288"/>
      <c r="C110" s="3288"/>
      <c r="D110" s="3288"/>
      <c r="E110" s="3288"/>
      <c r="F110" s="3288"/>
      <c r="G110" s="3288"/>
      <c r="H110" s="3288"/>
      <c r="I110" s="3288"/>
      <c r="J110" s="3288"/>
      <c r="K110" s="2903"/>
      <c r="L110" s="2903"/>
      <c r="M110" s="2903"/>
      <c r="N110" s="2903"/>
    </row>
    <row r="112" spans="1:14" ht="13.5" thickBot="1"/>
    <row r="113" spans="1:13" ht="25.5" thickBot="1">
      <c r="A113" s="902" t="s">
        <v>2977</v>
      </c>
      <c r="B113" s="1289">
        <f>G3</f>
        <v>0.22</v>
      </c>
      <c r="C113" s="903" t="s">
        <v>2978</v>
      </c>
      <c r="D113" s="904">
        <f>SUMPRODUCT((A115:A118=F113)*(B114:M114=H113)*B115:M118)</f>
        <v>0</v>
      </c>
      <c r="E113" s="2726" t="s">
        <v>2808</v>
      </c>
      <c r="F113" s="2905">
        <f>E2</f>
        <v>0</v>
      </c>
      <c r="G113" s="2726" t="s">
        <v>2809</v>
      </c>
      <c r="H113" s="2905">
        <f>G2</f>
        <v>0</v>
      </c>
      <c r="I113" s="2726"/>
      <c r="J113" s="2906"/>
      <c r="K113" s="2906"/>
      <c r="L113" s="2906"/>
      <c r="M113" s="2906"/>
    </row>
    <row r="114" spans="1:13">
      <c r="A114" s="907"/>
      <c r="B114" s="2907" t="s">
        <v>2979</v>
      </c>
      <c r="C114" s="2907" t="s">
        <v>2980</v>
      </c>
      <c r="D114" s="2907" t="s">
        <v>2981</v>
      </c>
      <c r="E114" s="2908" t="s">
        <v>2982</v>
      </c>
      <c r="F114" s="2908" t="s">
        <v>2983</v>
      </c>
      <c r="G114" s="2908" t="s">
        <v>2984</v>
      </c>
      <c r="H114" s="2909" t="s">
        <v>2985</v>
      </c>
      <c r="I114" s="2909" t="s">
        <v>2986</v>
      </c>
      <c r="J114" s="2910" t="s">
        <v>2987</v>
      </c>
      <c r="K114" s="2910" t="s">
        <v>2988</v>
      </c>
      <c r="L114" s="2910" t="s">
        <v>2989</v>
      </c>
      <c r="M114" s="2911" t="s">
        <v>2990</v>
      </c>
    </row>
    <row r="115" spans="1:13">
      <c r="A115" s="908" t="s">
        <v>2873</v>
      </c>
      <c r="B115" s="909">
        <f>ROUND(0.9335-0.0094*B113,4)</f>
        <v>0.93140000000000001</v>
      </c>
      <c r="C115" s="909">
        <f>B115</f>
        <v>0.93140000000000001</v>
      </c>
      <c r="D115" s="909">
        <f>ROUND(0.8331-0.0109*B113,4)</f>
        <v>0.83069999999999999</v>
      </c>
      <c r="E115" s="909">
        <f>D115</f>
        <v>0.83069999999999999</v>
      </c>
      <c r="F115" s="909">
        <f>E115</f>
        <v>0.83069999999999999</v>
      </c>
      <c r="G115" s="909">
        <f>F115</f>
        <v>0.83069999999999999</v>
      </c>
      <c r="H115" s="909">
        <f>G115</f>
        <v>0.83069999999999999</v>
      </c>
      <c r="I115" s="909">
        <f>ROUND(0.689-0.0155*B113,4)</f>
        <v>0.68559999999999999</v>
      </c>
      <c r="J115" s="909">
        <f t="shared" ref="J115:M118" si="33">I115</f>
        <v>0.68559999999999999</v>
      </c>
      <c r="K115" s="909">
        <f t="shared" si="33"/>
        <v>0.68559999999999999</v>
      </c>
      <c r="L115" s="909">
        <f t="shared" si="33"/>
        <v>0.68559999999999999</v>
      </c>
      <c r="M115" s="910">
        <f t="shared" si="33"/>
        <v>0.68559999999999999</v>
      </c>
    </row>
    <row r="116" spans="1:13">
      <c r="A116" s="908" t="s">
        <v>2874</v>
      </c>
      <c r="B116" s="909">
        <f>ROUND(0.949-0.012*B113,4)</f>
        <v>0.94640000000000002</v>
      </c>
      <c r="C116" s="909">
        <f>B116</f>
        <v>0.94640000000000002</v>
      </c>
      <c r="D116" s="909">
        <f>ROUND(0.8567-0.013*B113,4)</f>
        <v>0.8538</v>
      </c>
      <c r="E116" s="909">
        <f t="shared" ref="E116:H117" si="34">D116</f>
        <v>0.8538</v>
      </c>
      <c r="F116" s="909">
        <f t="shared" si="34"/>
        <v>0.8538</v>
      </c>
      <c r="G116" s="909">
        <f t="shared" si="34"/>
        <v>0.8538</v>
      </c>
      <c r="H116" s="909">
        <f t="shared" si="34"/>
        <v>0.8538</v>
      </c>
      <c r="I116" s="909">
        <f>ROUND(0.7694-0.014*B113,4)</f>
        <v>0.76629999999999998</v>
      </c>
      <c r="J116" s="909">
        <f t="shared" si="33"/>
        <v>0.76629999999999998</v>
      </c>
      <c r="K116" s="909">
        <f t="shared" si="33"/>
        <v>0.76629999999999998</v>
      </c>
      <c r="L116" s="909">
        <f t="shared" si="33"/>
        <v>0.76629999999999998</v>
      </c>
      <c r="M116" s="910">
        <f t="shared" si="33"/>
        <v>0.76629999999999998</v>
      </c>
    </row>
    <row r="117" spans="1:13">
      <c r="A117" s="908" t="s">
        <v>2875</v>
      </c>
      <c r="B117" s="909">
        <f>ROUND(0.8808-0.006*B113,4)</f>
        <v>0.87949999999999995</v>
      </c>
      <c r="C117" s="909">
        <f>B117</f>
        <v>0.87949999999999995</v>
      </c>
      <c r="D117" s="909">
        <f>ROUND(0.8748-0.008*B113,4)</f>
        <v>0.873</v>
      </c>
      <c r="E117" s="909">
        <f t="shared" si="34"/>
        <v>0.873</v>
      </c>
      <c r="F117" s="909">
        <f t="shared" si="34"/>
        <v>0.873</v>
      </c>
      <c r="G117" s="909">
        <f t="shared" si="34"/>
        <v>0.873</v>
      </c>
      <c r="H117" s="909">
        <f t="shared" si="34"/>
        <v>0.873</v>
      </c>
      <c r="I117" s="909">
        <f>ROUND(0.7412-0.0095*B113,4)</f>
        <v>0.73909999999999998</v>
      </c>
      <c r="J117" s="909">
        <f t="shared" si="33"/>
        <v>0.73909999999999998</v>
      </c>
      <c r="K117" s="909">
        <f t="shared" si="33"/>
        <v>0.73909999999999998</v>
      </c>
      <c r="L117" s="909">
        <f t="shared" si="33"/>
        <v>0.73909999999999998</v>
      </c>
      <c r="M117" s="910">
        <f t="shared" si="33"/>
        <v>0.73909999999999998</v>
      </c>
    </row>
    <row r="118" spans="1:13" ht="13.5" thickBot="1">
      <c r="A118" s="713" t="s">
        <v>2876</v>
      </c>
      <c r="B118" s="911">
        <f>ROUND(0.7275-0.01*B113,4)</f>
        <v>0.72529999999999994</v>
      </c>
      <c r="C118" s="911">
        <f>B118</f>
        <v>0.72529999999999994</v>
      </c>
      <c r="D118" s="911">
        <f>ROUND(0.7043-0.012*B113,4)</f>
        <v>0.70169999999999999</v>
      </c>
      <c r="E118" s="911">
        <f>D118</f>
        <v>0.70169999999999999</v>
      </c>
      <c r="F118" s="911">
        <f>E118</f>
        <v>0.70169999999999999</v>
      </c>
      <c r="G118" s="911">
        <f>ROUND(0.6299-0.0122*B113,4)</f>
        <v>0.62719999999999998</v>
      </c>
      <c r="H118" s="911">
        <f>G118</f>
        <v>0.62719999999999998</v>
      </c>
      <c r="I118" s="911">
        <f>ROUND(0.5667-0.0136*B113,4)</f>
        <v>0.56369999999999998</v>
      </c>
      <c r="J118" s="911">
        <f t="shared" si="33"/>
        <v>0.56369999999999998</v>
      </c>
      <c r="K118" s="911">
        <f t="shared" si="33"/>
        <v>0.56369999999999998</v>
      </c>
      <c r="L118" s="911">
        <f t="shared" si="33"/>
        <v>0.56369999999999998</v>
      </c>
      <c r="M118" s="912">
        <f t="shared" si="33"/>
        <v>0.56369999999999998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305" t="s">
        <v>183</v>
      </c>
      <c r="B18" s="881" t="s">
        <v>560</v>
      </c>
      <c r="C18" s="882" t="s">
        <v>561</v>
      </c>
      <c r="D18" s="883"/>
      <c r="E18" s="881">
        <v>1</v>
      </c>
      <c r="F18" s="884" t="s">
        <v>562</v>
      </c>
      <c r="G18" s="885"/>
      <c r="H18" s="877"/>
      <c r="I18" s="877"/>
    </row>
    <row r="19" spans="1:9" s="886" customFormat="1" ht="19.5" customHeight="1">
      <c r="A19" s="3305"/>
      <c r="B19" s="3305" t="s">
        <v>563</v>
      </c>
      <c r="C19" s="882" t="s">
        <v>564</v>
      </c>
      <c r="D19" s="883"/>
      <c r="E19" s="881">
        <v>0.9</v>
      </c>
      <c r="F19" s="884" t="s">
        <v>565</v>
      </c>
      <c r="G19" s="885"/>
      <c r="H19" s="877"/>
      <c r="I19" s="877"/>
    </row>
    <row r="20" spans="1:9" s="886" customFormat="1" ht="19.5" customHeight="1">
      <c r="A20" s="3305"/>
      <c r="B20" s="3305"/>
      <c r="C20" s="882" t="s">
        <v>566</v>
      </c>
      <c r="D20" s="883"/>
      <c r="E20" s="881">
        <v>1.1000000000000001</v>
      </c>
      <c r="F20" s="884" t="s">
        <v>567</v>
      </c>
      <c r="G20" s="885"/>
      <c r="H20" s="877"/>
      <c r="I20" s="877"/>
    </row>
    <row r="21" spans="1:9" s="886" customFormat="1" ht="19.5" customHeight="1">
      <c r="A21" s="3305"/>
      <c r="B21" s="3305"/>
      <c r="C21" s="882" t="s">
        <v>568</v>
      </c>
      <c r="D21" s="883"/>
      <c r="E21" s="881">
        <v>0.8</v>
      </c>
      <c r="F21" s="884" t="s">
        <v>569</v>
      </c>
      <c r="G21" s="885"/>
      <c r="H21" s="877"/>
      <c r="I21" s="877"/>
    </row>
    <row r="22" spans="1:9" s="886" customFormat="1" ht="19.5" customHeight="1">
      <c r="A22" s="3305"/>
      <c r="B22" s="3305"/>
      <c r="C22" s="882" t="s">
        <v>570</v>
      </c>
      <c r="D22" s="883"/>
      <c r="E22" s="881">
        <v>0.5</v>
      </c>
      <c r="F22" s="884"/>
      <c r="G22" s="885"/>
      <c r="H22" s="877"/>
      <c r="I22" s="877"/>
    </row>
    <row r="23" spans="1:9" s="886" customFormat="1" ht="19.5" customHeight="1">
      <c r="A23" s="3305" t="s">
        <v>184</v>
      </c>
      <c r="B23" s="881" t="s">
        <v>560</v>
      </c>
      <c r="C23" s="882" t="s">
        <v>571</v>
      </c>
      <c r="D23" s="883"/>
      <c r="E23" s="881">
        <v>1</v>
      </c>
      <c r="F23" s="884" t="s">
        <v>572</v>
      </c>
      <c r="G23" s="885"/>
      <c r="H23" s="877"/>
      <c r="I23" s="877"/>
    </row>
    <row r="24" spans="1:9" s="886" customFormat="1" ht="19.5" customHeight="1">
      <c r="A24" s="3305"/>
      <c r="B24" s="3305" t="s">
        <v>563</v>
      </c>
      <c r="C24" s="882" t="s">
        <v>573</v>
      </c>
      <c r="D24" s="883"/>
      <c r="E24" s="881">
        <v>0.5</v>
      </c>
      <c r="F24" s="884"/>
      <c r="G24" s="885"/>
      <c r="H24" s="877"/>
      <c r="I24" s="877"/>
    </row>
    <row r="25" spans="1:9" s="886" customFormat="1" ht="19.5" customHeight="1">
      <c r="A25" s="3305"/>
      <c r="B25" s="3305"/>
      <c r="C25" s="882" t="s">
        <v>574</v>
      </c>
      <c r="D25" s="883"/>
      <c r="E25" s="881">
        <v>1.1000000000000001</v>
      </c>
      <c r="F25" s="884"/>
      <c r="G25" s="885"/>
      <c r="H25" s="877"/>
      <c r="I25" s="877"/>
    </row>
    <row r="26" spans="1:9" s="886" customFormat="1" ht="19.5" customHeight="1">
      <c r="A26" s="3305"/>
      <c r="B26" s="3305"/>
      <c r="C26" s="882" t="s">
        <v>575</v>
      </c>
      <c r="D26" s="883"/>
      <c r="E26" s="881">
        <v>1.1000000000000001</v>
      </c>
      <c r="F26" s="884"/>
      <c r="G26" s="885"/>
      <c r="H26" s="877"/>
      <c r="I26" s="877"/>
    </row>
    <row r="27" spans="1:9" s="886" customFormat="1" ht="19.5" customHeight="1">
      <c r="A27" s="3305"/>
      <c r="B27" s="3305"/>
      <c r="C27" s="882" t="s">
        <v>576</v>
      </c>
      <c r="D27" s="883"/>
      <c r="E27" s="881">
        <v>0.9</v>
      </c>
      <c r="F27" s="884" t="s">
        <v>577</v>
      </c>
      <c r="G27" s="885"/>
      <c r="H27" s="877"/>
      <c r="I27" s="877"/>
    </row>
    <row r="28" spans="1:9" s="886" customFormat="1" ht="19.5" customHeight="1">
      <c r="A28" s="3305"/>
      <c r="B28" s="3305"/>
      <c r="C28" s="882" t="s">
        <v>578</v>
      </c>
      <c r="D28" s="883"/>
      <c r="E28" s="881">
        <v>0.9</v>
      </c>
      <c r="F28" s="884" t="s">
        <v>579</v>
      </c>
      <c r="G28" s="885"/>
      <c r="H28" s="877"/>
      <c r="I28" s="877"/>
    </row>
    <row r="29" spans="1:9" s="886" customFormat="1" ht="19.5" customHeight="1">
      <c r="A29" s="3305"/>
      <c r="B29" s="3305"/>
      <c r="C29" s="882" t="s">
        <v>580</v>
      </c>
      <c r="D29" s="883"/>
      <c r="E29" s="881">
        <v>0.9</v>
      </c>
      <c r="F29" s="884" t="s">
        <v>581</v>
      </c>
      <c r="G29" s="885"/>
      <c r="H29" s="877"/>
      <c r="I29" s="877"/>
    </row>
    <row r="30" spans="1:9" s="886" customFormat="1" ht="19.5" customHeight="1">
      <c r="A30" s="3305"/>
      <c r="B30" s="3305"/>
      <c r="C30" s="882" t="s">
        <v>582</v>
      </c>
      <c r="D30" s="883"/>
      <c r="E30" s="881">
        <v>0.9</v>
      </c>
      <c r="F30" s="884" t="s">
        <v>583</v>
      </c>
      <c r="G30" s="885"/>
      <c r="H30" s="877"/>
      <c r="I30" s="877"/>
    </row>
    <row r="31" spans="1:9" s="886" customFormat="1" ht="19.5" customHeight="1">
      <c r="A31" s="3305"/>
      <c r="B31" s="3305"/>
      <c r="C31" s="882" t="s">
        <v>584</v>
      </c>
      <c r="D31" s="883"/>
      <c r="E31" s="881">
        <v>0.8</v>
      </c>
      <c r="F31" s="884" t="s">
        <v>585</v>
      </c>
      <c r="G31" s="885"/>
      <c r="H31" s="877"/>
      <c r="I31" s="877"/>
    </row>
    <row r="32" spans="1:9" s="886" customFormat="1" ht="19.5" customHeight="1">
      <c r="A32" s="3305"/>
      <c r="B32" s="3305"/>
      <c r="C32" s="882" t="s">
        <v>586</v>
      </c>
      <c r="D32" s="883"/>
      <c r="E32" s="881">
        <v>0.8</v>
      </c>
      <c r="F32" s="884" t="s">
        <v>587</v>
      </c>
      <c r="G32" s="885"/>
      <c r="H32" s="877"/>
      <c r="I32" s="877"/>
    </row>
    <row r="33" spans="1:9" s="886" customFormat="1" ht="19.5" customHeight="1">
      <c r="A33" s="3305" t="s">
        <v>185</v>
      </c>
      <c r="B33" s="881" t="s">
        <v>560</v>
      </c>
      <c r="C33" s="882" t="s">
        <v>588</v>
      </c>
      <c r="D33" s="883"/>
      <c r="E33" s="881">
        <v>1</v>
      </c>
      <c r="F33" s="884" t="s">
        <v>589</v>
      </c>
      <c r="G33" s="885"/>
      <c r="H33" s="877"/>
      <c r="I33" s="877"/>
    </row>
    <row r="34" spans="1:9" s="886" customFormat="1" ht="19.5" customHeight="1">
      <c r="A34" s="3305"/>
      <c r="B34" s="881" t="s">
        <v>563</v>
      </c>
      <c r="C34" s="882" t="s">
        <v>590</v>
      </c>
      <c r="D34" s="883"/>
      <c r="E34" s="881">
        <v>1.5</v>
      </c>
      <c r="F34" s="884" t="s">
        <v>591</v>
      </c>
      <c r="G34" s="885"/>
      <c r="H34" s="877"/>
      <c r="I34" s="877"/>
    </row>
    <row r="35" spans="1:9" s="886" customFormat="1" ht="19.5" customHeight="1">
      <c r="A35" s="3305" t="s">
        <v>186</v>
      </c>
      <c r="B35" s="881" t="s">
        <v>560</v>
      </c>
      <c r="C35" s="882" t="s">
        <v>592</v>
      </c>
      <c r="D35" s="883"/>
      <c r="E35" s="881">
        <v>1</v>
      </c>
      <c r="F35" s="884" t="s">
        <v>593</v>
      </c>
      <c r="G35" s="885"/>
      <c r="H35" s="877"/>
      <c r="I35" s="877"/>
    </row>
    <row r="36" spans="1:9" s="886" customFormat="1" ht="19.5" customHeight="1">
      <c r="A36" s="3305"/>
      <c r="B36" s="3305" t="s">
        <v>563</v>
      </c>
      <c r="C36" s="882" t="s">
        <v>594</v>
      </c>
      <c r="D36" s="883"/>
      <c r="E36" s="881">
        <v>1</v>
      </c>
      <c r="F36" s="884" t="s">
        <v>595</v>
      </c>
      <c r="G36" s="885"/>
      <c r="H36" s="877"/>
      <c r="I36" s="877"/>
    </row>
    <row r="37" spans="1:9" s="886" customFormat="1" ht="19.5" customHeight="1">
      <c r="A37" s="3305"/>
      <c r="B37" s="3305"/>
      <c r="C37" s="882" t="s">
        <v>596</v>
      </c>
      <c r="D37" s="883"/>
      <c r="E37" s="881">
        <v>1.5</v>
      </c>
      <c r="F37" s="884" t="s">
        <v>597</v>
      </c>
      <c r="G37" s="885"/>
      <c r="H37" s="877"/>
      <c r="I37" s="877"/>
    </row>
    <row r="38" spans="1:9" s="886" customFormat="1" ht="19.5" customHeight="1">
      <c r="A38" s="3305"/>
      <c r="B38" s="3305"/>
      <c r="C38" s="882" t="s">
        <v>598</v>
      </c>
      <c r="D38" s="883"/>
      <c r="E38" s="881">
        <v>1</v>
      </c>
      <c r="F38" s="884" t="s">
        <v>599</v>
      </c>
      <c r="G38" s="885"/>
      <c r="H38" s="877"/>
      <c r="I38" s="877"/>
    </row>
    <row r="39" spans="1:9" s="886" customFormat="1" ht="19.5" customHeight="1">
      <c r="A39" s="3305"/>
      <c r="B39" s="3305"/>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305" t="s">
        <v>614</v>
      </c>
      <c r="C61" s="817" t="s">
        <v>615</v>
      </c>
      <c r="D61" s="817" t="s">
        <v>616</v>
      </c>
      <c r="E61" s="894">
        <v>0.5</v>
      </c>
      <c r="F61" s="881">
        <v>80</v>
      </c>
    </row>
    <row r="62" spans="1:8" s="877" customFormat="1" ht="24">
      <c r="A62" s="881">
        <v>2</v>
      </c>
      <c r="B62" s="3305"/>
      <c r="C62" s="817" t="s">
        <v>617</v>
      </c>
      <c r="D62" s="817" t="s">
        <v>618</v>
      </c>
      <c r="E62" s="894">
        <v>0.5</v>
      </c>
      <c r="F62" s="881">
        <v>80</v>
      </c>
    </row>
    <row r="63" spans="1:8" s="877" customFormat="1" ht="36">
      <c r="A63" s="881">
        <v>3</v>
      </c>
      <c r="B63" s="3305"/>
      <c r="C63" s="817" t="s">
        <v>619</v>
      </c>
      <c r="D63" s="817" t="s">
        <v>620</v>
      </c>
      <c r="E63" s="894">
        <v>0.5</v>
      </c>
      <c r="F63" s="881">
        <v>80</v>
      </c>
    </row>
    <row r="64" spans="1:8" s="877" customFormat="1" ht="36">
      <c r="A64" s="881">
        <v>4</v>
      </c>
      <c r="B64" s="3305"/>
      <c r="C64" s="817" t="s">
        <v>621</v>
      </c>
      <c r="D64" s="817" t="s">
        <v>622</v>
      </c>
      <c r="E64" s="894">
        <v>0.4</v>
      </c>
      <c r="F64" s="881">
        <v>60</v>
      </c>
    </row>
    <row r="65" spans="1:6" s="877" customFormat="1" ht="36">
      <c r="A65" s="881">
        <v>5</v>
      </c>
      <c r="B65" s="3305"/>
      <c r="C65" s="817" t="s">
        <v>623</v>
      </c>
      <c r="D65" s="817" t="s">
        <v>624</v>
      </c>
      <c r="E65" s="894">
        <v>0.2</v>
      </c>
      <c r="F65" s="881">
        <v>30</v>
      </c>
    </row>
    <row r="66" spans="1:6" s="877" customFormat="1" ht="36">
      <c r="A66" s="881">
        <v>6</v>
      </c>
      <c r="B66" s="3305"/>
      <c r="C66" s="817" t="s">
        <v>625</v>
      </c>
      <c r="D66" s="817" t="s">
        <v>626</v>
      </c>
      <c r="E66" s="894">
        <v>0.3</v>
      </c>
      <c r="F66" s="881">
        <v>50</v>
      </c>
    </row>
    <row r="67" spans="1:6" s="877" customFormat="1" ht="36">
      <c r="A67" s="881">
        <v>7</v>
      </c>
      <c r="B67" s="3305"/>
      <c r="C67" s="817" t="s">
        <v>627</v>
      </c>
      <c r="D67" s="817" t="s">
        <v>628</v>
      </c>
      <c r="E67" s="894">
        <v>0.2</v>
      </c>
      <c r="F67" s="881">
        <v>30</v>
      </c>
    </row>
    <row r="68" spans="1:6" s="877" customFormat="1" ht="36">
      <c r="A68" s="881">
        <v>8</v>
      </c>
      <c r="B68" s="3305"/>
      <c r="C68" s="817" t="s">
        <v>629</v>
      </c>
      <c r="D68" s="817" t="s">
        <v>630</v>
      </c>
      <c r="E68" s="894">
        <v>0.2</v>
      </c>
      <c r="F68" s="881">
        <v>30</v>
      </c>
    </row>
    <row r="69" spans="1:6" s="877" customFormat="1" ht="36">
      <c r="A69" s="881">
        <v>9</v>
      </c>
      <c r="B69" s="3305"/>
      <c r="C69" s="817" t="s">
        <v>631</v>
      </c>
      <c r="D69" s="817" t="s">
        <v>632</v>
      </c>
      <c r="E69" s="894">
        <v>0.2</v>
      </c>
      <c r="F69" s="881">
        <v>30</v>
      </c>
    </row>
    <row r="70" spans="1:6" s="877" customFormat="1" ht="48">
      <c r="A70" s="881">
        <v>10</v>
      </c>
      <c r="B70" s="3305"/>
      <c r="C70" s="817" t="s">
        <v>633</v>
      </c>
      <c r="D70" s="817" t="s">
        <v>634</v>
      </c>
      <c r="E70" s="894">
        <v>0.2</v>
      </c>
      <c r="F70" s="881">
        <v>30</v>
      </c>
    </row>
    <row r="71" spans="1:6" s="877" customFormat="1" ht="48">
      <c r="A71" s="881">
        <v>11</v>
      </c>
      <c r="B71" s="3305"/>
      <c r="C71" s="817" t="s">
        <v>635</v>
      </c>
      <c r="D71" s="817" t="s">
        <v>636</v>
      </c>
      <c r="E71" s="894">
        <v>0.2</v>
      </c>
      <c r="F71" s="881">
        <v>30</v>
      </c>
    </row>
    <row r="72" spans="1:6" s="877" customFormat="1" ht="36">
      <c r="A72" s="881">
        <v>12</v>
      </c>
      <c r="B72" s="3305"/>
      <c r="C72" s="817" t="s">
        <v>637</v>
      </c>
      <c r="D72" s="817" t="s">
        <v>638</v>
      </c>
      <c r="E72" s="894">
        <v>0.5</v>
      </c>
      <c r="F72" s="881">
        <v>80</v>
      </c>
    </row>
    <row r="73" spans="1:6" s="877" customFormat="1" ht="24">
      <c r="A73" s="881">
        <v>13</v>
      </c>
      <c r="B73" s="3305"/>
      <c r="C73" s="817" t="s">
        <v>639</v>
      </c>
      <c r="D73" s="817" t="s">
        <v>640</v>
      </c>
      <c r="E73" s="894">
        <v>0.4</v>
      </c>
      <c r="F73" s="881">
        <v>60</v>
      </c>
    </row>
    <row r="74" spans="1:6" s="877" customFormat="1" ht="24">
      <c r="A74" s="881">
        <v>14</v>
      </c>
      <c r="B74" s="3305"/>
      <c r="C74" s="817" t="s">
        <v>641</v>
      </c>
      <c r="D74" s="817" t="s">
        <v>642</v>
      </c>
      <c r="E74" s="894">
        <v>0.2</v>
      </c>
      <c r="F74" s="881">
        <v>30</v>
      </c>
    </row>
    <row r="75" spans="1:6" s="877" customFormat="1" ht="24">
      <c r="A75" s="881">
        <v>15</v>
      </c>
      <c r="B75" s="3305"/>
      <c r="C75" s="817" t="s">
        <v>643</v>
      </c>
      <c r="D75" s="817" t="s">
        <v>644</v>
      </c>
      <c r="E75" s="894">
        <v>0.2</v>
      </c>
      <c r="F75" s="881">
        <v>30</v>
      </c>
    </row>
    <row r="76" spans="1:6" s="877" customFormat="1" ht="24">
      <c r="A76" s="881">
        <v>16</v>
      </c>
      <c r="B76" s="3305" t="s">
        <v>645</v>
      </c>
      <c r="C76" s="817" t="s">
        <v>646</v>
      </c>
      <c r="D76" s="817" t="s">
        <v>647</v>
      </c>
      <c r="E76" s="894">
        <v>0.5</v>
      </c>
      <c r="F76" s="881">
        <v>80</v>
      </c>
    </row>
    <row r="77" spans="1:6" s="877" customFormat="1" ht="24">
      <c r="A77" s="881">
        <v>17</v>
      </c>
      <c r="B77" s="3305"/>
      <c r="C77" s="817" t="s">
        <v>648</v>
      </c>
      <c r="D77" s="817" t="s">
        <v>649</v>
      </c>
      <c r="E77" s="894">
        <v>0.5</v>
      </c>
      <c r="F77" s="881">
        <v>80</v>
      </c>
    </row>
    <row r="78" spans="1:6" s="877" customFormat="1" ht="24">
      <c r="A78" s="881">
        <v>18</v>
      </c>
      <c r="B78" s="3305"/>
      <c r="C78" s="817" t="s">
        <v>650</v>
      </c>
      <c r="D78" s="817" t="s">
        <v>651</v>
      </c>
      <c r="E78" s="894">
        <v>0.2</v>
      </c>
      <c r="F78" s="881">
        <v>30</v>
      </c>
    </row>
    <row r="79" spans="1:6" s="877" customFormat="1" ht="24">
      <c r="A79" s="881">
        <v>19</v>
      </c>
      <c r="B79" s="3305"/>
      <c r="C79" s="817" t="s">
        <v>652</v>
      </c>
      <c r="D79" s="817" t="s">
        <v>653</v>
      </c>
      <c r="E79" s="894">
        <v>0.5</v>
      </c>
      <c r="F79" s="881">
        <v>80</v>
      </c>
    </row>
    <row r="80" spans="1:6" s="877" customFormat="1" ht="36">
      <c r="A80" s="881">
        <v>20</v>
      </c>
      <c r="B80" s="3305"/>
      <c r="C80" s="817" t="s">
        <v>654</v>
      </c>
      <c r="D80" s="817" t="s">
        <v>655</v>
      </c>
      <c r="E80" s="894">
        <v>0.2</v>
      </c>
      <c r="F80" s="881">
        <v>30</v>
      </c>
    </row>
    <row r="81" spans="1:6" s="877" customFormat="1" ht="36">
      <c r="A81" s="881">
        <v>21</v>
      </c>
      <c r="B81" s="3305"/>
      <c r="C81" s="817" t="s">
        <v>656</v>
      </c>
      <c r="D81" s="817" t="s">
        <v>657</v>
      </c>
      <c r="E81" s="894">
        <v>0.2</v>
      </c>
      <c r="F81" s="881">
        <v>30</v>
      </c>
    </row>
    <row r="82" spans="1:6" s="877" customFormat="1" ht="48">
      <c r="A82" s="881">
        <v>22</v>
      </c>
      <c r="B82" s="3305"/>
      <c r="C82" s="817" t="s">
        <v>658</v>
      </c>
      <c r="D82" s="817" t="s">
        <v>659</v>
      </c>
      <c r="E82" s="894">
        <v>0.2</v>
      </c>
      <c r="F82" s="881">
        <v>30</v>
      </c>
    </row>
    <row r="83" spans="1:6" s="877" customFormat="1" ht="48">
      <c r="A83" s="881">
        <v>23</v>
      </c>
      <c r="B83" s="3305"/>
      <c r="C83" s="817" t="s">
        <v>660</v>
      </c>
      <c r="D83" s="817" t="s">
        <v>661</v>
      </c>
      <c r="E83" s="894">
        <v>0.2</v>
      </c>
      <c r="F83" s="881">
        <v>30</v>
      </c>
    </row>
    <row r="84" spans="1:6" s="877" customFormat="1" ht="36">
      <c r="A84" s="881">
        <v>24</v>
      </c>
      <c r="B84" s="3305"/>
      <c r="C84" s="817" t="s">
        <v>662</v>
      </c>
      <c r="D84" s="817" t="s">
        <v>663</v>
      </c>
      <c r="E84" s="894">
        <v>0.2</v>
      </c>
      <c r="F84" s="881">
        <v>30</v>
      </c>
    </row>
    <row r="85" spans="1:6" s="877" customFormat="1" ht="36">
      <c r="A85" s="881">
        <v>25</v>
      </c>
      <c r="B85" s="3305"/>
      <c r="C85" s="817" t="s">
        <v>664</v>
      </c>
      <c r="D85" s="817" t="s">
        <v>665</v>
      </c>
      <c r="E85" s="894">
        <v>0.5</v>
      </c>
      <c r="F85" s="881">
        <v>80</v>
      </c>
    </row>
    <row r="86" spans="1:6" s="877" customFormat="1" ht="36">
      <c r="A86" s="881">
        <v>26</v>
      </c>
      <c r="B86" s="3305"/>
      <c r="C86" s="817" t="s">
        <v>666</v>
      </c>
      <c r="D86" s="817" t="s">
        <v>667</v>
      </c>
      <c r="E86" s="894">
        <v>0.2</v>
      </c>
      <c r="F86" s="881">
        <v>30</v>
      </c>
    </row>
    <row r="87" spans="1:6" s="877" customFormat="1" ht="36">
      <c r="A87" s="881">
        <v>27</v>
      </c>
      <c r="B87" s="3305"/>
      <c r="C87" s="817" t="s">
        <v>668</v>
      </c>
      <c r="D87" s="817" t="s">
        <v>669</v>
      </c>
      <c r="E87" s="894">
        <v>0.2</v>
      </c>
      <c r="F87" s="881">
        <v>30</v>
      </c>
    </row>
    <row r="88" spans="1:6" s="877" customFormat="1" ht="36">
      <c r="A88" s="881">
        <v>28</v>
      </c>
      <c r="B88" s="3305"/>
      <c r="C88" s="817" t="s">
        <v>670</v>
      </c>
      <c r="D88" s="817" t="s">
        <v>671</v>
      </c>
      <c r="E88" s="894">
        <v>0.2</v>
      </c>
      <c r="F88" s="881">
        <v>30</v>
      </c>
    </row>
    <row r="89" spans="1:6" s="877" customFormat="1" ht="24">
      <c r="A89" s="881">
        <v>29</v>
      </c>
      <c r="B89" s="3305"/>
      <c r="C89" s="817" t="s">
        <v>672</v>
      </c>
      <c r="D89" s="817" t="s">
        <v>673</v>
      </c>
      <c r="E89" s="894">
        <v>0.2</v>
      </c>
      <c r="F89" s="881">
        <v>30</v>
      </c>
    </row>
    <row r="90" spans="1:6" s="877" customFormat="1" ht="24">
      <c r="A90" s="881">
        <v>30</v>
      </c>
      <c r="B90" s="3305"/>
      <c r="C90" s="817" t="s">
        <v>674</v>
      </c>
      <c r="D90" s="817" t="s">
        <v>675</v>
      </c>
      <c r="E90" s="894">
        <v>0.2</v>
      </c>
      <c r="F90" s="881">
        <v>30</v>
      </c>
    </row>
    <row r="91" spans="1:6" s="877" customFormat="1" ht="36">
      <c r="A91" s="881">
        <v>31</v>
      </c>
      <c r="B91" s="3305"/>
      <c r="C91" s="817" t="s">
        <v>676</v>
      </c>
      <c r="D91" s="817" t="s">
        <v>677</v>
      </c>
      <c r="E91" s="894">
        <v>0.2</v>
      </c>
      <c r="F91" s="881">
        <v>30</v>
      </c>
    </row>
    <row r="92" spans="1:6" s="877" customFormat="1" ht="24">
      <c r="A92" s="881">
        <v>32</v>
      </c>
      <c r="B92" s="3305" t="s">
        <v>678</v>
      </c>
      <c r="C92" s="881" t="s">
        <v>679</v>
      </c>
      <c r="D92" s="817" t="s">
        <v>680</v>
      </c>
      <c r="E92" s="894">
        <v>0.2</v>
      </c>
      <c r="F92" s="881">
        <v>30</v>
      </c>
    </row>
    <row r="93" spans="1:6" s="877" customFormat="1" ht="36">
      <c r="A93" s="881">
        <v>33</v>
      </c>
      <c r="B93" s="3305"/>
      <c r="C93" s="881" t="s">
        <v>681</v>
      </c>
      <c r="D93" s="817" t="s">
        <v>682</v>
      </c>
      <c r="E93" s="894">
        <v>0.2</v>
      </c>
      <c r="F93" s="881">
        <v>30</v>
      </c>
    </row>
    <row r="94" spans="1:6" s="877" customFormat="1" ht="48">
      <c r="A94" s="881">
        <v>34</v>
      </c>
      <c r="B94" s="3305"/>
      <c r="C94" s="881" t="s">
        <v>683</v>
      </c>
      <c r="D94" s="817" t="s">
        <v>684</v>
      </c>
      <c r="E94" s="894">
        <v>0.2</v>
      </c>
      <c r="F94" s="881">
        <v>30</v>
      </c>
    </row>
    <row r="95" spans="1:6" s="877" customFormat="1" ht="36">
      <c r="A95" s="881">
        <v>35</v>
      </c>
      <c r="B95" s="3305"/>
      <c r="C95" s="881" t="s">
        <v>685</v>
      </c>
      <c r="D95" s="817" t="s">
        <v>686</v>
      </c>
      <c r="E95" s="894">
        <v>0.2</v>
      </c>
      <c r="F95" s="881">
        <v>30</v>
      </c>
    </row>
    <row r="96" spans="1:6" s="877" customFormat="1" ht="48">
      <c r="A96" s="881">
        <v>36</v>
      </c>
      <c r="B96" s="3305"/>
      <c r="C96" s="817" t="s">
        <v>687</v>
      </c>
      <c r="D96" s="817" t="s">
        <v>688</v>
      </c>
      <c r="E96" s="894">
        <v>0.2</v>
      </c>
      <c r="F96" s="881">
        <v>30</v>
      </c>
    </row>
    <row r="97" spans="1:6" s="877" customFormat="1" ht="36">
      <c r="A97" s="881">
        <v>37</v>
      </c>
      <c r="B97" s="3305"/>
      <c r="C97" s="881" t="s">
        <v>689</v>
      </c>
      <c r="D97" s="817" t="s">
        <v>690</v>
      </c>
      <c r="E97" s="894">
        <v>0.2</v>
      </c>
      <c r="F97" s="881">
        <v>30</v>
      </c>
    </row>
    <row r="98" spans="1:6" s="877" customFormat="1" ht="36">
      <c r="A98" s="881">
        <v>38</v>
      </c>
      <c r="B98" s="3305"/>
      <c r="C98" s="881" t="s">
        <v>691</v>
      </c>
      <c r="D98" s="817" t="s">
        <v>692</v>
      </c>
      <c r="E98" s="894">
        <v>0.2</v>
      </c>
      <c r="F98" s="881">
        <v>30</v>
      </c>
    </row>
    <row r="99" spans="1:6" s="877" customFormat="1" ht="36">
      <c r="A99" s="881">
        <v>39</v>
      </c>
      <c r="B99" s="3305" t="s">
        <v>693</v>
      </c>
      <c r="C99" s="881" t="s">
        <v>694</v>
      </c>
      <c r="D99" s="817" t="s">
        <v>695</v>
      </c>
      <c r="E99" s="894">
        <v>0.3</v>
      </c>
      <c r="F99" s="881">
        <v>50</v>
      </c>
    </row>
    <row r="100" spans="1:6" s="877" customFormat="1" ht="24">
      <c r="A100" s="881">
        <v>40</v>
      </c>
      <c r="B100" s="3305"/>
      <c r="C100" s="881" t="s">
        <v>696</v>
      </c>
      <c r="D100" s="817" t="s">
        <v>697</v>
      </c>
      <c r="E100" s="894">
        <v>0.2</v>
      </c>
      <c r="F100" s="881">
        <v>30</v>
      </c>
    </row>
    <row r="101" spans="1:6" s="877" customFormat="1" ht="36">
      <c r="A101" s="881">
        <v>41</v>
      </c>
      <c r="B101" s="3305"/>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05" t="s">
        <v>708</v>
      </c>
      <c r="C105" s="881" t="s">
        <v>709</v>
      </c>
      <c r="D105" s="817" t="s">
        <v>710</v>
      </c>
      <c r="E105" s="894">
        <v>0.2</v>
      </c>
      <c r="F105" s="881">
        <v>30</v>
      </c>
    </row>
    <row r="106" spans="1:6" s="877" customFormat="1" ht="36">
      <c r="A106" s="881">
        <v>46</v>
      </c>
      <c r="B106" s="3305"/>
      <c r="C106" s="881" t="s">
        <v>711</v>
      </c>
      <c r="D106" s="817" t="s">
        <v>712</v>
      </c>
      <c r="E106" s="894">
        <v>0.2</v>
      </c>
      <c r="F106" s="881">
        <v>30</v>
      </c>
    </row>
    <row r="107" spans="1:6" s="877" customFormat="1" ht="36">
      <c r="A107" s="881">
        <v>47</v>
      </c>
      <c r="B107" s="3305" t="s">
        <v>713</v>
      </c>
      <c r="C107" s="881" t="s">
        <v>714</v>
      </c>
      <c r="D107" s="817" t="s">
        <v>715</v>
      </c>
      <c r="E107" s="894">
        <v>0.3</v>
      </c>
      <c r="F107" s="881">
        <v>50</v>
      </c>
    </row>
    <row r="108" spans="1:6" s="877" customFormat="1" ht="36">
      <c r="A108" s="881">
        <v>48</v>
      </c>
      <c r="B108" s="3305"/>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05" t="s">
        <v>724</v>
      </c>
      <c r="C111" s="881" t="s">
        <v>725</v>
      </c>
      <c r="D111" s="817" t="s">
        <v>726</v>
      </c>
      <c r="E111" s="894">
        <v>0.2</v>
      </c>
      <c r="F111" s="881">
        <v>30</v>
      </c>
    </row>
    <row r="112" spans="1:6" s="877" customFormat="1" ht="24">
      <c r="A112" s="881">
        <v>52</v>
      </c>
      <c r="B112" s="3305"/>
      <c r="C112" s="881" t="s">
        <v>727</v>
      </c>
      <c r="D112" s="817" t="s">
        <v>728</v>
      </c>
      <c r="E112" s="894">
        <v>0.2</v>
      </c>
      <c r="F112" s="881">
        <v>30</v>
      </c>
    </row>
    <row r="113" spans="1:6" s="877" customFormat="1" ht="24">
      <c r="A113" s="881">
        <v>53</v>
      </c>
      <c r="B113" s="3305"/>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05" t="s">
        <v>737</v>
      </c>
      <c r="C116" s="881" t="s">
        <v>738</v>
      </c>
      <c r="D116" s="817" t="s">
        <v>739</v>
      </c>
      <c r="E116" s="894">
        <v>0.2</v>
      </c>
      <c r="F116" s="881">
        <v>30</v>
      </c>
    </row>
    <row r="117" spans="1:6" ht="36">
      <c r="A117" s="881">
        <v>57</v>
      </c>
      <c r="B117" s="3305"/>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80"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13" sqref="G1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3" t="s">
        <v>2999</v>
      </c>
    </row>
    <row r="2" spans="1:5" ht="15.75">
      <c r="A2" s="2912" t="s">
        <v>2991</v>
      </c>
      <c r="B2" s="2913" t="e">
        <f ca="1">SUMIF(B6:B13,"&lt;&gt;#ref!",B6:B13)</f>
        <v>#DIV/0!</v>
      </c>
      <c r="C2" s="2912" t="s">
        <v>2992</v>
      </c>
      <c r="D2" s="2912" t="s">
        <v>2993</v>
      </c>
      <c r="E2" s="2913">
        <f ca="1">SUMIF(E6:E13,"&lt;&gt;#ref!",E6:E13)</f>
        <v>0</v>
      </c>
    </row>
    <row r="3" spans="1:5" ht="15.75">
      <c r="A3" s="2912" t="s">
        <v>2994</v>
      </c>
      <c r="B3" s="2913" t="e">
        <f ca="1">ROUND(B2*10000/E2,0)</f>
        <v>#DIV/0!</v>
      </c>
      <c r="C3" s="2912" t="s">
        <v>3000</v>
      </c>
      <c r="D3" s="2914"/>
      <c r="E3" s="2914"/>
    </row>
    <row r="4" spans="1:5" ht="15.75">
      <c r="A4" s="2915"/>
      <c r="B4" s="2914"/>
      <c r="C4" s="2914"/>
      <c r="D4" s="2914"/>
      <c r="E4" s="2914"/>
    </row>
    <row r="5" spans="1:5" ht="28.5">
      <c r="A5" s="2916" t="s">
        <v>2995</v>
      </c>
      <c r="B5" s="2912" t="s">
        <v>2996</v>
      </c>
      <c r="C5" s="2913"/>
      <c r="D5" s="2914"/>
      <c r="E5" s="2912" t="s">
        <v>2997</v>
      </c>
    </row>
    <row r="6" spans="1:5" ht="15.75">
      <c r="A6" s="2917" t="s">
        <v>2998</v>
      </c>
      <c r="B6" s="2913" t="e">
        <f ca="1">SUMIF(INDIRECT("'"&amp;A6&amp;"'"&amp;"!A:A"),"总价",INDIRECT("'"&amp;A6&amp;"'"&amp;"!B:B"))</f>
        <v>#DIV/0!</v>
      </c>
      <c r="C6" s="2912" t="s">
        <v>2992</v>
      </c>
      <c r="D6" s="2914"/>
      <c r="E6" s="2577">
        <f ca="1">SUMIF(INDIRECT("'"&amp;A6&amp;"'"&amp;"!C:C"),"建筑面积",INDIRECT("'"&amp;A6&amp;"'"&amp;"!D:D"))</f>
        <v>0</v>
      </c>
    </row>
    <row r="7" spans="1:5" ht="15.75">
      <c r="A7" s="2917"/>
      <c r="B7" s="2913" t="e">
        <f ca="1">SUMIF(INDIRECT("'"&amp;A7&amp;"'"&amp;"!A:A"),"总价",INDIRECT("'"&amp;A7&amp;"'"&amp;"!B:B"))</f>
        <v>#REF!</v>
      </c>
      <c r="C7" s="2912" t="s">
        <v>2992</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2992</v>
      </c>
      <c r="D8" s="2914"/>
      <c r="E8" s="2577" t="e">
        <f t="shared" ca="1" si="0"/>
        <v>#REF!</v>
      </c>
    </row>
    <row r="9" spans="1:5" ht="15.75">
      <c r="A9" s="2917"/>
      <c r="B9" s="2913" t="e">
        <f t="shared" ca="1" si="1"/>
        <v>#REF!</v>
      </c>
      <c r="C9" s="2912" t="s">
        <v>2992</v>
      </c>
      <c r="D9" s="2914"/>
      <c r="E9" s="2577" t="e">
        <f t="shared" ca="1" si="0"/>
        <v>#REF!</v>
      </c>
    </row>
    <row r="10" spans="1:5" ht="15.75">
      <c r="A10" s="2917"/>
      <c r="B10" s="2913" t="e">
        <f t="shared" ca="1" si="1"/>
        <v>#REF!</v>
      </c>
      <c r="C10" s="2912" t="s">
        <v>2992</v>
      </c>
      <c r="D10" s="2914"/>
      <c r="E10" s="2577" t="e">
        <f t="shared" ca="1" si="0"/>
        <v>#REF!</v>
      </c>
    </row>
    <row r="11" spans="1:5" ht="15.75">
      <c r="A11" s="2917"/>
      <c r="B11" s="2913" t="e">
        <f t="shared" ca="1" si="1"/>
        <v>#REF!</v>
      </c>
      <c r="C11" s="2912" t="s">
        <v>2992</v>
      </c>
      <c r="D11" s="2914"/>
      <c r="E11" s="2577" t="e">
        <f t="shared" ca="1" si="0"/>
        <v>#REF!</v>
      </c>
    </row>
    <row r="12" spans="1:5" ht="15.75">
      <c r="A12" s="2917"/>
      <c r="B12" s="2913" t="e">
        <f t="shared" ca="1" si="1"/>
        <v>#REF!</v>
      </c>
      <c r="C12" s="2912" t="s">
        <v>2992</v>
      </c>
      <c r="D12" s="2914"/>
      <c r="E12" s="2577" t="e">
        <f t="shared" ca="1" si="0"/>
        <v>#REF!</v>
      </c>
    </row>
    <row r="13" spans="1:5" ht="15.75">
      <c r="A13" s="2917"/>
      <c r="B13" s="2913" t="e">
        <f t="shared" ca="1" si="1"/>
        <v>#REF!</v>
      </c>
      <c r="C13" s="2912" t="s">
        <v>2992</v>
      </c>
      <c r="D13" s="2914"/>
      <c r="E13" s="2577"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G13" sqref="G13"/>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311" t="s">
        <v>1150</v>
      </c>
      <c r="C1" s="3311"/>
      <c r="D1" s="3311"/>
      <c r="E1" s="3311"/>
      <c r="F1" s="3311"/>
      <c r="G1" s="3307" t="s">
        <v>1151</v>
      </c>
      <c r="H1" s="3307"/>
      <c r="I1" s="3307"/>
      <c r="J1" s="3307"/>
      <c r="K1" s="3307"/>
      <c r="L1" s="3307"/>
      <c r="N1" s="3307" t="s">
        <v>1152</v>
      </c>
      <c r="O1" s="3307"/>
      <c r="P1" s="3307"/>
      <c r="Q1" s="3307"/>
      <c r="R1" s="1448"/>
      <c r="S1" s="3307" t="s">
        <v>1153</v>
      </c>
      <c r="T1" s="3307"/>
      <c r="U1" s="3307"/>
      <c r="V1" s="3307"/>
      <c r="X1" s="3306" t="s">
        <v>1154</v>
      </c>
      <c r="Y1" s="3307"/>
      <c r="Z1" s="3307"/>
      <c r="AA1" s="3307"/>
      <c r="AB1" s="3307"/>
      <c r="AD1" s="3306" t="s">
        <v>1155</v>
      </c>
      <c r="AE1" s="3307"/>
      <c r="AF1" s="3307"/>
      <c r="AG1" s="3307"/>
      <c r="AH1" s="3307"/>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31" customFormat="1" ht="14.25">
      <c r="A3" s="2940" t="s">
        <v>3031</v>
      </c>
      <c r="B3" s="2932"/>
      <c r="C3" s="2932"/>
      <c r="D3" s="2933"/>
      <c r="E3" s="2933"/>
      <c r="F3" s="2932"/>
      <c r="G3" s="2934"/>
      <c r="H3" s="2935"/>
      <c r="I3" s="2936">
        <f>ROUND(AVERAGE($I8:$I23),2)</f>
        <v>2.4500000000000002</v>
      </c>
      <c r="J3" s="2936">
        <f>ROUND(AVERAGE($J8:$J23),2)</f>
        <v>1.65</v>
      </c>
      <c r="K3" s="2936">
        <f>ROUND(AVERAGE($K8:$K23),2)</f>
        <v>2.71</v>
      </c>
      <c r="L3" s="2936">
        <f>ROUND(AVERAGE($L8:$L23),2)</f>
        <v>1.39</v>
      </c>
      <c r="N3" s="2934"/>
      <c r="O3" s="2937"/>
      <c r="P3" s="2937"/>
      <c r="Q3" s="2937"/>
      <c r="R3" s="2937"/>
      <c r="S3" s="2934"/>
      <c r="T3" s="2937"/>
      <c r="U3" s="2937"/>
      <c r="V3" s="2937"/>
      <c r="W3" s="2929"/>
      <c r="X3" s="2938">
        <f>ROUND(SUMPRODUCT(PRODUCT(1+N3:N$22)),4)</f>
        <v>1.4733000000000001</v>
      </c>
      <c r="Y3" s="2938">
        <f>ROUND(SUMPRODUCT(PRODUCT(1+O3:O$22)),4)</f>
        <v>1.3052999999999999</v>
      </c>
      <c r="Z3" s="2938">
        <f t="shared" ref="Z3:Z20" si="0">Y3</f>
        <v>1.3052999999999999</v>
      </c>
      <c r="AA3" s="2938">
        <f>ROUND(SUMPRODUCT(PRODUCT(1+P3:P$22)),4)</f>
        <v>1.5306999999999999</v>
      </c>
      <c r="AB3" s="2938">
        <f>ROUND(SUMPRODUCT(PRODUCT(1+Q3:Q$22)),4)</f>
        <v>1.2863</v>
      </c>
      <c r="AD3" s="2939">
        <f>ROUND(AVERAGE(I3:I$23)/100,4)</f>
        <v>2.24E-2</v>
      </c>
      <c r="AE3" s="2939">
        <f>ROUND(AVERAGE(J3:J$23)/100,4)</f>
        <v>1.54E-2</v>
      </c>
      <c r="AF3" s="2939">
        <f t="shared" ref="AF3:AF21" si="1">AE3</f>
        <v>1.54E-2</v>
      </c>
      <c r="AG3" s="2939">
        <f>ROUND(AVERAGE(K3:K$23)/100,4)</f>
        <v>2.47E-2</v>
      </c>
      <c r="AH3" s="2939">
        <f>ROUND(AVERAGE(L3:L$23)/100,4)</f>
        <v>1.41E-2</v>
      </c>
    </row>
    <row r="4" spans="1:34" s="1455" customFormat="1" ht="14.25">
      <c r="B4" s="1456"/>
      <c r="C4" s="1456"/>
      <c r="D4" s="1457"/>
      <c r="E4" s="1457"/>
      <c r="F4" s="1456"/>
      <c r="G4" s="1458"/>
      <c r="H4" s="1459"/>
      <c r="I4" s="2925"/>
      <c r="J4" s="2925"/>
      <c r="K4" s="2925"/>
      <c r="L4" s="2925"/>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3038</v>
      </c>
      <c r="B5" s="1793">
        <f t="shared" ref="B5" si="2">B6*(1+N5)</f>
        <v>453.11529869999993</v>
      </c>
      <c r="C5" s="1793">
        <f t="shared" ref="C5" si="3">C6*(1+O5)</f>
        <v>336.47787264000004</v>
      </c>
      <c r="D5" s="1793">
        <f t="shared" ref="D5" si="4">C5</f>
        <v>336.47787264000004</v>
      </c>
      <c r="E5" s="1793">
        <f t="shared" ref="E5" si="5">E6*(1+P5)</f>
        <v>647.35186823999993</v>
      </c>
      <c r="F5" s="1793">
        <f t="shared" ref="F5" si="6">F6*(1+Q5)</f>
        <v>295.73229452000004</v>
      </c>
      <c r="G5" s="2943">
        <v>2018</v>
      </c>
      <c r="H5" s="1732">
        <v>3</v>
      </c>
      <c r="I5" s="2926">
        <v>0</v>
      </c>
      <c r="J5" s="2926">
        <v>0</v>
      </c>
      <c r="K5" s="2926">
        <v>0</v>
      </c>
      <c r="L5" s="2926">
        <v>0</v>
      </c>
      <c r="N5" s="1469">
        <f>I5/100</f>
        <v>0</v>
      </c>
      <c r="O5" s="1469">
        <f t="shared" ref="O5" si="7">J5/100</f>
        <v>0</v>
      </c>
      <c r="P5" s="1469">
        <f t="shared" ref="P5" si="8">K5/100</f>
        <v>0</v>
      </c>
      <c r="Q5" s="1469">
        <f t="shared" ref="Q5" si="9">L5/100</f>
        <v>0</v>
      </c>
      <c r="R5" s="1734"/>
      <c r="S5" s="1735"/>
      <c r="T5" s="1734"/>
      <c r="U5" s="1734"/>
      <c r="V5" s="1734"/>
      <c r="W5" s="2930" t="s">
        <v>3032</v>
      </c>
      <c r="X5" s="1728">
        <f>ROUND(SUMPRODUCT(PRODUCT(1+N5:N$22)),4)</f>
        <v>1.4733000000000001</v>
      </c>
      <c r="Y5" s="1728">
        <f>ROUND(SUMPRODUCT(PRODUCT(1+O5:O$22)),4)</f>
        <v>1.3052999999999999</v>
      </c>
      <c r="Z5" s="1728">
        <f t="shared" ref="Z5" si="10">Y5</f>
        <v>1.3052999999999999</v>
      </c>
      <c r="AA5" s="1728">
        <f>ROUND(SUMPRODUCT(PRODUCT(1+P5:P$22)),4)</f>
        <v>1.5306999999999999</v>
      </c>
      <c r="AB5" s="1728">
        <f>ROUND(SUMPRODUCT(PRODUCT(1+Q5:Q$22)),4)</f>
        <v>1.2863</v>
      </c>
      <c r="AD5" s="1470">
        <f>ROUND(AVERAGE(I5:I$23)/100,4)</f>
        <v>2.23E-2</v>
      </c>
      <c r="AE5" s="1470">
        <f>ROUND(AVERAGE(J5:J$23)/100,4)</f>
        <v>1.54E-2</v>
      </c>
      <c r="AF5" s="1470">
        <f t="shared" ref="AF5" si="11">AE5</f>
        <v>1.54E-2</v>
      </c>
      <c r="AG5" s="1470">
        <f>ROUND(AVERAGE(K5:K$23)/100,4)</f>
        <v>2.4500000000000001E-2</v>
      </c>
      <c r="AH5" s="1470">
        <f>ROUND(AVERAGE(L5:L$23)/100,4)</f>
        <v>1.41E-2</v>
      </c>
    </row>
    <row r="6" spans="1:34" s="1468" customFormat="1" ht="13.5" thickBot="1">
      <c r="A6" s="1463" t="s">
        <v>3039</v>
      </c>
      <c r="B6" s="1479">
        <f t="shared" ref="B6" si="12">B7*(1+N6)</f>
        <v>453.11529869999993</v>
      </c>
      <c r="C6" s="1479">
        <f t="shared" ref="C6" si="13">C7*(1+O6)</f>
        <v>336.47787264000004</v>
      </c>
      <c r="D6" s="1479">
        <f t="shared" ref="D6" si="14">C6</f>
        <v>336.47787264000004</v>
      </c>
      <c r="E6" s="1479">
        <f t="shared" ref="E6" si="15">E7*(1+P6)</f>
        <v>647.35186823999993</v>
      </c>
      <c r="F6" s="1479">
        <f t="shared" ref="F6" si="16">F7*(1+Q6)</f>
        <v>295.73229452000004</v>
      </c>
      <c r="G6" s="2941"/>
      <c r="H6" s="1466">
        <v>2</v>
      </c>
      <c r="I6" s="1466">
        <v>1.49</v>
      </c>
      <c r="J6" s="1466">
        <v>0.96</v>
      </c>
      <c r="K6" s="1466">
        <v>1.58</v>
      </c>
      <c r="L6" s="1480">
        <v>2.44</v>
      </c>
      <c r="M6" s="1473"/>
      <c r="N6" s="1474">
        <f t="shared" ref="N6" si="17">I6/100</f>
        <v>1.49E-2</v>
      </c>
      <c r="O6" s="1475">
        <f t="shared" ref="O6" si="18">J6/100</f>
        <v>9.5999999999999992E-3</v>
      </c>
      <c r="P6" s="1475">
        <f t="shared" ref="P6" si="19">K6/100</f>
        <v>1.5800000000000002E-2</v>
      </c>
      <c r="Q6" s="1475">
        <f t="shared" ref="Q6" si="20">L6/100</f>
        <v>2.4399999999999998E-2</v>
      </c>
      <c r="R6" s="1476"/>
      <c r="S6" s="1474"/>
      <c r="T6" s="1475"/>
      <c r="U6" s="1475"/>
      <c r="V6" s="1475"/>
      <c r="W6" s="1792"/>
      <c r="X6" s="1790">
        <f>ROUND(SUMPRODUCT(PRODUCT(1+N6:N$22)),4)</f>
        <v>1.4733000000000001</v>
      </c>
      <c r="Y6" s="1790">
        <f>ROUND(SUMPRODUCT(PRODUCT(1+O6:O$22)),4)</f>
        <v>1.3052999999999999</v>
      </c>
      <c r="Z6" s="1790">
        <f t="shared" ref="Z6" si="21">Y6</f>
        <v>1.3052999999999999</v>
      </c>
      <c r="AA6" s="1790">
        <f>ROUND(SUMPRODUCT(PRODUCT(1+P6:P$22)),4)</f>
        <v>1.5306999999999999</v>
      </c>
      <c r="AB6" s="1790">
        <f>ROUND(SUMPRODUCT(PRODUCT(1+Q6:Q$22)),4)</f>
        <v>1.2863</v>
      </c>
      <c r="AC6" s="1792"/>
      <c r="AD6" s="1791">
        <f>ROUND(AVERAGE(I6:I$23)/100,4)</f>
        <v>2.35E-2</v>
      </c>
      <c r="AE6" s="1791">
        <f>ROUND(AVERAGE(J6:J$23)/100,4)</f>
        <v>1.6199999999999999E-2</v>
      </c>
      <c r="AF6" s="1791">
        <f t="shared" ref="AF6" si="22">AE6</f>
        <v>1.6199999999999999E-2</v>
      </c>
      <c r="AG6" s="1791">
        <f>ROUND(AVERAGE(K6:K$23)/100,4)</f>
        <v>2.5899999999999999E-2</v>
      </c>
      <c r="AH6" s="1791">
        <f>ROUND(AVERAGE(L6:L$23)/100,4)</f>
        <v>1.49E-2</v>
      </c>
    </row>
    <row r="7" spans="1:34" s="1468" customFormat="1" ht="13.5" thickBot="1">
      <c r="A7" s="1463" t="s">
        <v>3030</v>
      </c>
      <c r="B7" s="1479">
        <f t="shared" ref="B7" si="23">B8*(1+N7)</f>
        <v>446.46299999999997</v>
      </c>
      <c r="C7" s="1479">
        <f t="shared" ref="C7" si="24">C8*(1+O7)</f>
        <v>333.27840000000003</v>
      </c>
      <c r="D7" s="1479">
        <f t="shared" ref="D7" si="25">C7</f>
        <v>333.27840000000003</v>
      </c>
      <c r="E7" s="1479">
        <f t="shared" ref="E7" si="26">E8*(1+P7)</f>
        <v>637.28279999999995</v>
      </c>
      <c r="F7" s="1479">
        <f t="shared" ref="F7" si="27">F8*(1+Q7)</f>
        <v>288.68830000000003</v>
      </c>
      <c r="G7" s="2941"/>
      <c r="H7" s="1466">
        <v>1</v>
      </c>
      <c r="I7" s="1466">
        <v>1.7</v>
      </c>
      <c r="J7" s="1466">
        <v>1.92</v>
      </c>
      <c r="K7" s="1466">
        <v>1.64</v>
      </c>
      <c r="L7" s="1480">
        <v>2.0099999999999998</v>
      </c>
      <c r="M7" s="1473"/>
      <c r="N7" s="1474">
        <f t="shared" ref="N7:N12" si="28">I7/100</f>
        <v>1.7000000000000001E-2</v>
      </c>
      <c r="O7" s="1475">
        <f t="shared" ref="O7" si="29">J7/100</f>
        <v>1.9199999999999998E-2</v>
      </c>
      <c r="P7" s="1475">
        <f t="shared" ref="P7" si="30">K7/100</f>
        <v>1.6399999999999998E-2</v>
      </c>
      <c r="Q7" s="1475">
        <f t="shared" ref="Q7" si="31">L7/100</f>
        <v>2.0099999999999996E-2</v>
      </c>
      <c r="R7" s="1476"/>
      <c r="S7" s="1474">
        <f>B7/B8-1</f>
        <v>1.6999999999999904E-2</v>
      </c>
      <c r="T7" s="1475">
        <f t="shared" ref="T7" si="32">C7/C8-1</f>
        <v>1.9200000000000106E-2</v>
      </c>
      <c r="U7" s="1475">
        <f t="shared" ref="U7" si="33">D7/D8-1</f>
        <v>1.9200000000000106E-2</v>
      </c>
      <c r="V7" s="1475">
        <f t="shared" ref="V7" si="34">E7/E8-1</f>
        <v>1.639999999999997E-2</v>
      </c>
      <c r="W7" s="1792"/>
      <c r="X7" s="1790">
        <f>ROUND(SUMPRODUCT(PRODUCT(1+N7:N$22)),4)</f>
        <v>1.4517</v>
      </c>
      <c r="Y7" s="1790">
        <f>ROUND(SUMPRODUCT(PRODUCT(1+O7:O$22)),4)</f>
        <v>1.2928999999999999</v>
      </c>
      <c r="Z7" s="1790">
        <f t="shared" ref="Z7" si="35">Y7</f>
        <v>1.2928999999999999</v>
      </c>
      <c r="AA7" s="1790">
        <f>ROUND(SUMPRODUCT(PRODUCT(1+P7:P$22)),4)</f>
        <v>1.5068999999999999</v>
      </c>
      <c r="AB7" s="1790">
        <f>ROUND(SUMPRODUCT(PRODUCT(1+Q7:Q$22)),4)</f>
        <v>1.2557</v>
      </c>
      <c r="AC7" s="1792"/>
      <c r="AD7" s="1791">
        <f>ROUND(AVERAGE(I7:I$23)/100,4)</f>
        <v>2.4E-2</v>
      </c>
      <c r="AE7" s="1791">
        <f>ROUND(AVERAGE(J7:J$23)/100,4)</f>
        <v>1.66E-2</v>
      </c>
      <c r="AF7" s="1791">
        <f t="shared" ref="AF7" si="36">AE7</f>
        <v>1.66E-2</v>
      </c>
      <c r="AG7" s="1791">
        <f>ROUND(AVERAGE(K7:K$23)/100,4)</f>
        <v>2.6499999999999999E-2</v>
      </c>
      <c r="AH7" s="1791">
        <f>ROUND(AVERAGE(L7:L$23)/100,4)</f>
        <v>1.43E-2</v>
      </c>
    </row>
    <row r="8" spans="1:34">
      <c r="A8" s="1463" t="s">
        <v>3027</v>
      </c>
      <c r="B8" s="1471">
        <v>439</v>
      </c>
      <c r="C8" s="1471">
        <v>327</v>
      </c>
      <c r="D8" s="1471">
        <f>C8</f>
        <v>327</v>
      </c>
      <c r="E8" s="1471">
        <v>627</v>
      </c>
      <c r="F8" s="1472">
        <v>283</v>
      </c>
      <c r="G8" s="2928">
        <v>2017</v>
      </c>
      <c r="H8" s="1464">
        <v>4</v>
      </c>
      <c r="I8" s="1464">
        <v>1.71</v>
      </c>
      <c r="J8" s="1464">
        <v>1.78</v>
      </c>
      <c r="K8" s="1464">
        <v>1.71</v>
      </c>
      <c r="L8" s="1465">
        <v>1.43</v>
      </c>
      <c r="N8" s="1474">
        <f t="shared" si="28"/>
        <v>1.7100000000000001E-2</v>
      </c>
      <c r="O8" s="1475">
        <f t="shared" ref="O8" si="37">J8/100</f>
        <v>1.78E-2</v>
      </c>
      <c r="P8" s="1475">
        <f t="shared" ref="P8" si="38">K8/100</f>
        <v>1.7100000000000001E-2</v>
      </c>
      <c r="Q8" s="1475">
        <f t="shared" ref="Q8" si="39">L8/100</f>
        <v>1.43E-2</v>
      </c>
      <c r="R8" s="1476"/>
      <c r="S8" s="1477"/>
      <c r="T8" s="1478"/>
      <c r="U8" s="1478"/>
      <c r="V8" s="1478"/>
      <c r="X8" s="1461">
        <f>ROUND(SUMPRODUCT(PRODUCT(1+N8:N$22)),4)</f>
        <v>1.4274</v>
      </c>
      <c r="Y8" s="1461">
        <f>ROUND(SUMPRODUCT(PRODUCT(1+O8:O$22)),4)</f>
        <v>1.2685</v>
      </c>
      <c r="Z8" s="1461">
        <f t="shared" si="0"/>
        <v>1.2685</v>
      </c>
      <c r="AA8" s="1461">
        <f>ROUND(SUMPRODUCT(PRODUCT(1+P8:P$22)),4)</f>
        <v>1.4825999999999999</v>
      </c>
      <c r="AB8" s="1461">
        <f>ROUND(SUMPRODUCT(PRODUCT(1+Q8:Q$22)),4)</f>
        <v>1.2309000000000001</v>
      </c>
      <c r="AD8" s="1462">
        <f>ROUND(AVERAGE(I8:I$23)/100,4)</f>
        <v>2.4500000000000001E-2</v>
      </c>
      <c r="AE8" s="1462">
        <f>ROUND(AVERAGE(J8:J$23)/100,4)</f>
        <v>1.6500000000000001E-2</v>
      </c>
      <c r="AF8" s="1462">
        <f t="shared" si="1"/>
        <v>1.6500000000000001E-2</v>
      </c>
      <c r="AG8" s="1462">
        <f>ROUND(AVERAGE(K8:K$23)/100,4)</f>
        <v>2.7099999999999999E-2</v>
      </c>
      <c r="AH8" s="1462">
        <f>ROUND(AVERAGE(L8:L$23)/100,4)</f>
        <v>1.3899999999999999E-2</v>
      </c>
    </row>
    <row r="9" spans="1:34" s="1468" customFormat="1" ht="13.5" thickBot="1">
      <c r="A9" s="1463" t="s">
        <v>3028</v>
      </c>
      <c r="B9" s="1479">
        <f t="shared" ref="B9:B10" si="40">B10*(1+N9)</f>
        <v>431.80730811680002</v>
      </c>
      <c r="C9" s="1479">
        <f t="shared" ref="C9:C10" si="41">C10*(1+O9)</f>
        <v>320.57880516480003</v>
      </c>
      <c r="D9" s="1479">
        <f t="shared" ref="D9:D10" si="42">C9</f>
        <v>320.57880516480003</v>
      </c>
      <c r="E9" s="1479">
        <f t="shared" ref="E9:E10" si="43">E10*(1+P9)</f>
        <v>615.96110553196797</v>
      </c>
      <c r="F9" s="1479">
        <f t="shared" ref="F9:F10" si="44">F10*(1+Q9)</f>
        <v>279.46777300108801</v>
      </c>
      <c r="G9" s="2924"/>
      <c r="H9" s="1466">
        <v>3</v>
      </c>
      <c r="I9" s="1466">
        <v>2.98</v>
      </c>
      <c r="J9" s="1466">
        <v>2.11</v>
      </c>
      <c r="K9" s="1466">
        <v>3.24</v>
      </c>
      <c r="L9" s="1480">
        <v>1.72</v>
      </c>
      <c r="M9" s="1473"/>
      <c r="N9" s="1474">
        <f t="shared" si="28"/>
        <v>2.98E-2</v>
      </c>
      <c r="O9" s="1475">
        <f t="shared" ref="O9" si="45">J9/100</f>
        <v>2.1099999999999997E-2</v>
      </c>
      <c r="P9" s="1475">
        <f t="shared" ref="P9" si="46">K9/100</f>
        <v>3.2400000000000005E-2</v>
      </c>
      <c r="Q9" s="1475">
        <f t="shared" ref="Q9" si="47">L9/100</f>
        <v>1.72E-2</v>
      </c>
      <c r="R9" s="1476"/>
      <c r="S9" s="1474"/>
      <c r="T9" s="1475"/>
      <c r="U9" s="1475"/>
      <c r="V9" s="1475"/>
      <c r="W9" s="1792"/>
      <c r="X9" s="1790">
        <f>ROUND(SUMPRODUCT(PRODUCT(1+N9:N$22)),4)</f>
        <v>1.4034</v>
      </c>
      <c r="Y9" s="1790">
        <f>ROUND(SUMPRODUCT(PRODUCT(1+O9:O$22)),4)</f>
        <v>1.2463</v>
      </c>
      <c r="Z9" s="1790">
        <f t="shared" si="0"/>
        <v>1.2463</v>
      </c>
      <c r="AA9" s="1790">
        <f>ROUND(SUMPRODUCT(PRODUCT(1+P9:P$22)),4)</f>
        <v>1.4577</v>
      </c>
      <c r="AB9" s="1790">
        <f>ROUND(SUMPRODUCT(PRODUCT(1+Q9:Q$22)),4)</f>
        <v>1.2136</v>
      </c>
      <c r="AC9" s="1792"/>
      <c r="AD9" s="1791">
        <f>ROUND(AVERAGE(I9:I$23)/100,4)</f>
        <v>2.4899999999999999E-2</v>
      </c>
      <c r="AE9" s="1791">
        <f>ROUND(AVERAGE(J9:J$23)/100,4)</f>
        <v>1.6400000000000001E-2</v>
      </c>
      <c r="AF9" s="1791">
        <f t="shared" si="1"/>
        <v>1.6400000000000001E-2</v>
      </c>
      <c r="AG9" s="1791">
        <f>ROUND(AVERAGE(K9:K$23)/100,4)</f>
        <v>2.7799999999999998E-2</v>
      </c>
      <c r="AH9" s="1791">
        <f>ROUND(AVERAGE(L9:L$23)/100,4)</f>
        <v>1.3899999999999999E-2</v>
      </c>
    </row>
    <row r="10" spans="1:34" s="1733" customFormat="1">
      <c r="A10" s="1463" t="s">
        <v>1386</v>
      </c>
      <c r="B10" s="1479">
        <f t="shared" si="40"/>
        <v>419.31181600000002</v>
      </c>
      <c r="C10" s="1479">
        <f t="shared" si="41"/>
        <v>313.95436800000004</v>
      </c>
      <c r="D10" s="1479">
        <f t="shared" si="42"/>
        <v>313.95436800000004</v>
      </c>
      <c r="E10" s="1479">
        <f t="shared" si="43"/>
        <v>596.63028431999999</v>
      </c>
      <c r="F10" s="1479">
        <f t="shared" si="44"/>
        <v>274.74220703999998</v>
      </c>
      <c r="G10" s="2923"/>
      <c r="H10" s="1467">
        <v>2</v>
      </c>
      <c r="I10" s="1467">
        <v>3.4</v>
      </c>
      <c r="J10" s="1467">
        <v>2</v>
      </c>
      <c r="K10" s="1467">
        <v>3.82</v>
      </c>
      <c r="L10" s="1481">
        <v>1.68</v>
      </c>
      <c r="M10" s="1473"/>
      <c r="N10" s="1474">
        <f t="shared" si="28"/>
        <v>3.4000000000000002E-2</v>
      </c>
      <c r="O10" s="1475">
        <f t="shared" ref="O10" si="48">J10/100</f>
        <v>0.02</v>
      </c>
      <c r="P10" s="1475">
        <f t="shared" ref="P10" si="49">K10/100</f>
        <v>3.8199999999999998E-2</v>
      </c>
      <c r="Q10" s="1475">
        <f t="shared" ref="Q10" si="50">L10/100</f>
        <v>1.6799999999999999E-2</v>
      </c>
      <c r="R10" s="1476"/>
      <c r="S10" s="1477"/>
      <c r="T10" s="1478"/>
      <c r="U10" s="1478"/>
      <c r="V10" s="1478"/>
      <c r="W10" s="1455"/>
      <c r="X10" s="1790">
        <f>ROUND(SUMPRODUCT(PRODUCT(1+N10:N$22)),4)</f>
        <v>1.3628</v>
      </c>
      <c r="Y10" s="1790">
        <f>ROUND(SUMPRODUCT(PRODUCT(1+O10:O$22)),4)</f>
        <v>1.2205999999999999</v>
      </c>
      <c r="Z10" s="1790">
        <f t="shared" si="0"/>
        <v>1.2205999999999999</v>
      </c>
      <c r="AA10" s="1790">
        <f>ROUND(SUMPRODUCT(PRODUCT(1+P10:P$22)),4)</f>
        <v>1.4118999999999999</v>
      </c>
      <c r="AB10" s="1790">
        <f>ROUND(SUMPRODUCT(PRODUCT(1+Q10:Q$22)),4)</f>
        <v>1.1930000000000001</v>
      </c>
      <c r="AC10" s="1455"/>
      <c r="AD10" s="1791">
        <f>ROUND(AVERAGE(I10:I$23)/100,4)</f>
        <v>2.46E-2</v>
      </c>
      <c r="AE10" s="1791">
        <f>ROUND(AVERAGE(J10:J$23)/100,4)</f>
        <v>1.6E-2</v>
      </c>
      <c r="AF10" s="1791">
        <f t="shared" si="1"/>
        <v>1.6E-2</v>
      </c>
      <c r="AG10" s="1791">
        <f>ROUND(AVERAGE(K10:K$23)/100,4)</f>
        <v>2.75E-2</v>
      </c>
      <c r="AH10" s="1791">
        <f>ROUND(AVERAGE(L10:L$23)/100,4)</f>
        <v>1.37E-2</v>
      </c>
    </row>
    <row r="11" spans="1:34" s="1468" customFormat="1" ht="13.5" thickBot="1">
      <c r="A11" s="1463" t="s">
        <v>1161</v>
      </c>
      <c r="B11" s="1479">
        <f>B12*(1+N11)</f>
        <v>405.524</v>
      </c>
      <c r="C11" s="1479">
        <f>C12*(1+O11)</f>
        <v>307.79840000000002</v>
      </c>
      <c r="D11" s="1479">
        <f>C11</f>
        <v>307.79840000000002</v>
      </c>
      <c r="E11" s="1479">
        <f>E12*(1+P11)</f>
        <v>574.67759999999998</v>
      </c>
      <c r="F11" s="1479">
        <f>F12*(1+Q11)</f>
        <v>270.20280000000002</v>
      </c>
      <c r="G11" s="2924"/>
      <c r="H11" s="1466">
        <v>1</v>
      </c>
      <c r="I11" s="1466">
        <v>3.45</v>
      </c>
      <c r="J11" s="1466">
        <v>1.92</v>
      </c>
      <c r="K11" s="1466">
        <v>3.92</v>
      </c>
      <c r="L11" s="1480">
        <v>1.58</v>
      </c>
      <c r="M11" s="1473"/>
      <c r="N11" s="1474">
        <f t="shared" si="28"/>
        <v>3.4500000000000003E-2</v>
      </c>
      <c r="O11" s="1475">
        <f t="shared" ref="O11:Q26" si="51">J11/100</f>
        <v>1.9199999999999998E-2</v>
      </c>
      <c r="P11" s="1475">
        <f t="shared" si="51"/>
        <v>3.9199999999999999E-2</v>
      </c>
      <c r="Q11" s="1475">
        <f t="shared" si="51"/>
        <v>1.5800000000000002E-2</v>
      </c>
      <c r="R11" s="1476"/>
      <c r="S11" s="1474">
        <f>B11/B12-1</f>
        <v>3.4499999999999975E-2</v>
      </c>
      <c r="T11" s="1475">
        <f t="shared" ref="T11:V11" si="52">C11/C12-1</f>
        <v>1.9200000000000106E-2</v>
      </c>
      <c r="U11" s="1475">
        <f t="shared" si="52"/>
        <v>1.9200000000000106E-2</v>
      </c>
      <c r="V11" s="1475">
        <f t="shared" si="52"/>
        <v>3.9199999999999902E-2</v>
      </c>
      <c r="W11" s="1792"/>
      <c r="X11" s="1790">
        <f>ROUND(SUMPRODUCT(PRODUCT(1+N11:N$22)),4)</f>
        <v>1.3180000000000001</v>
      </c>
      <c r="Y11" s="1790">
        <f>ROUND(SUMPRODUCT(PRODUCT(1+O11:O$22)),4)</f>
        <v>1.1966000000000001</v>
      </c>
      <c r="Z11" s="1790">
        <f t="shared" si="0"/>
        <v>1.1966000000000001</v>
      </c>
      <c r="AA11" s="1790">
        <f>ROUND(SUMPRODUCT(PRODUCT(1+P11:P$22)),4)</f>
        <v>1.36</v>
      </c>
      <c r="AB11" s="1790">
        <f>ROUND(SUMPRODUCT(PRODUCT(1+Q11:Q$22)),4)</f>
        <v>1.1733</v>
      </c>
      <c r="AC11" s="1792"/>
      <c r="AD11" s="1791">
        <f>ROUND(AVERAGE(I11:I$23)/100,4)</f>
        <v>2.3900000000000001E-2</v>
      </c>
      <c r="AE11" s="1791">
        <f>ROUND(AVERAGE(J11:J$23)/100,4)</f>
        <v>1.5699999999999999E-2</v>
      </c>
      <c r="AF11" s="1791">
        <f t="shared" si="1"/>
        <v>1.5699999999999999E-2</v>
      </c>
      <c r="AG11" s="1791">
        <f>ROUND(AVERAGE(K11:K$23)/100,4)</f>
        <v>2.6599999999999999E-2</v>
      </c>
      <c r="AH11" s="1791">
        <f>ROUND(AVERAGE(L11:L$23)/100,4)</f>
        <v>1.34E-2</v>
      </c>
    </row>
    <row r="12" spans="1:34">
      <c r="A12" s="1463" t="s">
        <v>154</v>
      </c>
      <c r="B12" s="1471">
        <v>392</v>
      </c>
      <c r="C12" s="1471">
        <v>302</v>
      </c>
      <c r="D12" s="1471">
        <f>C12</f>
        <v>302</v>
      </c>
      <c r="E12" s="1471">
        <v>553</v>
      </c>
      <c r="F12" s="1472">
        <v>266</v>
      </c>
      <c r="G12" s="3312">
        <v>2016</v>
      </c>
      <c r="H12" s="1464">
        <v>4</v>
      </c>
      <c r="I12" s="1464">
        <v>4.5599999999999996</v>
      </c>
      <c r="J12" s="1464">
        <v>2.15</v>
      </c>
      <c r="K12" s="1464">
        <v>5.32</v>
      </c>
      <c r="L12" s="1465">
        <v>1.57</v>
      </c>
      <c r="N12" s="1474">
        <f t="shared" si="28"/>
        <v>4.5599999999999995E-2</v>
      </c>
      <c r="O12" s="1475">
        <f t="shared" si="51"/>
        <v>2.1499999999999998E-2</v>
      </c>
      <c r="P12" s="1475">
        <f t="shared" si="51"/>
        <v>5.3200000000000004E-2</v>
      </c>
      <c r="Q12" s="1475">
        <f t="shared" si="51"/>
        <v>1.5700000000000002E-2</v>
      </c>
      <c r="R12" s="1476"/>
      <c r="S12" s="1477"/>
      <c r="T12" s="1478"/>
      <c r="U12" s="1478"/>
      <c r="V12" s="1478"/>
      <c r="X12" s="1461">
        <f>ROUND(SUMPRODUCT(PRODUCT(1+N12:N$22)),4)</f>
        <v>1.274</v>
      </c>
      <c r="Y12" s="1461">
        <f>ROUND(SUMPRODUCT(PRODUCT(1+O12:O$22)),4)</f>
        <v>1.1740999999999999</v>
      </c>
      <c r="Z12" s="1461">
        <f t="shared" si="0"/>
        <v>1.1740999999999999</v>
      </c>
      <c r="AA12" s="1461">
        <f>ROUND(SUMPRODUCT(PRODUCT(1+P12:P$22)),4)</f>
        <v>1.3087</v>
      </c>
      <c r="AB12" s="1461">
        <f>ROUND(SUMPRODUCT(PRODUCT(1+Q12:Q$22)),4)</f>
        <v>1.1551</v>
      </c>
      <c r="AD12" s="1462">
        <f>ROUND(AVERAGE(I12:I$23)/100,4)</f>
        <v>2.3E-2</v>
      </c>
      <c r="AE12" s="1462">
        <f>ROUND(AVERAGE(J12:J$23)/100,4)</f>
        <v>1.55E-2</v>
      </c>
      <c r="AF12" s="1462">
        <f t="shared" si="1"/>
        <v>1.55E-2</v>
      </c>
      <c r="AG12" s="1462">
        <f>ROUND(AVERAGE(K12:K$23)/100,4)</f>
        <v>2.5600000000000001E-2</v>
      </c>
      <c r="AH12" s="1462">
        <f>ROUND(AVERAGE(L12:L$23)/100,4)</f>
        <v>1.32E-2</v>
      </c>
    </row>
    <row r="13" spans="1:34">
      <c r="A13" s="1463" t="s">
        <v>153</v>
      </c>
      <c r="B13" s="1479">
        <f t="shared" ref="B13:C15" si="53">B12/(1+N12)</f>
        <v>374.90436113236416</v>
      </c>
      <c r="C13" s="1479">
        <f t="shared" si="53"/>
        <v>295.64366128242779</v>
      </c>
      <c r="D13" s="1479">
        <f t="shared" ref="D13:D72" si="54">C13</f>
        <v>295.64366128242779</v>
      </c>
      <c r="E13" s="1479">
        <f t="shared" ref="E13:F15" si="55">E12/(1+P12)</f>
        <v>525.06646410938095</v>
      </c>
      <c r="F13" s="1479">
        <f t="shared" si="55"/>
        <v>261.88835286009646</v>
      </c>
      <c r="G13" s="3309"/>
      <c r="H13" s="1466">
        <v>3</v>
      </c>
      <c r="I13" s="1466">
        <v>4.12</v>
      </c>
      <c r="J13" s="1466">
        <v>2</v>
      </c>
      <c r="K13" s="1466">
        <v>4.79</v>
      </c>
      <c r="L13" s="1480">
        <v>1.97</v>
      </c>
      <c r="N13" s="1474">
        <f t="shared" ref="N13:Q47" si="56">I13/100</f>
        <v>4.1200000000000001E-2</v>
      </c>
      <c r="O13" s="1475">
        <f t="shared" si="51"/>
        <v>0.02</v>
      </c>
      <c r="P13" s="1475">
        <f t="shared" si="51"/>
        <v>4.7899999999999998E-2</v>
      </c>
      <c r="Q13" s="1475">
        <f t="shared" si="51"/>
        <v>1.9699999999999999E-2</v>
      </c>
      <c r="R13" s="1476"/>
      <c r="S13" s="1474"/>
      <c r="T13" s="1475"/>
      <c r="U13" s="1475"/>
      <c r="V13" s="1475"/>
      <c r="X13" s="1461">
        <f>ROUND(SUMPRODUCT(PRODUCT(1+N13:N$22)),4)</f>
        <v>1.2184999999999999</v>
      </c>
      <c r="Y13" s="1461">
        <f>ROUND(SUMPRODUCT(PRODUCT(1+O13:O$22)),4)</f>
        <v>1.1494</v>
      </c>
      <c r="Z13" s="1461">
        <f t="shared" si="0"/>
        <v>1.1494</v>
      </c>
      <c r="AA13" s="1461">
        <f>ROUND(SUMPRODUCT(PRODUCT(1+P13:P$22)),4)</f>
        <v>1.2425999999999999</v>
      </c>
      <c r="AB13" s="1461">
        <f>ROUND(SUMPRODUCT(PRODUCT(1+Q13:Q$22)),4)</f>
        <v>1.1372</v>
      </c>
      <c r="AD13" s="1462">
        <f>ROUND(AVERAGE(I13:I$23)/100,4)</f>
        <v>2.0899999999999998E-2</v>
      </c>
      <c r="AE13" s="1462">
        <f>ROUND(AVERAGE(J13:J$23)/100,4)</f>
        <v>1.49E-2</v>
      </c>
      <c r="AF13" s="1462">
        <f t="shared" si="1"/>
        <v>1.49E-2</v>
      </c>
      <c r="AG13" s="1462">
        <f>ROUND(AVERAGE(K13:K$23)/100,4)</f>
        <v>2.3099999999999999E-2</v>
      </c>
      <c r="AH13" s="1462">
        <f>ROUND(AVERAGE(L13:L$23)/100,4)</f>
        <v>1.2999999999999999E-2</v>
      </c>
    </row>
    <row r="14" spans="1:34">
      <c r="A14" s="1463" t="s">
        <v>143</v>
      </c>
      <c r="B14" s="1479">
        <f t="shared" si="53"/>
        <v>360.06949782209392</v>
      </c>
      <c r="C14" s="1479">
        <f t="shared" si="53"/>
        <v>289.84672674747821</v>
      </c>
      <c r="D14" s="1479">
        <f t="shared" si="54"/>
        <v>289.84672674747821</v>
      </c>
      <c r="E14" s="1479">
        <f t="shared" si="55"/>
        <v>501.06543001181495</v>
      </c>
      <c r="F14" s="1479">
        <f t="shared" si="55"/>
        <v>256.82882500744967</v>
      </c>
      <c r="G14" s="3309"/>
      <c r="H14" s="1467">
        <v>2</v>
      </c>
      <c r="I14" s="1467">
        <v>3.85</v>
      </c>
      <c r="J14" s="1467">
        <v>1.95</v>
      </c>
      <c r="K14" s="1467">
        <v>4.4800000000000004</v>
      </c>
      <c r="L14" s="1481">
        <v>1.41</v>
      </c>
      <c r="N14" s="1474">
        <f t="shared" si="56"/>
        <v>3.85E-2</v>
      </c>
      <c r="O14" s="1475">
        <f t="shared" si="51"/>
        <v>1.95E-2</v>
      </c>
      <c r="P14" s="1475">
        <f t="shared" si="51"/>
        <v>4.4800000000000006E-2</v>
      </c>
      <c r="Q14" s="1475">
        <f t="shared" si="51"/>
        <v>1.41E-2</v>
      </c>
      <c r="R14" s="1476"/>
      <c r="S14" s="1474"/>
      <c r="T14" s="1475"/>
      <c r="U14" s="1475"/>
      <c r="V14" s="1475"/>
      <c r="X14" s="1461">
        <f>ROUND(SUMPRODUCT(PRODUCT(1+N14:N$22)),4)</f>
        <v>1.1702999999999999</v>
      </c>
      <c r="Y14" s="1461">
        <f>ROUND(SUMPRODUCT(PRODUCT(1+O14:O$22)),4)</f>
        <v>1.1269</v>
      </c>
      <c r="Z14" s="1461">
        <f t="shared" si="0"/>
        <v>1.1269</v>
      </c>
      <c r="AA14" s="1461">
        <f>ROUND(SUMPRODUCT(PRODUCT(1+P14:P$22)),4)</f>
        <v>1.1858</v>
      </c>
      <c r="AB14" s="1461">
        <f>ROUND(SUMPRODUCT(PRODUCT(1+Q14:Q$22)),4)</f>
        <v>1.1152</v>
      </c>
      <c r="AD14" s="1462">
        <f>ROUND(AVERAGE(I14:I$23)/100,4)</f>
        <v>1.89E-2</v>
      </c>
      <c r="AE14" s="1462">
        <f>ROUND(AVERAGE(J14:J$23)/100,4)</f>
        <v>1.44E-2</v>
      </c>
      <c r="AF14" s="1462">
        <f t="shared" si="1"/>
        <v>1.44E-2</v>
      </c>
      <c r="AG14" s="1462">
        <f>ROUND(AVERAGE(K14:K$23)/100,4)</f>
        <v>2.06E-2</v>
      </c>
      <c r="AH14" s="1462">
        <f>ROUND(AVERAGE(L14:L$23)/100,4)</f>
        <v>1.23E-2</v>
      </c>
    </row>
    <row r="15" spans="1:34" ht="13.5" thickBot="1">
      <c r="A15" s="1463" t="s">
        <v>152</v>
      </c>
      <c r="B15" s="1479">
        <f t="shared" si="53"/>
        <v>346.720748986128</v>
      </c>
      <c r="C15" s="1479">
        <f t="shared" si="53"/>
        <v>284.30282172386285</v>
      </c>
      <c r="D15" s="1479">
        <f t="shared" si="54"/>
        <v>284.30282172386285</v>
      </c>
      <c r="E15" s="1479">
        <f t="shared" si="55"/>
        <v>479.58023546306947</v>
      </c>
      <c r="F15" s="1479">
        <f t="shared" si="55"/>
        <v>253.25788877571213</v>
      </c>
      <c r="G15" s="3310"/>
      <c r="H15" s="1466">
        <v>1</v>
      </c>
      <c r="I15" s="1466">
        <v>4.09</v>
      </c>
      <c r="J15" s="1466">
        <v>2.93</v>
      </c>
      <c r="K15" s="1466">
        <v>4.54</v>
      </c>
      <c r="L15" s="1480">
        <v>1.48</v>
      </c>
      <c r="N15" s="1474">
        <f t="shared" si="56"/>
        <v>4.0899999999999999E-2</v>
      </c>
      <c r="O15" s="1475">
        <f t="shared" si="51"/>
        <v>2.9300000000000003E-2</v>
      </c>
      <c r="P15" s="1475">
        <f t="shared" si="51"/>
        <v>4.5400000000000003E-2</v>
      </c>
      <c r="Q15" s="1475">
        <f t="shared" si="51"/>
        <v>1.4800000000000001E-2</v>
      </c>
      <c r="R15" s="1476"/>
      <c r="S15" s="1482">
        <f>B15/B16-1</f>
        <v>4.1203450408792808E-2</v>
      </c>
      <c r="T15" s="1483">
        <f>C15/C16-1</f>
        <v>2.6363977342465095E-2</v>
      </c>
      <c r="U15" s="1483">
        <f>E15/E16-1</f>
        <v>4.4837114298626357E-2</v>
      </c>
      <c r="V15" s="1483">
        <f>F15/F16-1</f>
        <v>1.7099954922538574E-2</v>
      </c>
      <c r="X15" s="1461">
        <f>ROUND(SUMPRODUCT(PRODUCT(1+N15:N$22)),4)</f>
        <v>1.1269</v>
      </c>
      <c r="Y15" s="1461">
        <f>ROUND(SUMPRODUCT(PRODUCT(1+O15:O$22)),4)</f>
        <v>1.1052999999999999</v>
      </c>
      <c r="Z15" s="1461">
        <f t="shared" si="0"/>
        <v>1.1052999999999999</v>
      </c>
      <c r="AA15" s="1461">
        <f>ROUND(SUMPRODUCT(PRODUCT(1+P15:P$22)),4)</f>
        <v>1.1349</v>
      </c>
      <c r="AB15" s="1461">
        <f>ROUND(SUMPRODUCT(PRODUCT(1+Q15:Q$22)),4)</f>
        <v>1.0996999999999999</v>
      </c>
      <c r="AD15" s="1462">
        <f>ROUND(AVERAGE(I15:I$23)/100,4)</f>
        <v>1.67E-2</v>
      </c>
      <c r="AE15" s="1462">
        <f>ROUND(AVERAGE(J15:J$23)/100,4)</f>
        <v>1.38E-2</v>
      </c>
      <c r="AF15" s="1462">
        <f t="shared" si="1"/>
        <v>1.38E-2</v>
      </c>
      <c r="AG15" s="1462">
        <f>ROUND(AVERAGE(K15:K$23)/100,4)</f>
        <v>1.7899999999999999E-2</v>
      </c>
      <c r="AH15" s="1462">
        <f>ROUND(AVERAGE(L15:L$23)/100,4)</f>
        <v>1.21E-2</v>
      </c>
    </row>
    <row r="16" spans="1:34" ht="13.5" thickBot="1">
      <c r="A16" s="1463" t="s">
        <v>151</v>
      </c>
      <c r="B16" s="1471">
        <v>333</v>
      </c>
      <c r="C16" s="1471">
        <v>277</v>
      </c>
      <c r="D16" s="1471">
        <f t="shared" si="54"/>
        <v>277</v>
      </c>
      <c r="E16" s="1471">
        <v>459</v>
      </c>
      <c r="F16" s="1472">
        <v>249</v>
      </c>
      <c r="G16" s="3308">
        <v>2015</v>
      </c>
      <c r="H16" s="1484">
        <v>4</v>
      </c>
      <c r="I16" s="1484">
        <v>1.63</v>
      </c>
      <c r="J16" s="1484">
        <v>1.1100000000000001</v>
      </c>
      <c r="K16" s="1484">
        <v>1.77</v>
      </c>
      <c r="L16" s="1485">
        <v>1.89</v>
      </c>
      <c r="N16" s="1486">
        <f t="shared" si="56"/>
        <v>1.6299999999999999E-2</v>
      </c>
      <c r="O16" s="1487">
        <f t="shared" si="51"/>
        <v>1.11E-2</v>
      </c>
      <c r="P16" s="1487">
        <f t="shared" si="51"/>
        <v>1.77E-2</v>
      </c>
      <c r="Q16" s="1487">
        <f t="shared" si="51"/>
        <v>1.89E-2</v>
      </c>
      <c r="R16" s="1476"/>
      <c r="X16" s="1461">
        <f>ROUND(SUMPRODUCT(PRODUCT(1+N16:N$22)),4)</f>
        <v>1.0826</v>
      </c>
      <c r="Y16" s="1461">
        <f>ROUND(SUMPRODUCT(PRODUCT(1+O16:O$22)),4)</f>
        <v>1.0738000000000001</v>
      </c>
      <c r="Z16" s="1461">
        <f t="shared" si="0"/>
        <v>1.0738000000000001</v>
      </c>
      <c r="AA16" s="1461">
        <f>ROUND(SUMPRODUCT(PRODUCT(1+P16:P$22)),4)</f>
        <v>1.0855999999999999</v>
      </c>
      <c r="AB16" s="1461">
        <f>ROUND(SUMPRODUCT(PRODUCT(1+Q16:Q$22)),4)</f>
        <v>1.0837000000000001</v>
      </c>
      <c r="AD16" s="1462">
        <f>ROUND(AVERAGE(I16:I$23)/100,4)</f>
        <v>1.37E-2</v>
      </c>
      <c r="AE16" s="1462">
        <f>ROUND(AVERAGE(J16:J$23)/100,4)</f>
        <v>1.1900000000000001E-2</v>
      </c>
      <c r="AF16" s="1462">
        <f t="shared" si="1"/>
        <v>1.1900000000000001E-2</v>
      </c>
      <c r="AG16" s="1462">
        <f>ROUND(AVERAGE(K16:K$23)/100,4)</f>
        <v>1.4500000000000001E-2</v>
      </c>
      <c r="AH16" s="1462">
        <f>ROUND(AVERAGE(L16:L$23)/100,4)</f>
        <v>1.18E-2</v>
      </c>
    </row>
    <row r="17" spans="1:34">
      <c r="A17" s="1463" t="s">
        <v>150</v>
      </c>
      <c r="B17" s="1479">
        <f t="shared" ref="B17:C19" si="57">B16/(1+N16)</f>
        <v>327.65915576109415</v>
      </c>
      <c r="C17" s="1479">
        <f t="shared" si="57"/>
        <v>273.95905449510434</v>
      </c>
      <c r="D17" s="1479">
        <f t="shared" si="54"/>
        <v>273.95905449510434</v>
      </c>
      <c r="E17" s="1479">
        <f t="shared" ref="E17:F19" si="58">E16/(1+P16)</f>
        <v>451.01699911565294</v>
      </c>
      <c r="F17" s="1479">
        <f t="shared" si="58"/>
        <v>244.38119540681129</v>
      </c>
      <c r="G17" s="3309"/>
      <c r="H17" s="1489">
        <v>3</v>
      </c>
      <c r="I17" s="1489">
        <v>1.65</v>
      </c>
      <c r="J17" s="1489">
        <v>0.92</v>
      </c>
      <c r="K17" s="1489">
        <v>1.88</v>
      </c>
      <c r="L17" s="1490">
        <v>1.26</v>
      </c>
      <c r="N17" s="1474">
        <f t="shared" si="56"/>
        <v>1.6500000000000001E-2</v>
      </c>
      <c r="O17" s="1491">
        <f t="shared" si="51"/>
        <v>9.1999999999999998E-3</v>
      </c>
      <c r="P17" s="1491">
        <f t="shared" si="51"/>
        <v>1.8799999999999997E-2</v>
      </c>
      <c r="Q17" s="1491">
        <f t="shared" si="51"/>
        <v>1.26E-2</v>
      </c>
      <c r="R17" s="1476"/>
      <c r="S17" s="1474"/>
      <c r="T17" s="1475"/>
      <c r="U17" s="1475"/>
      <c r="V17" s="1475"/>
      <c r="X17" s="1461">
        <f>ROUND(SUMPRODUCT(PRODUCT(1+N17:N$22)),4)</f>
        <v>1.0651999999999999</v>
      </c>
      <c r="Y17" s="1461">
        <f>ROUND(SUMPRODUCT(PRODUCT(1+O17:O$22)),4)</f>
        <v>1.0621</v>
      </c>
      <c r="Z17" s="1461">
        <f t="shared" si="0"/>
        <v>1.0621</v>
      </c>
      <c r="AA17" s="1461">
        <f>ROUND(SUMPRODUCT(PRODUCT(1+P17:P$22)),4)</f>
        <v>1.0668</v>
      </c>
      <c r="AB17" s="1461">
        <f>ROUND(SUMPRODUCT(PRODUCT(1+Q17:Q$22)),4)</f>
        <v>1.0636000000000001</v>
      </c>
      <c r="AD17" s="1462">
        <f>ROUND(AVERAGE(I17:I$23)/100,4)</f>
        <v>1.3299999999999999E-2</v>
      </c>
      <c r="AE17" s="1462">
        <f>ROUND(AVERAGE(J17:J$23)/100,4)</f>
        <v>1.2E-2</v>
      </c>
      <c r="AF17" s="1462">
        <f t="shared" si="1"/>
        <v>1.2E-2</v>
      </c>
      <c r="AG17" s="1462">
        <f>ROUND(AVERAGE(K17:K$23)/100,4)</f>
        <v>1.4E-2</v>
      </c>
      <c r="AH17" s="1462">
        <f>ROUND(AVERAGE(L17:L$23)/100,4)</f>
        <v>1.0800000000000001E-2</v>
      </c>
    </row>
    <row r="18" spans="1:34">
      <c r="A18" s="1463" t="s">
        <v>149</v>
      </c>
      <c r="B18" s="1479">
        <f t="shared" si="57"/>
        <v>322.34053690220776</v>
      </c>
      <c r="C18" s="1479">
        <f t="shared" si="57"/>
        <v>271.46160770422546</v>
      </c>
      <c r="D18" s="1479">
        <f t="shared" si="54"/>
        <v>271.46160770422546</v>
      </c>
      <c r="E18" s="1479">
        <f t="shared" si="58"/>
        <v>442.69434542172456</v>
      </c>
      <c r="F18" s="1479">
        <f t="shared" si="58"/>
        <v>241.34030753190925</v>
      </c>
      <c r="G18" s="3309"/>
      <c r="H18" s="1467">
        <v>2</v>
      </c>
      <c r="I18" s="1467">
        <v>0.77</v>
      </c>
      <c r="J18" s="1467">
        <v>0.69</v>
      </c>
      <c r="K18" s="1467">
        <v>0.8</v>
      </c>
      <c r="L18" s="1481">
        <v>0.88</v>
      </c>
      <c r="N18" s="1474">
        <f t="shared" si="56"/>
        <v>7.7000000000000002E-3</v>
      </c>
      <c r="O18" s="1491">
        <f t="shared" si="51"/>
        <v>6.8999999999999999E-3</v>
      </c>
      <c r="P18" s="1491">
        <f t="shared" si="51"/>
        <v>8.0000000000000002E-3</v>
      </c>
      <c r="Q18" s="1491">
        <f t="shared" si="51"/>
        <v>8.8000000000000005E-3</v>
      </c>
      <c r="R18" s="1476"/>
      <c r="S18" s="1474"/>
      <c r="T18" s="1475"/>
      <c r="U18" s="1475"/>
      <c r="V18" s="1475"/>
      <c r="X18" s="1461">
        <f>ROUND(SUMPRODUCT(PRODUCT(1+N18:N$22)),4)</f>
        <v>1.048</v>
      </c>
      <c r="Y18" s="1461">
        <f>ROUND(SUMPRODUCT(PRODUCT(1+O18:O$22)),4)</f>
        <v>1.0524</v>
      </c>
      <c r="Z18" s="1461">
        <f t="shared" si="0"/>
        <v>1.0524</v>
      </c>
      <c r="AA18" s="1461">
        <f>ROUND(SUMPRODUCT(PRODUCT(1+P18:P$22)),4)</f>
        <v>1.0470999999999999</v>
      </c>
      <c r="AB18" s="1461">
        <f>ROUND(SUMPRODUCT(PRODUCT(1+Q18:Q$22)),4)</f>
        <v>1.0504</v>
      </c>
      <c r="AD18" s="1462">
        <f>ROUND(AVERAGE(I18:I$23)/100,4)</f>
        <v>1.2800000000000001E-2</v>
      </c>
      <c r="AE18" s="1462">
        <f>ROUND(AVERAGE(J18:J$23)/100,4)</f>
        <v>1.2500000000000001E-2</v>
      </c>
      <c r="AF18" s="1462">
        <f t="shared" si="1"/>
        <v>1.2500000000000001E-2</v>
      </c>
      <c r="AG18" s="1462">
        <f>ROUND(AVERAGE(K18:K$23)/100,4)</f>
        <v>1.32E-2</v>
      </c>
      <c r="AH18" s="1462">
        <f>ROUND(AVERAGE(L18:L$23)/100,4)</f>
        <v>1.0500000000000001E-2</v>
      </c>
    </row>
    <row r="19" spans="1:34">
      <c r="A19" s="1463" t="s">
        <v>148</v>
      </c>
      <c r="B19" s="1479">
        <f t="shared" si="57"/>
        <v>319.87748030386797</v>
      </c>
      <c r="C19" s="1479">
        <f t="shared" si="57"/>
        <v>269.60135833173649</v>
      </c>
      <c r="D19" s="1479">
        <f t="shared" si="54"/>
        <v>269.60135833173649</v>
      </c>
      <c r="E19" s="1479">
        <f t="shared" si="58"/>
        <v>439.18089823583784</v>
      </c>
      <c r="F19" s="1479">
        <f t="shared" si="58"/>
        <v>239.23503918706311</v>
      </c>
      <c r="G19" s="3310"/>
      <c r="H19" s="1466">
        <v>1</v>
      </c>
      <c r="I19" s="1466">
        <v>0.51</v>
      </c>
      <c r="J19" s="1466">
        <v>0.54</v>
      </c>
      <c r="K19" s="1466">
        <v>0.48</v>
      </c>
      <c r="L19" s="1480">
        <v>0.93</v>
      </c>
      <c r="N19" s="1482">
        <f t="shared" si="56"/>
        <v>5.1000000000000004E-3</v>
      </c>
      <c r="O19" s="1483">
        <f t="shared" si="51"/>
        <v>5.4000000000000003E-3</v>
      </c>
      <c r="P19" s="1483">
        <f t="shared" si="51"/>
        <v>4.7999999999999996E-3</v>
      </c>
      <c r="Q19" s="1483">
        <f t="shared" si="51"/>
        <v>9.300000000000001E-3</v>
      </c>
      <c r="R19" s="1476"/>
      <c r="S19" s="1482">
        <f>B19/B20-1</f>
        <v>5.9040261127922822E-3</v>
      </c>
      <c r="T19" s="1483">
        <f>C19/C20-1</f>
        <v>5.9752176557332781E-3</v>
      </c>
      <c r="U19" s="1483">
        <f>E19/E20-1</f>
        <v>4.9906138119859556E-3</v>
      </c>
      <c r="V19" s="1483">
        <f>F19/F20-1</f>
        <v>9.4305450930933787E-3</v>
      </c>
      <c r="X19" s="1461">
        <f>ROUND(SUMPRODUCT(PRODUCT(1+N19:N$22)),4)</f>
        <v>1.0399</v>
      </c>
      <c r="Y19" s="1461">
        <f>ROUND(SUMPRODUCT(PRODUCT(1+O19:O$22)),4)</f>
        <v>1.0451999999999999</v>
      </c>
      <c r="Z19" s="1461">
        <f t="shared" si="0"/>
        <v>1.0451999999999999</v>
      </c>
      <c r="AA19" s="1461">
        <f>ROUND(SUMPRODUCT(PRODUCT(1+P19:P$22)),4)</f>
        <v>1.0387999999999999</v>
      </c>
      <c r="AB19" s="1461">
        <f>ROUND(SUMPRODUCT(PRODUCT(1+Q19:Q$22)),4)</f>
        <v>1.0411999999999999</v>
      </c>
      <c r="AD19" s="1462">
        <f>ROUND(AVERAGE(I19:I$23)/100,4)</f>
        <v>1.38E-2</v>
      </c>
      <c r="AE19" s="1462">
        <f>ROUND(AVERAGE(J19:J$23)/100,4)</f>
        <v>1.3599999999999999E-2</v>
      </c>
      <c r="AF19" s="1462">
        <f t="shared" si="1"/>
        <v>1.3599999999999999E-2</v>
      </c>
      <c r="AG19" s="1462">
        <f>ROUND(AVERAGE(K19:K$23)/100,4)</f>
        <v>1.4200000000000001E-2</v>
      </c>
      <c r="AH19" s="1462">
        <f>ROUND(AVERAGE(L19:L$23)/100,4)</f>
        <v>1.0800000000000001E-2</v>
      </c>
    </row>
    <row r="20" spans="1:34" ht="13.5" thickBot="1">
      <c r="A20" s="1463" t="s">
        <v>147</v>
      </c>
      <c r="B20" s="1492">
        <v>318</v>
      </c>
      <c r="C20" s="1492">
        <v>268</v>
      </c>
      <c r="D20" s="1492">
        <f t="shared" si="54"/>
        <v>268</v>
      </c>
      <c r="E20" s="1492">
        <v>437</v>
      </c>
      <c r="F20" s="1493">
        <v>237</v>
      </c>
      <c r="G20" s="3308">
        <v>2014</v>
      </c>
      <c r="H20" s="1484">
        <v>4</v>
      </c>
      <c r="I20" s="1484">
        <v>0.21</v>
      </c>
      <c r="J20" s="1484">
        <v>0.41</v>
      </c>
      <c r="K20" s="1484">
        <v>0.12</v>
      </c>
      <c r="L20" s="1485">
        <v>0.89</v>
      </c>
      <c r="N20" s="1474">
        <f t="shared" si="56"/>
        <v>2.0999999999999999E-3</v>
      </c>
      <c r="O20" s="1475">
        <f t="shared" si="51"/>
        <v>4.0999999999999995E-3</v>
      </c>
      <c r="P20" s="1475">
        <f t="shared" si="51"/>
        <v>1.1999999999999999E-3</v>
      </c>
      <c r="Q20" s="1475">
        <f t="shared" si="51"/>
        <v>8.8999999999999999E-3</v>
      </c>
      <c r="R20" s="1476"/>
      <c r="S20" s="1477"/>
      <c r="T20" s="1478"/>
      <c r="U20" s="1478"/>
      <c r="V20" s="1478"/>
      <c r="X20" s="1461">
        <f>ROUND(SUMPRODUCT(PRODUCT(1+N20:N$22)),4)</f>
        <v>1.0347</v>
      </c>
      <c r="Y20" s="1461">
        <f>ROUND(SUMPRODUCT(PRODUCT(1+O20:O$22)),4)</f>
        <v>1.0395000000000001</v>
      </c>
      <c r="Z20" s="1461">
        <f t="shared" si="0"/>
        <v>1.0395000000000001</v>
      </c>
      <c r="AA20" s="1461">
        <f>ROUND(SUMPRODUCT(PRODUCT(1+P20:P$22)),4)</f>
        <v>1.0338000000000001</v>
      </c>
      <c r="AB20" s="1461">
        <f>ROUND(SUMPRODUCT(PRODUCT(1+Q20:Q$22)),4)</f>
        <v>1.0316000000000001</v>
      </c>
      <c r="AD20" s="1462">
        <f>ROUND(AVERAGE(I20:I$23)/100,4)</f>
        <v>1.6E-2</v>
      </c>
      <c r="AE20" s="1462">
        <f>ROUND(AVERAGE(J20:J$23)/100,4)</f>
        <v>1.5599999999999999E-2</v>
      </c>
      <c r="AF20" s="1462">
        <f t="shared" si="1"/>
        <v>1.5599999999999999E-2</v>
      </c>
      <c r="AG20" s="1462">
        <f>ROUND(AVERAGE(K20:K$23)/100,4)</f>
        <v>1.66E-2</v>
      </c>
      <c r="AH20" s="1462">
        <f>ROUND(AVERAGE(L20:L$23)/100,4)</f>
        <v>1.12E-2</v>
      </c>
    </row>
    <row r="21" spans="1:34">
      <c r="A21" s="1463" t="s">
        <v>146</v>
      </c>
      <c r="B21" s="1479">
        <f t="shared" ref="B21:C23" si="59">B20/(1+N20)</f>
        <v>317.33359944117353</v>
      </c>
      <c r="C21" s="1479">
        <f t="shared" si="59"/>
        <v>266.90568668459315</v>
      </c>
      <c r="D21" s="1479">
        <f t="shared" si="54"/>
        <v>266.90568668459315</v>
      </c>
      <c r="E21" s="1479">
        <f t="shared" ref="E21:F23" si="60">E20/(1+P20)</f>
        <v>436.47622852576905</v>
      </c>
      <c r="F21" s="1479">
        <f t="shared" si="60"/>
        <v>234.90930716622066</v>
      </c>
      <c r="G21" s="3309"/>
      <c r="H21" s="1494">
        <v>3</v>
      </c>
      <c r="I21" s="1494">
        <v>0.83</v>
      </c>
      <c r="J21" s="1494">
        <v>1.47</v>
      </c>
      <c r="K21" s="1494">
        <v>0.65</v>
      </c>
      <c r="L21" s="1495">
        <v>0.72</v>
      </c>
      <c r="N21" s="1474">
        <f t="shared" si="56"/>
        <v>8.3000000000000001E-3</v>
      </c>
      <c r="O21" s="1475">
        <f t="shared" si="51"/>
        <v>1.47E-2</v>
      </c>
      <c r="P21" s="1475">
        <f t="shared" si="51"/>
        <v>6.5000000000000006E-3</v>
      </c>
      <c r="Q21" s="1475">
        <f t="shared" si="51"/>
        <v>7.1999999999999998E-3</v>
      </c>
      <c r="R21" s="1476"/>
      <c r="S21" s="1474"/>
      <c r="T21" s="1475"/>
      <c r="U21" s="1475"/>
      <c r="V21" s="1475"/>
      <c r="X21" s="1461">
        <f>ROUND(SUMPRODUCT(PRODUCT(1+N21:N$22)),4)</f>
        <v>1.0325</v>
      </c>
      <c r="Y21" s="1461">
        <f>ROUND(SUMPRODUCT(PRODUCT(1+O21:O$22)),4)</f>
        <v>1.0353000000000001</v>
      </c>
      <c r="Z21" s="1461">
        <f t="shared" ref="Z21:Z22" si="61">Y21</f>
        <v>1.0353000000000001</v>
      </c>
      <c r="AA21" s="1461">
        <f>ROUND(SUMPRODUCT(PRODUCT(1+P21:P$22)),4)</f>
        <v>1.0326</v>
      </c>
      <c r="AB21" s="1461">
        <f>ROUND(SUMPRODUCT(PRODUCT(1+Q21:Q$22)),4)</f>
        <v>1.0225</v>
      </c>
      <c r="AD21" s="1462">
        <f>ROUND(AVERAGE(I21:I$23)/100,4)</f>
        <v>2.07E-2</v>
      </c>
      <c r="AE21" s="1462">
        <f>ROUND(AVERAGE(J21:J$23)/100,4)</f>
        <v>1.95E-2</v>
      </c>
      <c r="AF21" s="1462">
        <f t="shared" si="1"/>
        <v>1.95E-2</v>
      </c>
      <c r="AG21" s="1462">
        <f>ROUND(AVERAGE(K21:K$23)/100,4)</f>
        <v>2.1700000000000001E-2</v>
      </c>
      <c r="AH21" s="1462">
        <f>ROUND(AVERAGE(L21:L$23)/100,4)</f>
        <v>1.2E-2</v>
      </c>
    </row>
    <row r="22" spans="1:34" ht="13.5" thickBot="1">
      <c r="A22" s="1463" t="s">
        <v>145</v>
      </c>
      <c r="B22" s="1479">
        <f t="shared" si="59"/>
        <v>314.72141172386546</v>
      </c>
      <c r="C22" s="1479">
        <f t="shared" si="59"/>
        <v>263.03901319069001</v>
      </c>
      <c r="D22" s="1479">
        <f t="shared" si="54"/>
        <v>263.03901319069001</v>
      </c>
      <c r="E22" s="1479">
        <f t="shared" si="60"/>
        <v>433.65745506782821</v>
      </c>
      <c r="F22" s="1479">
        <f t="shared" si="60"/>
        <v>233.23005080045735</v>
      </c>
      <c r="G22" s="3309"/>
      <c r="H22" s="1484">
        <v>2</v>
      </c>
      <c r="I22" s="1484">
        <v>2.4</v>
      </c>
      <c r="J22" s="1484">
        <v>2.0299999999999998</v>
      </c>
      <c r="K22" s="1484">
        <v>2.59</v>
      </c>
      <c r="L22" s="1485">
        <v>1.52</v>
      </c>
      <c r="N22" s="1474">
        <f t="shared" si="56"/>
        <v>2.4E-2</v>
      </c>
      <c r="O22" s="1475">
        <f t="shared" si="51"/>
        <v>2.0299999999999999E-2</v>
      </c>
      <c r="P22" s="1475">
        <f t="shared" si="51"/>
        <v>2.5899999999999999E-2</v>
      </c>
      <c r="Q22" s="1475">
        <f t="shared" si="51"/>
        <v>1.52E-2</v>
      </c>
      <c r="R22" s="1476"/>
      <c r="S22" s="1474"/>
      <c r="T22" s="1475"/>
      <c r="U22" s="1475"/>
      <c r="V22" s="1475"/>
      <c r="X22" s="1461">
        <f>1+N22</f>
        <v>1.024</v>
      </c>
      <c r="Y22" s="1461">
        <f>1+O22</f>
        <v>1.0203</v>
      </c>
      <c r="Z22" s="1461">
        <f t="shared" si="61"/>
        <v>1.0203</v>
      </c>
      <c r="AA22" s="1461">
        <f>1+P22</f>
        <v>1.0259</v>
      </c>
      <c r="AB22" s="1461">
        <f>1+Q22</f>
        <v>1.0152000000000001</v>
      </c>
      <c r="AD22" s="1462">
        <f>ROUND(AVERAGE(I22:I$23)/100,4)</f>
        <v>2.69E-2</v>
      </c>
      <c r="AE22" s="1462">
        <f>ROUND(AVERAGE(J22:J$23)/100,4)</f>
        <v>2.1899999999999999E-2</v>
      </c>
      <c r="AF22" s="1462">
        <f t="shared" ref="AF22" si="62">AE22</f>
        <v>2.1899999999999999E-2</v>
      </c>
      <c r="AG22" s="1462">
        <f>ROUND(AVERAGE(K22:K$23)/100,4)</f>
        <v>2.9399999999999999E-2</v>
      </c>
      <c r="AH22" s="1462">
        <f>ROUND(AVERAGE(L22:L$23)/100,4)</f>
        <v>1.44E-2</v>
      </c>
    </row>
    <row r="23" spans="1:34" s="1500" customFormat="1" ht="13.5" thickBot="1">
      <c r="A23" s="1496" t="s">
        <v>144</v>
      </c>
      <c r="B23" s="1497">
        <f t="shared" si="59"/>
        <v>307.34512863658733</v>
      </c>
      <c r="C23" s="1497">
        <f t="shared" si="59"/>
        <v>257.80556031626975</v>
      </c>
      <c r="D23" s="1497">
        <f t="shared" si="54"/>
        <v>257.80556031626975</v>
      </c>
      <c r="E23" s="1497">
        <f t="shared" si="60"/>
        <v>422.70928459677179</v>
      </c>
      <c r="F23" s="1497">
        <f t="shared" si="60"/>
        <v>229.73803270336617</v>
      </c>
      <c r="G23" s="3310"/>
      <c r="H23" s="1498">
        <v>1</v>
      </c>
      <c r="I23" s="1498">
        <v>2.97</v>
      </c>
      <c r="J23" s="1498">
        <v>2.34</v>
      </c>
      <c r="K23" s="1498">
        <v>3.28</v>
      </c>
      <c r="L23" s="1499">
        <v>1.36</v>
      </c>
      <c r="N23" s="1501">
        <f t="shared" si="56"/>
        <v>2.9700000000000001E-2</v>
      </c>
      <c r="O23" s="1502">
        <f t="shared" si="51"/>
        <v>2.3399999999999997E-2</v>
      </c>
      <c r="P23" s="1502">
        <f t="shared" si="51"/>
        <v>3.2799999999999996E-2</v>
      </c>
      <c r="Q23" s="1502">
        <f t="shared" si="51"/>
        <v>1.3600000000000001E-2</v>
      </c>
      <c r="R23" s="1503"/>
      <c r="S23" s="1504">
        <f>B23/B24-1</f>
        <v>2.7910129219355539E-2</v>
      </c>
      <c r="T23" s="1505">
        <f>C23/C24-1</f>
        <v>2.3037937762975247E-2</v>
      </c>
      <c r="U23" s="1505">
        <f>E23/E24-1</f>
        <v>3.3519033243940788E-2</v>
      </c>
      <c r="V23" s="1505">
        <f>F23/F24-1</f>
        <v>1.2061818076502862E-2</v>
      </c>
      <c r="W23" s="1506" t="s">
        <v>1162</v>
      </c>
      <c r="X23" s="1507">
        <v>1</v>
      </c>
      <c r="Y23" s="1507">
        <v>1</v>
      </c>
      <c r="Z23" s="1507">
        <v>1</v>
      </c>
      <c r="AA23" s="1507">
        <v>1</v>
      </c>
      <c r="AB23" s="1507">
        <v>1</v>
      </c>
      <c r="AD23" s="1729">
        <f>I23/100</f>
        <v>2.9700000000000001E-2</v>
      </c>
      <c r="AE23" s="1729">
        <f>J23/100</f>
        <v>2.3399999999999997E-2</v>
      </c>
      <c r="AF23" s="1729">
        <f>AE23</f>
        <v>2.3399999999999997E-2</v>
      </c>
      <c r="AG23" s="1729">
        <f>K23/100</f>
        <v>3.2799999999999996E-2</v>
      </c>
      <c r="AH23" s="1729">
        <f>L23/100</f>
        <v>1.3600000000000001E-2</v>
      </c>
    </row>
    <row r="24" spans="1:34" ht="13.5" thickBot="1">
      <c r="A24" s="1463" t="s">
        <v>1163</v>
      </c>
      <c r="B24" s="1471">
        <v>299</v>
      </c>
      <c r="C24" s="1471">
        <v>252</v>
      </c>
      <c r="D24" s="1471">
        <f t="shared" si="54"/>
        <v>252</v>
      </c>
      <c r="E24" s="1471">
        <v>409</v>
      </c>
      <c r="F24" s="1472">
        <v>227</v>
      </c>
      <c r="G24" s="3313">
        <v>2013</v>
      </c>
      <c r="H24" s="1508">
        <v>4</v>
      </c>
      <c r="I24" s="1508">
        <v>1.83</v>
      </c>
      <c r="J24" s="1508">
        <v>1.68</v>
      </c>
      <c r="K24" s="1508">
        <v>1.97</v>
      </c>
      <c r="L24" s="1509">
        <v>0.87</v>
      </c>
      <c r="N24" s="1486">
        <f t="shared" si="56"/>
        <v>1.83E-2</v>
      </c>
      <c r="O24" s="1487">
        <f t="shared" si="51"/>
        <v>1.6799999999999999E-2</v>
      </c>
      <c r="P24" s="1487">
        <f t="shared" si="51"/>
        <v>1.9699999999999999E-2</v>
      </c>
      <c r="Q24" s="1487">
        <f t="shared" si="51"/>
        <v>8.6999999999999994E-3</v>
      </c>
      <c r="R24" s="1476"/>
      <c r="S24" s="1477"/>
      <c r="T24" s="1478"/>
      <c r="U24" s="1478"/>
      <c r="V24" s="1478"/>
      <c r="X24" s="1478"/>
      <c r="Y24" s="1478"/>
      <c r="Z24" s="1478"/>
    </row>
    <row r="25" spans="1:34">
      <c r="A25" s="1463" t="s">
        <v>1164</v>
      </c>
      <c r="B25" s="1479">
        <f t="shared" ref="B25:C27" si="63">B24/(1+N24)</f>
        <v>293.62663262299913</v>
      </c>
      <c r="C25" s="1479">
        <f t="shared" si="63"/>
        <v>247.83634933123525</v>
      </c>
      <c r="D25" s="1479">
        <f t="shared" si="54"/>
        <v>247.83634933123525</v>
      </c>
      <c r="E25" s="1479">
        <f t="shared" ref="E25:F27" si="64">E24/(1+P24)</f>
        <v>401.09836226341076</v>
      </c>
      <c r="F25" s="1479">
        <f t="shared" si="64"/>
        <v>225.04213343908003</v>
      </c>
      <c r="G25" s="3314"/>
      <c r="H25" s="1489">
        <v>3</v>
      </c>
      <c r="I25" s="1489">
        <v>1.86</v>
      </c>
      <c r="J25" s="1489">
        <v>1.72</v>
      </c>
      <c r="K25" s="1489">
        <v>1.98</v>
      </c>
      <c r="L25" s="1490">
        <v>0.88</v>
      </c>
      <c r="N25" s="1474">
        <f t="shared" si="56"/>
        <v>1.8600000000000002E-2</v>
      </c>
      <c r="O25" s="1491">
        <f t="shared" si="51"/>
        <v>1.72E-2</v>
      </c>
      <c r="P25" s="1491">
        <f t="shared" si="51"/>
        <v>1.9799999999999998E-2</v>
      </c>
      <c r="Q25" s="1491">
        <f t="shared" si="51"/>
        <v>8.8000000000000005E-3</v>
      </c>
      <c r="R25" s="1476"/>
      <c r="S25" s="1474"/>
      <c r="T25" s="1475"/>
      <c r="U25" s="1475"/>
      <c r="V25" s="1475"/>
    </row>
    <row r="26" spans="1:34">
      <c r="A26" s="1463" t="s">
        <v>1165</v>
      </c>
      <c r="B26" s="1479">
        <f t="shared" si="63"/>
        <v>288.2649053828776</v>
      </c>
      <c r="C26" s="1479">
        <f t="shared" si="63"/>
        <v>243.64564425013293</v>
      </c>
      <c r="D26" s="1479">
        <f t="shared" si="54"/>
        <v>243.64564425013293</v>
      </c>
      <c r="E26" s="1479">
        <f t="shared" si="64"/>
        <v>393.31080825986544</v>
      </c>
      <c r="F26" s="1479">
        <f t="shared" si="64"/>
        <v>223.07903790551154</v>
      </c>
      <c r="G26" s="3314"/>
      <c r="H26" s="1467">
        <v>2</v>
      </c>
      <c r="I26" s="1467">
        <v>2.04</v>
      </c>
      <c r="J26" s="1467">
        <v>2.33</v>
      </c>
      <c r="K26" s="1467">
        <v>2.0699999999999998</v>
      </c>
      <c r="L26" s="1481">
        <v>0.69</v>
      </c>
      <c r="N26" s="1474">
        <f t="shared" si="56"/>
        <v>2.0400000000000001E-2</v>
      </c>
      <c r="O26" s="1491">
        <f t="shared" si="51"/>
        <v>2.3300000000000001E-2</v>
      </c>
      <c r="P26" s="1491">
        <f t="shared" si="51"/>
        <v>2.07E-2</v>
      </c>
      <c r="Q26" s="1491">
        <f t="shared" si="51"/>
        <v>6.8999999999999999E-3</v>
      </c>
      <c r="R26" s="1476"/>
      <c r="S26" s="1474"/>
      <c r="T26" s="1475"/>
      <c r="U26" s="1475"/>
      <c r="V26" s="1475"/>
      <c r="X26" s="1510"/>
      <c r="Y26" s="1511"/>
    </row>
    <row r="27" spans="1:34">
      <c r="A27" s="1463" t="s">
        <v>1166</v>
      </c>
      <c r="B27" s="1479">
        <f t="shared" si="63"/>
        <v>282.50186729015837</v>
      </c>
      <c r="C27" s="1479">
        <f t="shared" si="63"/>
        <v>238.09796174155468</v>
      </c>
      <c r="D27" s="1479">
        <f t="shared" si="54"/>
        <v>238.09796174155468</v>
      </c>
      <c r="E27" s="1479">
        <f t="shared" si="64"/>
        <v>385.33438646014054</v>
      </c>
      <c r="F27" s="1479">
        <f t="shared" si="64"/>
        <v>221.55034055567739</v>
      </c>
      <c r="G27" s="3315"/>
      <c r="H27" s="1466">
        <v>1</v>
      </c>
      <c r="I27" s="1466">
        <v>1.67</v>
      </c>
      <c r="J27" s="1466">
        <v>1.31</v>
      </c>
      <c r="K27" s="1466">
        <v>1.85</v>
      </c>
      <c r="L27" s="1480">
        <v>0.96</v>
      </c>
      <c r="N27" s="1482">
        <f t="shared" si="56"/>
        <v>1.67E-2</v>
      </c>
      <c r="O27" s="1483">
        <f t="shared" si="56"/>
        <v>1.3100000000000001E-2</v>
      </c>
      <c r="P27" s="1483">
        <f t="shared" si="56"/>
        <v>1.8500000000000003E-2</v>
      </c>
      <c r="Q27" s="1483">
        <f t="shared" si="56"/>
        <v>9.5999999999999992E-3</v>
      </c>
      <c r="R27" s="1476"/>
      <c r="S27" s="1482">
        <f>B27/B28-1</f>
        <v>1.6193767230785472E-2</v>
      </c>
      <c r="T27" s="1483">
        <f>C27/C28-1</f>
        <v>1.7512657015190891E-2</v>
      </c>
      <c r="U27" s="1483">
        <f>E27/E28-1</f>
        <v>1.6713420739157048E-2</v>
      </c>
      <c r="V27" s="1483">
        <f>F27/F28-1</f>
        <v>7.0470025258062563E-3</v>
      </c>
      <c r="X27" s="1512"/>
      <c r="Y27" s="1462"/>
      <c r="Z27" s="1462"/>
    </row>
    <row r="28" spans="1:34" ht="13.5" thickBot="1">
      <c r="A28" s="1463" t="s">
        <v>1167</v>
      </c>
      <c r="B28" s="1513">
        <v>278</v>
      </c>
      <c r="C28" s="1513">
        <v>234</v>
      </c>
      <c r="D28" s="1513">
        <f t="shared" si="54"/>
        <v>234</v>
      </c>
      <c r="E28" s="1513">
        <v>379</v>
      </c>
      <c r="F28" s="1514">
        <v>220</v>
      </c>
      <c r="G28" s="3308">
        <v>2012</v>
      </c>
      <c r="H28" s="1484">
        <v>4</v>
      </c>
      <c r="I28" s="1484">
        <v>0.91</v>
      </c>
      <c r="J28" s="1484">
        <v>0.68</v>
      </c>
      <c r="K28" s="1484">
        <v>0.98</v>
      </c>
      <c r="L28" s="1485">
        <v>0.9</v>
      </c>
      <c r="N28" s="1474">
        <f t="shared" si="56"/>
        <v>9.1000000000000004E-3</v>
      </c>
      <c r="O28" s="1475">
        <f t="shared" si="56"/>
        <v>6.8000000000000005E-3</v>
      </c>
      <c r="P28" s="1475">
        <f t="shared" si="56"/>
        <v>9.7999999999999997E-3</v>
      </c>
      <c r="Q28" s="1475">
        <f t="shared" si="56"/>
        <v>9.0000000000000011E-3</v>
      </c>
      <c r="R28" s="1476"/>
      <c r="S28" s="1477"/>
      <c r="T28" s="1478"/>
      <c r="U28" s="1478"/>
      <c r="V28" s="1478"/>
      <c r="X28" s="1478"/>
      <c r="Y28" s="1478"/>
      <c r="Z28" s="1478"/>
    </row>
    <row r="29" spans="1:34">
      <c r="A29" s="1463" t="s">
        <v>1168</v>
      </c>
      <c r="B29" s="1479">
        <f>B28/(1+N28)</f>
        <v>275.49301357645425</v>
      </c>
      <c r="C29" s="1479">
        <f>C28/(1+O28)</f>
        <v>232.41954707985698</v>
      </c>
      <c r="D29" s="1479">
        <f t="shared" si="54"/>
        <v>232.41954707985698</v>
      </c>
      <c r="E29" s="1479">
        <f t="shared" ref="E29:F31" si="65">E28/(1+P28)</f>
        <v>375.32184591008121</v>
      </c>
      <c r="F29" s="1479">
        <f t="shared" si="65"/>
        <v>218.03766105054513</v>
      </c>
      <c r="G29" s="3309"/>
      <c r="H29" s="1489">
        <v>3</v>
      </c>
      <c r="I29" s="1489">
        <v>0.09</v>
      </c>
      <c r="J29" s="1489">
        <v>0.28999999999999998</v>
      </c>
      <c r="K29" s="1489">
        <v>-0.01</v>
      </c>
      <c r="L29" s="1490">
        <v>0.57999999999999996</v>
      </c>
      <c r="N29" s="1474">
        <f t="shared" si="56"/>
        <v>8.9999999999999998E-4</v>
      </c>
      <c r="O29" s="1475">
        <f t="shared" si="56"/>
        <v>2.8999999999999998E-3</v>
      </c>
      <c r="P29" s="1475">
        <f t="shared" si="56"/>
        <v>-1E-4</v>
      </c>
      <c r="Q29" s="1475">
        <f t="shared" si="56"/>
        <v>5.7999999999999996E-3</v>
      </c>
      <c r="R29" s="1476"/>
      <c r="S29" s="1474"/>
      <c r="T29" s="1475"/>
      <c r="U29" s="1475"/>
      <c r="V29" s="1475"/>
    </row>
    <row r="30" spans="1:34">
      <c r="A30" s="1463" t="s">
        <v>1169</v>
      </c>
      <c r="B30" s="1479">
        <f>B29/(1+N29)</f>
        <v>275.24529281292263</v>
      </c>
      <c r="C30" s="1479">
        <f>C29/(1+O29)</f>
        <v>231.74747938962707</v>
      </c>
      <c r="D30" s="1479">
        <f t="shared" si="54"/>
        <v>231.74747938962707</v>
      </c>
      <c r="E30" s="1479">
        <f t="shared" si="65"/>
        <v>375.35938184826603</v>
      </c>
      <c r="F30" s="1479">
        <f t="shared" si="65"/>
        <v>216.78033510692495</v>
      </c>
      <c r="G30" s="3309"/>
      <c r="H30" s="1467">
        <v>2</v>
      </c>
      <c r="I30" s="1467">
        <v>0.02</v>
      </c>
      <c r="J30" s="1467">
        <v>0.12</v>
      </c>
      <c r="K30" s="1467">
        <v>-0.08</v>
      </c>
      <c r="L30" s="1481">
        <v>1.24</v>
      </c>
      <c r="N30" s="1474">
        <f t="shared" si="56"/>
        <v>2.0000000000000001E-4</v>
      </c>
      <c r="O30" s="1475">
        <f t="shared" si="56"/>
        <v>1.1999999999999999E-3</v>
      </c>
      <c r="P30" s="1475">
        <f t="shared" si="56"/>
        <v>-8.0000000000000004E-4</v>
      </c>
      <c r="Q30" s="1475">
        <f t="shared" si="56"/>
        <v>1.24E-2</v>
      </c>
      <c r="R30" s="1476"/>
      <c r="S30" s="1474"/>
      <c r="T30" s="1475"/>
      <c r="U30" s="1475"/>
      <c r="V30" s="1475"/>
    </row>
    <row r="31" spans="1:34" ht="13.5" thickBot="1">
      <c r="A31" s="1463" t="s">
        <v>1170</v>
      </c>
      <c r="B31" s="1479">
        <f>B30/(1+N30)</f>
        <v>275.19025476197027</v>
      </c>
      <c r="C31" s="1515">
        <v>232</v>
      </c>
      <c r="D31" s="1515">
        <f t="shared" si="54"/>
        <v>232</v>
      </c>
      <c r="E31" s="1479">
        <f t="shared" si="65"/>
        <v>375.65990977608692</v>
      </c>
      <c r="F31" s="1479">
        <f t="shared" si="65"/>
        <v>214.12518283971252</v>
      </c>
      <c r="G31" s="3310"/>
      <c r="H31" s="1466">
        <v>1</v>
      </c>
      <c r="I31" s="1466">
        <v>0.02</v>
      </c>
      <c r="J31" s="1466">
        <v>0.13</v>
      </c>
      <c r="K31" s="1466">
        <v>-0.04</v>
      </c>
      <c r="L31" s="1480">
        <v>0.46</v>
      </c>
      <c r="N31" s="1474">
        <f t="shared" si="56"/>
        <v>2.0000000000000001E-4</v>
      </c>
      <c r="O31" s="1475">
        <f t="shared" si="56"/>
        <v>1.2999999999999999E-3</v>
      </c>
      <c r="P31" s="1475">
        <f t="shared" si="56"/>
        <v>-4.0000000000000002E-4</v>
      </c>
      <c r="Q31" s="1475">
        <f t="shared" si="56"/>
        <v>4.5999999999999999E-3</v>
      </c>
      <c r="R31" s="1476"/>
      <c r="S31" s="1482">
        <f>B31/B32-1</f>
        <v>6.9183549807361189E-4</v>
      </c>
      <c r="T31" s="1483">
        <f>C31/C32-1</f>
        <v>0</v>
      </c>
      <c r="U31" s="1483">
        <f>E31/E32-1</f>
        <v>-9.0449527636460303E-4</v>
      </c>
      <c r="V31" s="1483">
        <f>F31/F32-1</f>
        <v>5.2825485432512753E-3</v>
      </c>
      <c r="X31" s="1462"/>
      <c r="Y31" s="1462"/>
      <c r="Z31" s="1462"/>
    </row>
    <row r="32" spans="1:34" ht="13.5" thickBot="1">
      <c r="A32" s="1463" t="s">
        <v>1171</v>
      </c>
      <c r="B32" s="1471">
        <v>275</v>
      </c>
      <c r="C32" s="1471">
        <v>232</v>
      </c>
      <c r="D32" s="1471">
        <f t="shared" si="54"/>
        <v>232</v>
      </c>
      <c r="E32" s="1471">
        <v>376</v>
      </c>
      <c r="F32" s="1472">
        <v>213</v>
      </c>
      <c r="G32" s="3308">
        <v>2011</v>
      </c>
      <c r="H32" s="1484">
        <v>4</v>
      </c>
      <c r="I32" s="1484">
        <v>-0.2</v>
      </c>
      <c r="J32" s="1484">
        <v>0.04</v>
      </c>
      <c r="K32" s="1484">
        <v>-0.34</v>
      </c>
      <c r="L32" s="1485">
        <v>0.46</v>
      </c>
      <c r="N32" s="1486">
        <f t="shared" si="56"/>
        <v>-2E-3</v>
      </c>
      <c r="O32" s="1487">
        <f t="shared" si="56"/>
        <v>4.0000000000000002E-4</v>
      </c>
      <c r="P32" s="1487">
        <f t="shared" si="56"/>
        <v>-3.4000000000000002E-3</v>
      </c>
      <c r="Q32" s="1487">
        <f t="shared" si="56"/>
        <v>4.5999999999999999E-3</v>
      </c>
      <c r="R32" s="1476"/>
      <c r="S32" s="1477"/>
      <c r="T32" s="1478"/>
      <c r="U32" s="1478"/>
      <c r="V32" s="1478"/>
      <c r="X32" s="1478"/>
      <c r="Y32" s="1478"/>
      <c r="Z32" s="1478"/>
    </row>
    <row r="33" spans="1:26">
      <c r="A33" s="1463" t="s">
        <v>1172</v>
      </c>
      <c r="B33" s="1479">
        <f t="shared" ref="B33:C35" si="66">B32/(1+N32)</f>
        <v>275.55110220440883</v>
      </c>
      <c r="C33" s="1479">
        <f t="shared" si="66"/>
        <v>231.90723710515795</v>
      </c>
      <c r="D33" s="1479">
        <f t="shared" si="54"/>
        <v>231.90723710515795</v>
      </c>
      <c r="E33" s="1479">
        <f t="shared" ref="E33:F35" si="67">E32/(1+P32)</f>
        <v>377.28276138872161</v>
      </c>
      <c r="F33" s="1479">
        <f t="shared" si="67"/>
        <v>212.02468644236512</v>
      </c>
      <c r="G33" s="3309">
        <v>2011</v>
      </c>
      <c r="H33" s="1489">
        <v>3</v>
      </c>
      <c r="I33" s="1489">
        <v>0.13</v>
      </c>
      <c r="J33" s="1489">
        <v>0.75</v>
      </c>
      <c r="K33" s="1489">
        <v>-0.08</v>
      </c>
      <c r="L33" s="1490">
        <v>0.53</v>
      </c>
      <c r="N33" s="1474">
        <f t="shared" si="56"/>
        <v>1.2999999999999999E-3</v>
      </c>
      <c r="O33" s="1491">
        <f t="shared" si="56"/>
        <v>7.4999999999999997E-3</v>
      </c>
      <c r="P33" s="1491">
        <f t="shared" si="56"/>
        <v>-8.0000000000000004E-4</v>
      </c>
      <c r="Q33" s="1491">
        <f t="shared" si="56"/>
        <v>5.3E-3</v>
      </c>
      <c r="R33" s="1476"/>
      <c r="S33" s="1474"/>
      <c r="T33" s="1475"/>
      <c r="U33" s="1475"/>
      <c r="V33" s="1475"/>
    </row>
    <row r="34" spans="1:26">
      <c r="A34" s="1463" t="s">
        <v>1173</v>
      </c>
      <c r="B34" s="1479">
        <f t="shared" si="66"/>
        <v>275.19335084830601</v>
      </c>
      <c r="C34" s="1479">
        <f t="shared" si="66"/>
        <v>230.18088050139744</v>
      </c>
      <c r="D34" s="1479">
        <f t="shared" si="54"/>
        <v>230.18088050139744</v>
      </c>
      <c r="E34" s="1479">
        <f t="shared" si="67"/>
        <v>377.58482925212331</v>
      </c>
      <c r="F34" s="1479">
        <f t="shared" si="67"/>
        <v>210.90687997847917</v>
      </c>
      <c r="G34" s="3309">
        <v>2011</v>
      </c>
      <c r="H34" s="1467">
        <v>2</v>
      </c>
      <c r="I34" s="1467">
        <v>-0.4</v>
      </c>
      <c r="J34" s="1467">
        <v>0.17</v>
      </c>
      <c r="K34" s="1467">
        <v>-0.57999999999999996</v>
      </c>
      <c r="L34" s="1481">
        <v>-0.2</v>
      </c>
      <c r="N34" s="1474">
        <f t="shared" si="56"/>
        <v>-4.0000000000000001E-3</v>
      </c>
      <c r="O34" s="1491">
        <f t="shared" si="56"/>
        <v>1.7000000000000001E-3</v>
      </c>
      <c r="P34" s="1491">
        <f t="shared" si="56"/>
        <v>-5.7999999999999996E-3</v>
      </c>
      <c r="Q34" s="1491">
        <f t="shared" si="56"/>
        <v>-2E-3</v>
      </c>
      <c r="R34" s="1476"/>
      <c r="S34" s="1474"/>
      <c r="T34" s="1475"/>
      <c r="U34" s="1475"/>
      <c r="V34" s="1475"/>
    </row>
    <row r="35" spans="1:26" ht="13.5" thickBot="1">
      <c r="A35" s="1463" t="s">
        <v>1174</v>
      </c>
      <c r="B35" s="1479">
        <f t="shared" si="66"/>
        <v>276.29854502841971</v>
      </c>
      <c r="C35" s="1479">
        <f t="shared" si="66"/>
        <v>229.79023709833027</v>
      </c>
      <c r="D35" s="1479">
        <f t="shared" si="54"/>
        <v>229.79023709833027</v>
      </c>
      <c r="E35" s="1479">
        <f t="shared" si="67"/>
        <v>379.78759731655936</v>
      </c>
      <c r="F35" s="1479">
        <f t="shared" si="67"/>
        <v>211.32953905659235</v>
      </c>
      <c r="G35" s="3310">
        <v>2011</v>
      </c>
      <c r="H35" s="1466">
        <v>1</v>
      </c>
      <c r="I35" s="1466">
        <v>2.65</v>
      </c>
      <c r="J35" s="1466">
        <v>3.76</v>
      </c>
      <c r="K35" s="1466">
        <v>1.89</v>
      </c>
      <c r="L35" s="1480">
        <v>7.95</v>
      </c>
      <c r="N35" s="1482">
        <f t="shared" si="56"/>
        <v>2.6499999999999999E-2</v>
      </c>
      <c r="O35" s="1483">
        <f t="shared" si="56"/>
        <v>3.7599999999999995E-2</v>
      </c>
      <c r="P35" s="1483">
        <f t="shared" si="56"/>
        <v>1.89E-2</v>
      </c>
      <c r="Q35" s="1483">
        <f t="shared" si="56"/>
        <v>7.9500000000000001E-2</v>
      </c>
      <c r="R35" s="1476"/>
      <c r="S35" s="1482">
        <f>B35/B36-1</f>
        <v>2.713213765211786E-2</v>
      </c>
      <c r="T35" s="1483">
        <f>C35/C36-1</f>
        <v>3.9774828499231862E-2</v>
      </c>
      <c r="U35" s="1483">
        <f>E35/E36-1</f>
        <v>1.8197311840641772E-2</v>
      </c>
      <c r="V35" s="1483">
        <f>F35/F36-1</f>
        <v>7.8211933962205826E-2</v>
      </c>
      <c r="X35" s="1462"/>
      <c r="Y35" s="1462"/>
      <c r="Z35" s="1462"/>
    </row>
    <row r="36" spans="1:26" ht="13.5" thickBot="1">
      <c r="A36" s="1463" t="s">
        <v>1175</v>
      </c>
      <c r="B36" s="1471">
        <v>269</v>
      </c>
      <c r="C36" s="1471">
        <v>221</v>
      </c>
      <c r="D36" s="1471">
        <f t="shared" si="54"/>
        <v>221</v>
      </c>
      <c r="E36" s="1471">
        <v>373</v>
      </c>
      <c r="F36" s="1472">
        <v>196</v>
      </c>
      <c r="G36" s="3308">
        <v>2010</v>
      </c>
      <c r="H36" s="1484">
        <v>4</v>
      </c>
      <c r="I36" s="1484">
        <v>5.72</v>
      </c>
      <c r="J36" s="1484">
        <v>6.57</v>
      </c>
      <c r="K36" s="1484">
        <v>5.72</v>
      </c>
      <c r="L36" s="1485">
        <v>2.72</v>
      </c>
      <c r="N36" s="1474">
        <f t="shared" si="56"/>
        <v>5.7200000000000001E-2</v>
      </c>
      <c r="O36" s="1475">
        <f t="shared" si="56"/>
        <v>6.5700000000000008E-2</v>
      </c>
      <c r="P36" s="1475">
        <f t="shared" si="56"/>
        <v>5.7200000000000001E-2</v>
      </c>
      <c r="Q36" s="1475">
        <f t="shared" si="56"/>
        <v>2.7200000000000002E-2</v>
      </c>
      <c r="R36" s="1476"/>
      <c r="S36" s="1477"/>
      <c r="T36" s="1478"/>
      <c r="U36" s="1478"/>
      <c r="V36" s="1478"/>
      <c r="X36" s="1478"/>
      <c r="Y36" s="1478"/>
      <c r="Z36" s="1478"/>
    </row>
    <row r="37" spans="1:26">
      <c r="A37" s="1463" t="s">
        <v>1176</v>
      </c>
      <c r="B37" s="1479">
        <f t="shared" ref="B37:C39" si="68">B36/(1+N36)</f>
        <v>254.44570563753314</v>
      </c>
      <c r="C37" s="1479">
        <f t="shared" si="68"/>
        <v>207.37543398705074</v>
      </c>
      <c r="D37" s="1479">
        <f t="shared" si="54"/>
        <v>207.37543398705074</v>
      </c>
      <c r="E37" s="1479">
        <f t="shared" ref="E37:F39" si="69">E36/(1+P36)</f>
        <v>352.81876655315932</v>
      </c>
      <c r="F37" s="1479">
        <f t="shared" si="69"/>
        <v>190.809968847352</v>
      </c>
      <c r="G37" s="3309">
        <v>2010</v>
      </c>
      <c r="H37" s="1489">
        <v>3</v>
      </c>
      <c r="I37" s="1489">
        <v>4.7300000000000004</v>
      </c>
      <c r="J37" s="1489">
        <v>3.9</v>
      </c>
      <c r="K37" s="1489">
        <v>5.03</v>
      </c>
      <c r="L37" s="1490">
        <v>4.21</v>
      </c>
      <c r="N37" s="1474">
        <f t="shared" si="56"/>
        <v>4.7300000000000002E-2</v>
      </c>
      <c r="O37" s="1475">
        <f t="shared" si="56"/>
        <v>3.9E-2</v>
      </c>
      <c r="P37" s="1475">
        <f t="shared" si="56"/>
        <v>5.0300000000000004E-2</v>
      </c>
      <c r="Q37" s="1475">
        <f t="shared" si="56"/>
        <v>4.2099999999999999E-2</v>
      </c>
      <c r="R37" s="1476"/>
      <c r="S37" s="1474"/>
      <c r="T37" s="1475"/>
      <c r="U37" s="1475"/>
      <c r="V37" s="1475"/>
    </row>
    <row r="38" spans="1:26">
      <c r="A38" s="1463" t="s">
        <v>1177</v>
      </c>
      <c r="B38" s="1479">
        <f t="shared" si="68"/>
        <v>242.95398227588385</v>
      </c>
      <c r="C38" s="1479">
        <f t="shared" si="68"/>
        <v>199.59137053614126</v>
      </c>
      <c r="D38" s="1479">
        <f t="shared" si="54"/>
        <v>199.59137053614126</v>
      </c>
      <c r="E38" s="1479">
        <f t="shared" si="69"/>
        <v>335.92189522342125</v>
      </c>
      <c r="F38" s="1479">
        <f t="shared" si="69"/>
        <v>183.10139991109489</v>
      </c>
      <c r="G38" s="3309">
        <v>2010</v>
      </c>
      <c r="H38" s="1467">
        <v>2</v>
      </c>
      <c r="I38" s="1467">
        <v>4.6900000000000004</v>
      </c>
      <c r="J38" s="1467">
        <v>3.55</v>
      </c>
      <c r="K38" s="1467">
        <v>5.07</v>
      </c>
      <c r="L38" s="1481">
        <v>4.2300000000000004</v>
      </c>
      <c r="N38" s="1474">
        <f t="shared" si="56"/>
        <v>4.6900000000000004E-2</v>
      </c>
      <c r="O38" s="1475">
        <f t="shared" si="56"/>
        <v>3.5499999999999997E-2</v>
      </c>
      <c r="P38" s="1475">
        <f t="shared" si="56"/>
        <v>5.0700000000000002E-2</v>
      </c>
      <c r="Q38" s="1475">
        <f t="shared" si="56"/>
        <v>4.2300000000000004E-2</v>
      </c>
      <c r="R38" s="1476"/>
      <c r="S38" s="1474"/>
      <c r="T38" s="1475"/>
      <c r="U38" s="1475"/>
      <c r="V38" s="1475"/>
    </row>
    <row r="39" spans="1:26" ht="13.5" thickBot="1">
      <c r="A39" s="1463" t="s">
        <v>1178</v>
      </c>
      <c r="B39" s="1479">
        <f t="shared" si="68"/>
        <v>232.06990378821649</v>
      </c>
      <c r="C39" s="1479">
        <f t="shared" si="68"/>
        <v>192.74878854286936</v>
      </c>
      <c r="D39" s="1479">
        <f t="shared" si="54"/>
        <v>192.74878854286936</v>
      </c>
      <c r="E39" s="1479">
        <f t="shared" si="69"/>
        <v>319.71247284992984</v>
      </c>
      <c r="F39" s="1479">
        <f t="shared" si="69"/>
        <v>175.67053622862409</v>
      </c>
      <c r="G39" s="3310">
        <v>2010</v>
      </c>
      <c r="H39" s="1466">
        <v>1</v>
      </c>
      <c r="I39" s="1466">
        <v>5.4</v>
      </c>
      <c r="J39" s="1466">
        <v>3.2</v>
      </c>
      <c r="K39" s="1466">
        <v>6.16</v>
      </c>
      <c r="L39" s="1480">
        <v>4.51</v>
      </c>
      <c r="N39" s="1474">
        <f t="shared" si="56"/>
        <v>5.4000000000000006E-2</v>
      </c>
      <c r="O39" s="1475">
        <f t="shared" si="56"/>
        <v>3.2000000000000001E-2</v>
      </c>
      <c r="P39" s="1475">
        <f t="shared" si="56"/>
        <v>6.1600000000000002E-2</v>
      </c>
      <c r="Q39" s="1475">
        <f t="shared" si="56"/>
        <v>4.5100000000000001E-2</v>
      </c>
      <c r="R39" s="1476"/>
      <c r="S39" s="1482">
        <f>B39/B40-1</f>
        <v>5.4863199037347599E-2</v>
      </c>
      <c r="T39" s="1483">
        <f>C39/C40-1</f>
        <v>3.0742184721226584E-2</v>
      </c>
      <c r="U39" s="1483">
        <f>E39/E40-1</f>
        <v>6.2167683886810154E-2</v>
      </c>
      <c r="V39" s="1483">
        <f>F39/F40-1</f>
        <v>4.5657953741810031E-2</v>
      </c>
      <c r="X39" s="1462"/>
      <c r="Y39" s="1462"/>
      <c r="Z39" s="1462"/>
    </row>
    <row r="40" spans="1:26" ht="13.5" thickBot="1">
      <c r="A40" s="1463" t="s">
        <v>1179</v>
      </c>
      <c r="B40" s="1471">
        <v>220</v>
      </c>
      <c r="C40" s="1471">
        <v>187</v>
      </c>
      <c r="D40" s="1471">
        <f t="shared" si="54"/>
        <v>187</v>
      </c>
      <c r="E40" s="1471">
        <v>301</v>
      </c>
      <c r="F40" s="1472">
        <v>168</v>
      </c>
      <c r="G40" s="3308">
        <v>2009</v>
      </c>
      <c r="H40" s="1484">
        <v>4</v>
      </c>
      <c r="I40" s="1484">
        <v>2.2999999999999998</v>
      </c>
      <c r="J40" s="1484">
        <v>1.04</v>
      </c>
      <c r="K40" s="1484">
        <v>2.84</v>
      </c>
      <c r="L40" s="1485">
        <v>0.67</v>
      </c>
      <c r="N40" s="1486">
        <f t="shared" si="56"/>
        <v>2.3E-2</v>
      </c>
      <c r="O40" s="1487">
        <f t="shared" si="56"/>
        <v>1.04E-2</v>
      </c>
      <c r="P40" s="1487">
        <f t="shared" si="56"/>
        <v>2.8399999999999998E-2</v>
      </c>
      <c r="Q40" s="1487">
        <f t="shared" si="56"/>
        <v>6.7000000000000002E-3</v>
      </c>
      <c r="R40" s="1476"/>
      <c r="S40" s="1477"/>
      <c r="T40" s="1478"/>
      <c r="U40" s="1478"/>
      <c r="V40" s="1478"/>
      <c r="X40" s="1478"/>
      <c r="Y40" s="1478"/>
      <c r="Z40" s="1478"/>
    </row>
    <row r="41" spans="1:26">
      <c r="A41" s="1463" t="s">
        <v>1180</v>
      </c>
      <c r="B41" s="1479">
        <f t="shared" ref="B41:C43" si="70">B40/(1+N40)</f>
        <v>215.05376344086022</v>
      </c>
      <c r="C41" s="1479">
        <f t="shared" si="70"/>
        <v>185.0752177355503</v>
      </c>
      <c r="D41" s="1479">
        <f t="shared" si="54"/>
        <v>185.0752177355503</v>
      </c>
      <c r="E41" s="1479">
        <f t="shared" ref="E41:F43" si="71">E40/(1+P40)</f>
        <v>292.68767016725008</v>
      </c>
      <c r="F41" s="1479">
        <f t="shared" si="71"/>
        <v>166.88189132810174</v>
      </c>
      <c r="G41" s="3309">
        <v>2009</v>
      </c>
      <c r="H41" s="1489">
        <v>3</v>
      </c>
      <c r="I41" s="1489">
        <v>2.1</v>
      </c>
      <c r="J41" s="1489">
        <v>1.86</v>
      </c>
      <c r="K41" s="1489">
        <v>2.29</v>
      </c>
      <c r="L41" s="1490">
        <v>0.85</v>
      </c>
      <c r="N41" s="1474">
        <f t="shared" si="56"/>
        <v>2.1000000000000001E-2</v>
      </c>
      <c r="O41" s="1491">
        <f t="shared" si="56"/>
        <v>1.8600000000000002E-2</v>
      </c>
      <c r="P41" s="1491">
        <f t="shared" si="56"/>
        <v>2.29E-2</v>
      </c>
      <c r="Q41" s="1491">
        <f t="shared" si="56"/>
        <v>8.5000000000000006E-3</v>
      </c>
      <c r="R41" s="1476"/>
      <c r="S41" s="1474"/>
      <c r="T41" s="1475"/>
      <c r="U41" s="1475"/>
      <c r="V41" s="1475"/>
    </row>
    <row r="42" spans="1:26">
      <c r="A42" s="1463" t="s">
        <v>1181</v>
      </c>
      <c r="B42" s="1479">
        <f t="shared" si="70"/>
        <v>210.630522469011</v>
      </c>
      <c r="C42" s="1479">
        <f t="shared" si="70"/>
        <v>181.69567812247232</v>
      </c>
      <c r="D42" s="1479">
        <f t="shared" si="54"/>
        <v>181.69567812247232</v>
      </c>
      <c r="E42" s="1479">
        <f t="shared" si="71"/>
        <v>286.13517466736738</v>
      </c>
      <c r="F42" s="1479">
        <f t="shared" si="71"/>
        <v>165.47535084591149</v>
      </c>
      <c r="G42" s="3309">
        <v>2009</v>
      </c>
      <c r="H42" s="1467">
        <v>2</v>
      </c>
      <c r="I42" s="1467">
        <v>0.86</v>
      </c>
      <c r="J42" s="1467">
        <v>-1.1299999999999999</v>
      </c>
      <c r="K42" s="1467">
        <v>1.79</v>
      </c>
      <c r="L42" s="1481">
        <v>-2.0699999999999998</v>
      </c>
      <c r="N42" s="1474">
        <f t="shared" si="56"/>
        <v>8.6E-3</v>
      </c>
      <c r="O42" s="1491">
        <f t="shared" si="56"/>
        <v>-1.1299999999999999E-2</v>
      </c>
      <c r="P42" s="1491">
        <f t="shared" si="56"/>
        <v>1.7899999999999999E-2</v>
      </c>
      <c r="Q42" s="1491">
        <f t="shared" si="56"/>
        <v>-2.07E-2</v>
      </c>
      <c r="R42" s="1476"/>
      <c r="S42" s="1474"/>
      <c r="T42" s="1475"/>
      <c r="U42" s="1475"/>
      <c r="V42" s="1475"/>
    </row>
    <row r="43" spans="1:26">
      <c r="A43" s="1463" t="s">
        <v>1182</v>
      </c>
      <c r="B43" s="1479">
        <f t="shared" si="70"/>
        <v>208.83454537875372</v>
      </c>
      <c r="C43" s="1479">
        <f t="shared" si="70"/>
        <v>183.77230517090351</v>
      </c>
      <c r="D43" s="1479">
        <f t="shared" si="54"/>
        <v>183.77230517090351</v>
      </c>
      <c r="E43" s="1479">
        <f t="shared" si="71"/>
        <v>281.10342338870947</v>
      </c>
      <c r="F43" s="1479">
        <f t="shared" si="71"/>
        <v>168.97309388942256</v>
      </c>
      <c r="G43" s="3310">
        <v>2009</v>
      </c>
      <c r="H43" s="1466">
        <v>1</v>
      </c>
      <c r="I43" s="1466">
        <v>-2.64</v>
      </c>
      <c r="J43" s="1466">
        <v>-2.5299999999999998</v>
      </c>
      <c r="K43" s="1466">
        <v>-3.02</v>
      </c>
      <c r="L43" s="1480">
        <v>1.52</v>
      </c>
      <c r="N43" s="1482">
        <f t="shared" si="56"/>
        <v>-2.64E-2</v>
      </c>
      <c r="O43" s="1483">
        <f t="shared" si="56"/>
        <v>-2.53E-2</v>
      </c>
      <c r="P43" s="1483">
        <f t="shared" si="56"/>
        <v>-3.0200000000000001E-2</v>
      </c>
      <c r="Q43" s="1483">
        <f t="shared" si="56"/>
        <v>1.52E-2</v>
      </c>
      <c r="R43" s="1476"/>
      <c r="S43" s="1482">
        <f>B43/B44-1</f>
        <v>-2.4137638417038754E-2</v>
      </c>
      <c r="T43" s="1483">
        <f>C43/C44-1</f>
        <v>-2.248773845264096E-2</v>
      </c>
      <c r="U43" s="1483">
        <f>E43/E44-1</f>
        <v>-2.7323794502735366E-2</v>
      </c>
      <c r="V43" s="1483">
        <f>F43/F44-1</f>
        <v>1.7910204153148035E-2</v>
      </c>
      <c r="X43" s="1462"/>
      <c r="Y43" s="1462"/>
      <c r="Z43" s="1462"/>
    </row>
    <row r="44" spans="1:26" ht="13.5" thickBot="1">
      <c r="A44" s="1463" t="s">
        <v>1183</v>
      </c>
      <c r="B44" s="1513">
        <v>214</v>
      </c>
      <c r="C44" s="1513">
        <v>188</v>
      </c>
      <c r="D44" s="1513">
        <f t="shared" si="54"/>
        <v>188</v>
      </c>
      <c r="E44" s="1513">
        <v>289</v>
      </c>
      <c r="F44" s="1514">
        <v>166</v>
      </c>
      <c r="G44" s="3308">
        <v>2008</v>
      </c>
      <c r="H44" s="1484">
        <v>4</v>
      </c>
      <c r="I44" s="1484">
        <v>1.73</v>
      </c>
      <c r="J44" s="1484">
        <v>0.03</v>
      </c>
      <c r="K44" s="1484">
        <v>2.59</v>
      </c>
      <c r="L44" s="1485">
        <v>-1.66</v>
      </c>
      <c r="N44" s="1474">
        <f t="shared" si="56"/>
        <v>1.7299999999999999E-2</v>
      </c>
      <c r="O44" s="1475">
        <f t="shared" si="56"/>
        <v>2.9999999999999997E-4</v>
      </c>
      <c r="P44" s="1475">
        <f t="shared" si="56"/>
        <v>2.5899999999999999E-2</v>
      </c>
      <c r="Q44" s="1475">
        <f t="shared" si="56"/>
        <v>-1.66E-2</v>
      </c>
      <c r="R44" s="1476"/>
      <c r="S44" s="1477"/>
      <c r="T44" s="1478"/>
      <c r="U44" s="1478"/>
      <c r="V44" s="1478"/>
      <c r="X44" s="1478"/>
      <c r="Y44" s="1478"/>
      <c r="Z44" s="1478"/>
    </row>
    <row r="45" spans="1:26">
      <c r="A45" s="1463" t="s">
        <v>1184</v>
      </c>
      <c r="B45" s="1479">
        <f t="shared" ref="B45:C47" si="72">B44/(1+N44)</f>
        <v>210.36075887152265</v>
      </c>
      <c r="C45" s="1479">
        <f t="shared" si="72"/>
        <v>187.94361691492554</v>
      </c>
      <c r="D45" s="1479">
        <f t="shared" si="54"/>
        <v>187.94361691492554</v>
      </c>
      <c r="E45" s="1479">
        <f t="shared" ref="E45:F47" si="73">E44/(1+P44)</f>
        <v>281.70386977288234</v>
      </c>
      <c r="F45" s="1479">
        <f t="shared" si="73"/>
        <v>168.80211511083994</v>
      </c>
      <c r="G45" s="3309">
        <v>2008</v>
      </c>
      <c r="H45" s="1489">
        <v>3</v>
      </c>
      <c r="I45" s="1489">
        <v>1.96</v>
      </c>
      <c r="J45" s="1489">
        <v>2.36</v>
      </c>
      <c r="K45" s="1489">
        <v>1.82</v>
      </c>
      <c r="L45" s="1490">
        <v>2.2200000000000002</v>
      </c>
      <c r="N45" s="1474">
        <f t="shared" si="56"/>
        <v>1.9599999999999999E-2</v>
      </c>
      <c r="O45" s="1475">
        <f t="shared" si="56"/>
        <v>2.3599999999999999E-2</v>
      </c>
      <c r="P45" s="1475">
        <f t="shared" si="56"/>
        <v>1.8200000000000001E-2</v>
      </c>
      <c r="Q45" s="1475">
        <f t="shared" si="56"/>
        <v>2.2200000000000001E-2</v>
      </c>
      <c r="R45" s="1476"/>
      <c r="S45" s="1474"/>
      <c r="T45" s="1475"/>
      <c r="U45" s="1475"/>
      <c r="V45" s="1475"/>
    </row>
    <row r="46" spans="1:26">
      <c r="A46" s="1463" t="s">
        <v>1185</v>
      </c>
      <c r="B46" s="1479">
        <f t="shared" si="72"/>
        <v>206.31694671589116</v>
      </c>
      <c r="C46" s="1479">
        <f t="shared" si="72"/>
        <v>183.61041121036101</v>
      </c>
      <c r="D46" s="1479">
        <f t="shared" si="54"/>
        <v>183.61041121036101</v>
      </c>
      <c r="E46" s="1479">
        <f t="shared" si="73"/>
        <v>276.66850301795557</v>
      </c>
      <c r="F46" s="1479">
        <f t="shared" si="73"/>
        <v>165.1360938278614</v>
      </c>
      <c r="G46" s="3309">
        <v>2008</v>
      </c>
      <c r="H46" s="1467">
        <v>2</v>
      </c>
      <c r="I46" s="1467">
        <v>4.93</v>
      </c>
      <c r="J46" s="1467">
        <v>7.38</v>
      </c>
      <c r="K46" s="1467">
        <v>3.98</v>
      </c>
      <c r="L46" s="1481">
        <v>6.86</v>
      </c>
      <c r="N46" s="1474">
        <f t="shared" si="56"/>
        <v>4.9299999999999997E-2</v>
      </c>
      <c r="O46" s="1475">
        <f t="shared" si="56"/>
        <v>7.3800000000000004E-2</v>
      </c>
      <c r="P46" s="1475">
        <f t="shared" si="56"/>
        <v>3.9800000000000002E-2</v>
      </c>
      <c r="Q46" s="1475">
        <f t="shared" si="56"/>
        <v>6.8600000000000008E-2</v>
      </c>
      <c r="R46" s="1476"/>
      <c r="S46" s="1474"/>
      <c r="T46" s="1475"/>
      <c r="U46" s="1475"/>
      <c r="V46" s="1475"/>
    </row>
    <row r="47" spans="1:26" s="1519" customFormat="1" ht="13.5" thickBot="1">
      <c r="A47" s="1463" t="s">
        <v>1186</v>
      </c>
      <c r="B47" s="1516">
        <f t="shared" si="72"/>
        <v>196.62341248059772</v>
      </c>
      <c r="C47" s="1516">
        <f t="shared" si="72"/>
        <v>170.99125648199012</v>
      </c>
      <c r="D47" s="1516">
        <f t="shared" si="54"/>
        <v>170.99125648199012</v>
      </c>
      <c r="E47" s="1516">
        <f t="shared" si="73"/>
        <v>266.07857570490052</v>
      </c>
      <c r="F47" s="1516">
        <f t="shared" si="73"/>
        <v>154.53499328828505</v>
      </c>
      <c r="G47" s="3310">
        <v>2008</v>
      </c>
      <c r="H47" s="1517">
        <v>1</v>
      </c>
      <c r="I47" s="1517">
        <v>4.1399999999999997</v>
      </c>
      <c r="J47" s="1517">
        <v>3.45</v>
      </c>
      <c r="K47" s="1517">
        <v>4.95</v>
      </c>
      <c r="L47" s="1518">
        <v>4.82</v>
      </c>
      <c r="N47" s="1520">
        <f t="shared" si="56"/>
        <v>4.1399999999999999E-2</v>
      </c>
      <c r="O47" s="1521">
        <f t="shared" si="56"/>
        <v>3.4500000000000003E-2</v>
      </c>
      <c r="P47" s="1521">
        <f t="shared" si="56"/>
        <v>4.9500000000000002E-2</v>
      </c>
      <c r="Q47" s="1521">
        <f t="shared" si="56"/>
        <v>4.82E-2</v>
      </c>
      <c r="R47" s="1522"/>
      <c r="S47" s="1520">
        <f>B47/B48-1</f>
        <v>4.5869215322328349E-2</v>
      </c>
      <c r="T47" s="1521">
        <f>C47/C48-1</f>
        <v>3.6310645345394743E-2</v>
      </c>
      <c r="U47" s="1521">
        <f>E47/E48-1</f>
        <v>4.7553447657088688E-2</v>
      </c>
      <c r="V47" s="1521">
        <f>F47/F48-1</f>
        <v>4.4155360055980086E-2</v>
      </c>
      <c r="X47" s="1523"/>
      <c r="Y47" s="1523"/>
      <c r="Z47" s="1523"/>
    </row>
    <row r="48" spans="1:26" ht="13.5" thickBot="1">
      <c r="A48" s="1463" t="s">
        <v>1187</v>
      </c>
      <c r="B48" s="1471">
        <v>188</v>
      </c>
      <c r="C48" s="1471">
        <v>165</v>
      </c>
      <c r="D48" s="1471">
        <f t="shared" si="54"/>
        <v>165</v>
      </c>
      <c r="E48" s="1471">
        <v>254</v>
      </c>
      <c r="F48" s="1472">
        <v>148</v>
      </c>
      <c r="G48" s="3308">
        <v>2007</v>
      </c>
      <c r="H48" s="1524">
        <v>4</v>
      </c>
      <c r="I48" s="1524">
        <v>5.51</v>
      </c>
      <c r="J48" s="1524">
        <v>4.8899999999999997</v>
      </c>
      <c r="K48" s="1524">
        <v>6.43</v>
      </c>
      <c r="L48" s="1525">
        <v>5.36</v>
      </c>
      <c r="N48" s="1526">
        <f t="shared" ref="N48:O51" si="74">B48/B49-1</f>
        <v>4.1339718365245526E-2</v>
      </c>
      <c r="O48" s="1527">
        <f t="shared" si="74"/>
        <v>4.0324492593776018E-2</v>
      </c>
      <c r="P48" s="1527">
        <f t="shared" ref="P48:Q51" si="75">E48/E49-1</f>
        <v>6.1625555347990968E-2</v>
      </c>
      <c r="Q48" s="1527">
        <f t="shared" si="75"/>
        <v>4.6757569250590603E-2</v>
      </c>
      <c r="R48" s="1476"/>
      <c r="S48" s="1477"/>
      <c r="T48" s="1478"/>
      <c r="U48" s="1478"/>
      <c r="V48" s="1478"/>
      <c r="X48" s="1478"/>
      <c r="Y48" s="1478"/>
      <c r="Z48" s="1478"/>
    </row>
    <row r="49" spans="1:26">
      <c r="A49" s="1463" t="s">
        <v>1188</v>
      </c>
      <c r="B49" s="1479">
        <f t="shared" ref="B49:C51" si="76">B50+(B$48-B$52)*I49/SUM(I$48:I$51)</f>
        <v>180.5366651097618</v>
      </c>
      <c r="C49" s="1479">
        <f t="shared" si="76"/>
        <v>158.60435967302453</v>
      </c>
      <c r="D49" s="1479">
        <f t="shared" si="54"/>
        <v>158.60435967302453</v>
      </c>
      <c r="E49" s="1479">
        <f t="shared" ref="E49:F51" si="77">E50+(E$48-E$52)*K49/SUM(K$48:K$51)</f>
        <v>239.25573260785075</v>
      </c>
      <c r="F49" s="1479">
        <f t="shared" si="77"/>
        <v>141.38899430740037</v>
      </c>
      <c r="G49" s="3309">
        <v>2007</v>
      </c>
      <c r="H49" s="1489">
        <v>3</v>
      </c>
      <c r="I49" s="1489">
        <v>8.65</v>
      </c>
      <c r="J49" s="1489">
        <v>8.06</v>
      </c>
      <c r="K49" s="1489">
        <v>9.94</v>
      </c>
      <c r="L49" s="1490">
        <v>5.8</v>
      </c>
      <c r="N49" s="1526">
        <f t="shared" si="74"/>
        <v>6.940217571740015E-2</v>
      </c>
      <c r="O49" s="1527">
        <f t="shared" si="74"/>
        <v>7.1197482471153428E-2</v>
      </c>
      <c r="P49" s="1527">
        <f t="shared" si="75"/>
        <v>0.10529679922579582</v>
      </c>
      <c r="Q49" s="1527">
        <f t="shared" si="75"/>
        <v>5.3292245059512133E-2</v>
      </c>
      <c r="R49" s="1476"/>
      <c r="S49" s="1474"/>
      <c r="T49" s="1475"/>
      <c r="U49" s="1475"/>
      <c r="V49" s="1475"/>
      <c r="X49" s="1528"/>
      <c r="Y49" s="1528"/>
      <c r="Z49" s="1528"/>
    </row>
    <row r="50" spans="1:26">
      <c r="A50" s="1463" t="s">
        <v>1189</v>
      </c>
      <c r="B50" s="1479">
        <f t="shared" si="76"/>
        <v>168.82017748715555</v>
      </c>
      <c r="C50" s="1479">
        <f t="shared" si="76"/>
        <v>148.06267029972753</v>
      </c>
      <c r="D50" s="1479">
        <f t="shared" si="54"/>
        <v>148.06267029972753</v>
      </c>
      <c r="E50" s="1479">
        <f t="shared" si="77"/>
        <v>216.46288379323747</v>
      </c>
      <c r="F50" s="1479">
        <f t="shared" si="77"/>
        <v>134.23529411764704</v>
      </c>
      <c r="G50" s="3309">
        <v>2007</v>
      </c>
      <c r="H50" s="1467">
        <v>2</v>
      </c>
      <c r="I50" s="1467">
        <v>3.67</v>
      </c>
      <c r="J50" s="1467">
        <v>2.3199999999999998</v>
      </c>
      <c r="K50" s="1467">
        <v>5.0199999999999996</v>
      </c>
      <c r="L50" s="1481">
        <v>6.71</v>
      </c>
      <c r="N50" s="1526">
        <f t="shared" si="74"/>
        <v>3.0339138143848032E-2</v>
      </c>
      <c r="O50" s="1527">
        <f t="shared" si="74"/>
        <v>2.0922341588790472E-2</v>
      </c>
      <c r="P50" s="1527">
        <f t="shared" si="75"/>
        <v>5.6164796592717003E-2</v>
      </c>
      <c r="Q50" s="1527">
        <f t="shared" si="75"/>
        <v>6.5704536723887319E-2</v>
      </c>
      <c r="R50" s="1476"/>
      <c r="S50" s="1474"/>
      <c r="T50" s="1475"/>
      <c r="U50" s="1475"/>
      <c r="V50" s="1475"/>
      <c r="X50" s="1528"/>
      <c r="Y50" s="1528"/>
      <c r="Z50" s="1528"/>
    </row>
    <row r="51" spans="1:26">
      <c r="A51" s="1463" t="s">
        <v>1190</v>
      </c>
      <c r="B51" s="1479">
        <f t="shared" si="76"/>
        <v>163.84913591779542</v>
      </c>
      <c r="C51" s="1479">
        <f t="shared" si="76"/>
        <v>145.0283378746594</v>
      </c>
      <c r="D51" s="1479">
        <f t="shared" si="54"/>
        <v>145.0283378746594</v>
      </c>
      <c r="E51" s="1479">
        <f t="shared" si="77"/>
        <v>204.95180722891567</v>
      </c>
      <c r="F51" s="1479">
        <f t="shared" si="77"/>
        <v>125.95920303605313</v>
      </c>
      <c r="G51" s="3310">
        <v>2007</v>
      </c>
      <c r="H51" s="1466">
        <v>1</v>
      </c>
      <c r="I51" s="1466">
        <v>3.58</v>
      </c>
      <c r="J51" s="1466">
        <v>3.08</v>
      </c>
      <c r="K51" s="1466">
        <v>4.34</v>
      </c>
      <c r="L51" s="1480">
        <v>3.21</v>
      </c>
      <c r="N51" s="1529">
        <f t="shared" si="74"/>
        <v>3.0497710174814063E-2</v>
      </c>
      <c r="O51" s="1530">
        <f t="shared" si="74"/>
        <v>2.8569772160704998E-2</v>
      </c>
      <c r="P51" s="1530">
        <f t="shared" si="75"/>
        <v>5.1034908866234296E-2</v>
      </c>
      <c r="Q51" s="1530">
        <f t="shared" si="75"/>
        <v>3.245248390207478E-2</v>
      </c>
      <c r="R51" s="1476"/>
      <c r="S51" s="1482">
        <f>B51/B52-1</f>
        <v>3.0497710174814063E-2</v>
      </c>
      <c r="T51" s="1483">
        <f>C51/C52-1</f>
        <v>2.8569772160704998E-2</v>
      </c>
      <c r="U51" s="1483">
        <f>E51/E52-1</f>
        <v>5.1034908866234296E-2</v>
      </c>
      <c r="V51" s="1483">
        <f>F51/F52-1</f>
        <v>3.245248390207478E-2</v>
      </c>
      <c r="X51" s="1528"/>
      <c r="Y51" s="1528"/>
      <c r="Z51" s="1528"/>
    </row>
    <row r="52" spans="1:26" ht="13.5" thickBot="1">
      <c r="A52" s="1463" t="s">
        <v>1191</v>
      </c>
      <c r="B52" s="1492">
        <v>159</v>
      </c>
      <c r="C52" s="1492">
        <v>141</v>
      </c>
      <c r="D52" s="1492">
        <f t="shared" si="54"/>
        <v>141</v>
      </c>
      <c r="E52" s="1492">
        <v>195</v>
      </c>
      <c r="F52" s="1493">
        <v>122</v>
      </c>
      <c r="G52" s="3308">
        <v>2006</v>
      </c>
      <c r="H52" s="1484">
        <v>4</v>
      </c>
      <c r="I52" s="1484">
        <v>3.79</v>
      </c>
      <c r="J52" s="1484">
        <v>2.21</v>
      </c>
      <c r="K52" s="1484">
        <v>5.65</v>
      </c>
      <c r="L52" s="1485">
        <v>5.41</v>
      </c>
      <c r="N52" s="1526">
        <f t="shared" ref="N52:O55" si="78">I52/SUM(I$52:I$55)*(B$52/B$56-1)</f>
        <v>7.245466462748526E-2</v>
      </c>
      <c r="O52" s="1527">
        <f t="shared" si="78"/>
        <v>2.3237230038062766E-2</v>
      </c>
      <c r="P52" s="1527">
        <f t="shared" ref="P52:Q55" si="79">K52/SUM(K$52:K$55)*(E$52/E$56-1)</f>
        <v>0.16146893866323722</v>
      </c>
      <c r="Q52" s="1527">
        <f t="shared" si="79"/>
        <v>5.0755230321793784E-2</v>
      </c>
      <c r="R52" s="1476"/>
      <c r="S52" s="1477"/>
      <c r="T52" s="1478"/>
      <c r="U52" s="1478"/>
      <c r="V52" s="1478"/>
      <c r="X52" s="1528"/>
      <c r="Y52" s="1528"/>
      <c r="Z52" s="1528"/>
    </row>
    <row r="53" spans="1:26">
      <c r="A53" s="1463" t="s">
        <v>1192</v>
      </c>
      <c r="B53" s="1479">
        <f t="shared" ref="B53:C55" si="80">B54+(B$52-B$56)*I53/SUM(I$52:I$55)</f>
        <v>149.00125628140702</v>
      </c>
      <c r="C53" s="1479">
        <f t="shared" si="80"/>
        <v>137.95592286501378</v>
      </c>
      <c r="D53" s="1479">
        <f t="shared" si="54"/>
        <v>137.95592286501378</v>
      </c>
      <c r="E53" s="1479">
        <f t="shared" ref="E53:F55" si="81">E54+(E$52-E$56)*K53/SUM(K$52:K$55)</f>
        <v>169.97231450719823</v>
      </c>
      <c r="F53" s="1479">
        <f t="shared" si="81"/>
        <v>116.21390374331551</v>
      </c>
      <c r="G53" s="3309">
        <v>2006</v>
      </c>
      <c r="H53" s="1489">
        <v>3</v>
      </c>
      <c r="I53" s="1489">
        <v>0.92</v>
      </c>
      <c r="J53" s="1489">
        <v>1.08</v>
      </c>
      <c r="K53" s="1489">
        <v>0.73</v>
      </c>
      <c r="L53" s="1490">
        <v>1.08</v>
      </c>
      <c r="N53" s="1526">
        <f t="shared" si="78"/>
        <v>1.7587939698492462E-2</v>
      </c>
      <c r="O53" s="1527">
        <f t="shared" si="78"/>
        <v>1.1355750425840628E-2</v>
      </c>
      <c r="P53" s="1527">
        <f t="shared" si="79"/>
        <v>2.0862358446754544E-2</v>
      </c>
      <c r="Q53" s="1527">
        <f t="shared" si="79"/>
        <v>1.0132282578103011E-2</v>
      </c>
      <c r="R53" s="1476"/>
      <c r="S53" s="1474"/>
      <c r="T53" s="1475"/>
      <c r="U53" s="1475"/>
      <c r="V53" s="1475"/>
      <c r="X53" s="1528"/>
      <c r="Y53" s="1528"/>
      <c r="Z53" s="1528"/>
    </row>
    <row r="54" spans="1:26">
      <c r="A54" s="1463" t="s">
        <v>1193</v>
      </c>
      <c r="B54" s="1479">
        <f t="shared" si="80"/>
        <v>146.57412060301507</v>
      </c>
      <c r="C54" s="1479">
        <f t="shared" si="80"/>
        <v>136.46831955922866</v>
      </c>
      <c r="D54" s="1479">
        <f t="shared" si="54"/>
        <v>136.46831955922866</v>
      </c>
      <c r="E54" s="1479">
        <f t="shared" si="81"/>
        <v>166.73864894795128</v>
      </c>
      <c r="F54" s="1479">
        <f t="shared" si="81"/>
        <v>115.05882352941177</v>
      </c>
      <c r="G54" s="3309">
        <v>2006</v>
      </c>
      <c r="H54" s="1467">
        <v>2</v>
      </c>
      <c r="I54" s="1467">
        <v>0.96</v>
      </c>
      <c r="J54" s="1467">
        <v>0.25</v>
      </c>
      <c r="K54" s="1467">
        <v>1.9</v>
      </c>
      <c r="L54" s="1481">
        <v>0.95</v>
      </c>
      <c r="N54" s="1526">
        <f t="shared" si="78"/>
        <v>1.8352632728861701E-2</v>
      </c>
      <c r="O54" s="1527">
        <f t="shared" si="78"/>
        <v>2.6286459319075526E-3</v>
      </c>
      <c r="P54" s="1527">
        <f t="shared" si="79"/>
        <v>5.4299289107991269E-2</v>
      </c>
      <c r="Q54" s="1527">
        <f t="shared" si="79"/>
        <v>8.9126559714794995E-3</v>
      </c>
      <c r="R54" s="1476"/>
      <c r="S54" s="1474"/>
      <c r="T54" s="1475"/>
      <c r="U54" s="1475"/>
      <c r="V54" s="1475"/>
      <c r="X54" s="1528"/>
      <c r="Y54" s="1528"/>
      <c r="Z54" s="1528"/>
    </row>
    <row r="55" spans="1:26">
      <c r="A55" s="1463" t="s">
        <v>1194</v>
      </c>
      <c r="B55" s="1479">
        <f t="shared" si="80"/>
        <v>144.04145728643215</v>
      </c>
      <c r="C55" s="1479">
        <f t="shared" si="80"/>
        <v>136.12396694214877</v>
      </c>
      <c r="D55" s="1479">
        <f t="shared" si="54"/>
        <v>136.12396694214877</v>
      </c>
      <c r="E55" s="1479">
        <f t="shared" si="81"/>
        <v>158.32225913621264</v>
      </c>
      <c r="F55" s="1479">
        <f t="shared" si="81"/>
        <v>114.04278074866311</v>
      </c>
      <c r="G55" s="3310">
        <v>2006</v>
      </c>
      <c r="H55" s="1466">
        <v>1</v>
      </c>
      <c r="I55" s="1466">
        <v>2.29</v>
      </c>
      <c r="J55" s="1466">
        <v>3.72</v>
      </c>
      <c r="K55" s="1466">
        <v>0.75</v>
      </c>
      <c r="L55" s="1480">
        <v>0.04</v>
      </c>
      <c r="N55" s="1529">
        <f t="shared" si="78"/>
        <v>4.3778675988638847E-2</v>
      </c>
      <c r="O55" s="1530">
        <f t="shared" si="78"/>
        <v>3.9114251466784385E-2</v>
      </c>
      <c r="P55" s="1530">
        <f t="shared" si="79"/>
        <v>2.1433929911049188E-2</v>
      </c>
      <c r="Q55" s="1530">
        <f t="shared" si="79"/>
        <v>3.7526972511492629E-4</v>
      </c>
      <c r="R55" s="1476"/>
      <c r="S55" s="1482">
        <f>B55/B56-1</f>
        <v>4.3778675988638716E-2</v>
      </c>
      <c r="T55" s="1483">
        <f>C55/C56-1</f>
        <v>3.91142514667846E-2</v>
      </c>
      <c r="U55" s="1483">
        <f>E55/E56-1</f>
        <v>2.143392991104931E-2</v>
      </c>
      <c r="V55" s="1483">
        <f>F55/F56-1</f>
        <v>3.7526972511492396E-4</v>
      </c>
      <c r="X55" s="1528"/>
      <c r="Y55" s="1528"/>
      <c r="Z55" s="1528"/>
    </row>
    <row r="56" spans="1:26" ht="13.5" thickBot="1">
      <c r="A56" s="1463" t="s">
        <v>1195</v>
      </c>
      <c r="B56" s="1492">
        <v>138</v>
      </c>
      <c r="C56" s="1492">
        <v>131</v>
      </c>
      <c r="D56" s="1492">
        <f t="shared" si="54"/>
        <v>131</v>
      </c>
      <c r="E56" s="1492">
        <v>155</v>
      </c>
      <c r="F56" s="1493">
        <v>114</v>
      </c>
      <c r="G56" s="3308">
        <v>2005</v>
      </c>
      <c r="H56" s="1484">
        <v>4</v>
      </c>
      <c r="I56" s="1484">
        <v>3.29</v>
      </c>
      <c r="J56" s="1484">
        <v>1.44</v>
      </c>
      <c r="K56" s="1484">
        <v>0.66</v>
      </c>
      <c r="L56" s="1485">
        <v>7.78</v>
      </c>
      <c r="N56" s="1526">
        <f t="shared" ref="N56:O59" si="82">I56/SUM(I$56:I$59)*(B$56/B$60-1)</f>
        <v>9.9404603216919935E-2</v>
      </c>
      <c r="O56" s="1527">
        <f t="shared" si="82"/>
        <v>4.7636550760861554E-2</v>
      </c>
      <c r="P56" s="1527">
        <f t="shared" ref="P56:Q59" si="83">K56/SUM(K$56:K$59)*(E$56/E$60-1)</f>
        <v>8.3756345177664976E-2</v>
      </c>
      <c r="Q56" s="1527">
        <f t="shared" si="83"/>
        <v>5.2148766661559584E-2</v>
      </c>
      <c r="R56" s="1476"/>
      <c r="S56" s="1477"/>
      <c r="T56" s="1478"/>
      <c r="U56" s="1478"/>
      <c r="V56" s="1478"/>
      <c r="X56" s="1528"/>
      <c r="Y56" s="1528"/>
      <c r="Z56" s="1528"/>
    </row>
    <row r="57" spans="1:26">
      <c r="A57" s="1463" t="s">
        <v>1196</v>
      </c>
      <c r="B57" s="1479">
        <f t="shared" ref="B57:C59" si="84">B58+(B$56-B$60)*I57/SUM(I$56:I$59)</f>
        <v>125.9720430107527</v>
      </c>
      <c r="C57" s="1479">
        <f t="shared" si="84"/>
        <v>125.1883408071749</v>
      </c>
      <c r="D57" s="1479">
        <f t="shared" si="54"/>
        <v>125.1883408071749</v>
      </c>
      <c r="E57" s="1479">
        <f t="shared" ref="E57:F59" si="85">E58+(E$56-E$60)*K57/SUM(K$56:K$59)</f>
        <v>144.61421319796952</v>
      </c>
      <c r="F57" s="1479">
        <f t="shared" si="85"/>
        <v>108.42008196721311</v>
      </c>
      <c r="G57" s="3309">
        <v>2005</v>
      </c>
      <c r="H57" s="1489">
        <v>3</v>
      </c>
      <c r="I57" s="1489">
        <v>0.46</v>
      </c>
      <c r="J57" s="1489">
        <v>0.32</v>
      </c>
      <c r="K57" s="1489">
        <v>0.42</v>
      </c>
      <c r="L57" s="1490">
        <v>0.64</v>
      </c>
      <c r="N57" s="1526">
        <f t="shared" si="82"/>
        <v>1.3898515951301874E-2</v>
      </c>
      <c r="O57" s="1527">
        <f t="shared" si="82"/>
        <v>1.0585900169080346E-2</v>
      </c>
      <c r="P57" s="1527">
        <f t="shared" si="83"/>
        <v>5.3299492385786795E-2</v>
      </c>
      <c r="Q57" s="1527">
        <f t="shared" si="83"/>
        <v>4.2898728359123568E-3</v>
      </c>
      <c r="R57" s="1476"/>
      <c r="S57" s="1474"/>
      <c r="T57" s="1475"/>
      <c r="U57" s="1475"/>
      <c r="V57" s="1475"/>
      <c r="X57" s="1528"/>
      <c r="Y57" s="1528"/>
      <c r="Z57" s="1528"/>
    </row>
    <row r="58" spans="1:26">
      <c r="A58" s="1463" t="s">
        <v>1197</v>
      </c>
      <c r="B58" s="1479">
        <f t="shared" si="84"/>
        <v>124.29032258064517</v>
      </c>
      <c r="C58" s="1479">
        <f t="shared" si="84"/>
        <v>123.8968609865471</v>
      </c>
      <c r="D58" s="1479">
        <f t="shared" si="54"/>
        <v>123.8968609865471</v>
      </c>
      <c r="E58" s="1479">
        <f t="shared" si="85"/>
        <v>138.00507614213197</v>
      </c>
      <c r="F58" s="1479">
        <f t="shared" si="85"/>
        <v>107.96106557377048</v>
      </c>
      <c r="G58" s="3309">
        <v>2005</v>
      </c>
      <c r="H58" s="1467">
        <v>2</v>
      </c>
      <c r="I58" s="1467">
        <v>0.47</v>
      </c>
      <c r="J58" s="1467">
        <v>0.1</v>
      </c>
      <c r="K58" s="1467">
        <v>0.52</v>
      </c>
      <c r="L58" s="1481">
        <v>0.79</v>
      </c>
      <c r="N58" s="1526">
        <f t="shared" si="82"/>
        <v>1.420065760241713E-2</v>
      </c>
      <c r="O58" s="1527">
        <f t="shared" si="82"/>
        <v>3.3080938028376083E-3</v>
      </c>
      <c r="P58" s="1527">
        <f t="shared" si="83"/>
        <v>6.598984771573603E-2</v>
      </c>
      <c r="Q58" s="1527">
        <f t="shared" si="83"/>
        <v>5.2953117818293153E-3</v>
      </c>
      <c r="R58" s="1476"/>
      <c r="S58" s="1474"/>
      <c r="T58" s="1475"/>
      <c r="U58" s="1475"/>
      <c r="V58" s="1475"/>
      <c r="X58" s="1528"/>
      <c r="Y58" s="1528"/>
      <c r="Z58" s="1528"/>
    </row>
    <row r="59" spans="1:26">
      <c r="A59" s="1463" t="s">
        <v>1198</v>
      </c>
      <c r="B59" s="1479">
        <f t="shared" si="84"/>
        <v>122.57204301075269</v>
      </c>
      <c r="C59" s="1479">
        <f t="shared" si="84"/>
        <v>123.4932735426009</v>
      </c>
      <c r="D59" s="1479">
        <f t="shared" si="54"/>
        <v>123.4932735426009</v>
      </c>
      <c r="E59" s="1479">
        <f t="shared" si="85"/>
        <v>129.82233502538071</v>
      </c>
      <c r="F59" s="1479">
        <f t="shared" si="85"/>
        <v>107.39446721311475</v>
      </c>
      <c r="G59" s="3310">
        <v>2005</v>
      </c>
      <c r="H59" s="1466">
        <v>1</v>
      </c>
      <c r="I59" s="1466">
        <v>0.43</v>
      </c>
      <c r="J59" s="1466">
        <v>0.37</v>
      </c>
      <c r="K59" s="1466">
        <v>0.37</v>
      </c>
      <c r="L59" s="1480">
        <v>0.55000000000000004</v>
      </c>
      <c r="N59" s="1529">
        <f t="shared" si="82"/>
        <v>1.2992090997956099E-2</v>
      </c>
      <c r="O59" s="1530">
        <f t="shared" si="82"/>
        <v>1.2239947070499151E-2</v>
      </c>
      <c r="P59" s="1530">
        <f t="shared" si="83"/>
        <v>4.6954314720812178E-2</v>
      </c>
      <c r="Q59" s="1530">
        <f t="shared" si="83"/>
        <v>3.6866094683621815E-3</v>
      </c>
      <c r="R59" s="1476"/>
      <c r="S59" s="1482">
        <f>B59/B60-1</f>
        <v>1.2992090997956174E-2</v>
      </c>
      <c r="T59" s="1483">
        <f>C59/C60-1</f>
        <v>1.2239947070499246E-2</v>
      </c>
      <c r="U59" s="1483">
        <f>E59/E60-1</f>
        <v>4.695431472081224E-2</v>
      </c>
      <c r="V59" s="1483">
        <f>F59/F60-1</f>
        <v>3.6866094683620787E-3</v>
      </c>
      <c r="X59" s="1528"/>
      <c r="Y59" s="1528"/>
      <c r="Z59" s="1528"/>
    </row>
    <row r="60" spans="1:26" ht="13.5" thickBot="1">
      <c r="A60" s="1463" t="s">
        <v>1199</v>
      </c>
      <c r="B60" s="1513">
        <v>121</v>
      </c>
      <c r="C60" s="1513">
        <v>122</v>
      </c>
      <c r="D60" s="1513">
        <f t="shared" si="54"/>
        <v>122</v>
      </c>
      <c r="E60" s="1513">
        <v>124</v>
      </c>
      <c r="F60" s="1514">
        <v>107</v>
      </c>
      <c r="G60" s="3308">
        <v>2004</v>
      </c>
      <c r="H60" s="1484">
        <v>4</v>
      </c>
      <c r="I60" s="1484">
        <v>0.33</v>
      </c>
      <c r="J60" s="1484">
        <v>0.5</v>
      </c>
      <c r="K60" s="1484">
        <v>0.5</v>
      </c>
      <c r="L60" s="1485">
        <v>0</v>
      </c>
      <c r="N60" s="1526">
        <f t="shared" ref="N60:O63" si="86">I60/SUM(I$60:I$63)*(B$60/B$64-1)</f>
        <v>1.3391770148526898E-2</v>
      </c>
      <c r="O60" s="1527">
        <f t="shared" si="86"/>
        <v>1.063264221158958E-2</v>
      </c>
      <c r="P60" s="1527">
        <f t="shared" ref="P60:Q63" si="87">K60/SUM(K$60:K$63)*(E$60/E$64-1)</f>
        <v>2.2244466688911134E-2</v>
      </c>
      <c r="Q60" s="1527">
        <f t="shared" si="87"/>
        <v>0</v>
      </c>
      <c r="R60" s="1476"/>
      <c r="S60" s="1477"/>
      <c r="T60" s="1478"/>
      <c r="U60" s="1478"/>
      <c r="V60" s="1478"/>
      <c r="X60" s="1528"/>
      <c r="Y60" s="1528"/>
      <c r="Z60" s="1528"/>
    </row>
    <row r="61" spans="1:26">
      <c r="A61" s="1463" t="s">
        <v>1200</v>
      </c>
      <c r="B61" s="1479">
        <f t="shared" ref="B61:C63" si="88">B62+(B$60-B$64)*I61/SUM(I$60:I$63)</f>
        <v>119.51351351351352</v>
      </c>
      <c r="C61" s="1479">
        <f t="shared" si="88"/>
        <v>120.7878787878788</v>
      </c>
      <c r="D61" s="1479">
        <f t="shared" si="54"/>
        <v>120.7878787878788</v>
      </c>
      <c r="E61" s="1479">
        <f t="shared" ref="E61:F63" si="89">E62+(E$60-E$64)*K61/SUM(K$60:K$63)</f>
        <v>121.5975975975976</v>
      </c>
      <c r="F61" s="1479">
        <f t="shared" si="89"/>
        <v>107</v>
      </c>
      <c r="G61" s="3309">
        <v>2004</v>
      </c>
      <c r="H61" s="1489">
        <v>3</v>
      </c>
      <c r="I61" s="1489">
        <v>0.56000000000000005</v>
      </c>
      <c r="J61" s="1489">
        <v>0.8</v>
      </c>
      <c r="K61" s="1489">
        <v>0.83</v>
      </c>
      <c r="L61" s="1490">
        <v>0.06</v>
      </c>
      <c r="N61" s="1526">
        <f t="shared" si="86"/>
        <v>2.2725428130833527E-2</v>
      </c>
      <c r="O61" s="1527">
        <f t="shared" si="86"/>
        <v>1.7012227538543329E-2</v>
      </c>
      <c r="P61" s="1527">
        <f t="shared" si="87"/>
        <v>3.6925814703592477E-2</v>
      </c>
      <c r="Q61" s="1527">
        <f t="shared" si="87"/>
        <v>2.8846153846153744E-2</v>
      </c>
      <c r="R61" s="1476"/>
      <c r="S61" s="1474"/>
      <c r="T61" s="1475"/>
      <c r="U61" s="1475"/>
      <c r="V61" s="1475"/>
      <c r="X61" s="1528"/>
      <c r="Y61" s="1528"/>
      <c r="Z61" s="1528"/>
    </row>
    <row r="62" spans="1:26">
      <c r="A62" s="1463" t="s">
        <v>1201</v>
      </c>
      <c r="B62" s="1479">
        <f t="shared" si="88"/>
        <v>116.99099099099099</v>
      </c>
      <c r="C62" s="1479">
        <f t="shared" si="88"/>
        <v>118.84848484848486</v>
      </c>
      <c r="D62" s="1479">
        <f t="shared" si="54"/>
        <v>118.84848484848486</v>
      </c>
      <c r="E62" s="1479">
        <f t="shared" si="89"/>
        <v>117.60960960960961</v>
      </c>
      <c r="F62" s="1479">
        <f t="shared" si="89"/>
        <v>104</v>
      </c>
      <c r="G62" s="3309">
        <v>2004</v>
      </c>
      <c r="H62" s="1467">
        <v>2</v>
      </c>
      <c r="I62" s="1467">
        <v>1</v>
      </c>
      <c r="J62" s="1467">
        <v>1.5</v>
      </c>
      <c r="K62" s="1467">
        <v>1.5</v>
      </c>
      <c r="L62" s="1481">
        <v>0</v>
      </c>
      <c r="N62" s="1526">
        <f t="shared" si="86"/>
        <v>4.0581121662202721E-2</v>
      </c>
      <c r="O62" s="1527">
        <f t="shared" si="86"/>
        <v>3.1897926634768738E-2</v>
      </c>
      <c r="P62" s="1527">
        <f t="shared" si="87"/>
        <v>6.6733400066733395E-2</v>
      </c>
      <c r="Q62" s="1527">
        <f t="shared" si="87"/>
        <v>0</v>
      </c>
      <c r="R62" s="1476"/>
      <c r="S62" s="1474"/>
      <c r="T62" s="1475"/>
      <c r="U62" s="1475"/>
      <c r="V62" s="1475"/>
      <c r="X62" s="1528"/>
      <c r="Y62" s="1528"/>
      <c r="Z62" s="1528"/>
    </row>
    <row r="63" spans="1:26" s="1519" customFormat="1" ht="13.5" thickBot="1">
      <c r="A63" s="1463" t="s">
        <v>1202</v>
      </c>
      <c r="B63" s="1516">
        <f t="shared" si="88"/>
        <v>112.48648648648648</v>
      </c>
      <c r="C63" s="1516">
        <f t="shared" si="88"/>
        <v>115.21212121212122</v>
      </c>
      <c r="D63" s="1516">
        <f t="shared" si="54"/>
        <v>115.21212121212122</v>
      </c>
      <c r="E63" s="1516">
        <f t="shared" si="89"/>
        <v>110.4024024024024</v>
      </c>
      <c r="F63" s="1516">
        <f t="shared" si="89"/>
        <v>104</v>
      </c>
      <c r="G63" s="3310">
        <v>2004</v>
      </c>
      <c r="H63" s="1517">
        <v>1</v>
      </c>
      <c r="I63" s="1517">
        <v>0.33</v>
      </c>
      <c r="J63" s="1517">
        <v>0.5</v>
      </c>
      <c r="K63" s="1517">
        <v>0.5</v>
      </c>
      <c r="L63" s="1518">
        <v>0</v>
      </c>
      <c r="N63" s="1531">
        <f t="shared" si="86"/>
        <v>1.3391770148526898E-2</v>
      </c>
      <c r="O63" s="1532">
        <f t="shared" si="86"/>
        <v>1.063264221158958E-2</v>
      </c>
      <c r="P63" s="1532">
        <f t="shared" si="87"/>
        <v>2.2244466688911134E-2</v>
      </c>
      <c r="Q63" s="1532">
        <f t="shared" si="87"/>
        <v>0</v>
      </c>
      <c r="R63" s="1522"/>
      <c r="S63" s="1520">
        <f>B63/B64-1</f>
        <v>1.3391770148526883E-2</v>
      </c>
      <c r="T63" s="1521">
        <f>C63/C64-1</f>
        <v>1.063264221158966E-2</v>
      </c>
      <c r="U63" s="1521">
        <f>E63/E64-1</f>
        <v>2.2244466688911224E-2</v>
      </c>
      <c r="V63" s="1521">
        <f>F63/F64-1</f>
        <v>0</v>
      </c>
      <c r="X63" s="1533"/>
      <c r="Y63" s="1533"/>
      <c r="Z63" s="1533"/>
    </row>
    <row r="64" spans="1:26" ht="13.5" thickBot="1">
      <c r="A64" s="1463" t="s">
        <v>1203</v>
      </c>
      <c r="B64" s="1534">
        <v>111</v>
      </c>
      <c r="C64" s="1534">
        <v>114</v>
      </c>
      <c r="D64" s="1534">
        <f t="shared" si="54"/>
        <v>114</v>
      </c>
      <c r="E64" s="1534">
        <v>108</v>
      </c>
      <c r="F64" s="1535">
        <v>104</v>
      </c>
      <c r="G64" s="3308">
        <v>2003</v>
      </c>
      <c r="H64" s="1524">
        <v>4</v>
      </c>
      <c r="I64" s="1536"/>
      <c r="J64" s="1536"/>
      <c r="K64" s="1536"/>
      <c r="L64" s="1536"/>
      <c r="N64" s="1537"/>
      <c r="O64" s="1536"/>
      <c r="P64" s="1536"/>
      <c r="Q64" s="1536"/>
      <c r="S64" s="1537"/>
      <c r="T64" s="1536"/>
      <c r="U64" s="1536"/>
      <c r="V64" s="1536"/>
      <c r="X64" s="1528"/>
      <c r="Y64" s="1528"/>
      <c r="Z64" s="1528"/>
    </row>
    <row r="65" spans="1:26">
      <c r="A65" s="1463" t="s">
        <v>1204</v>
      </c>
      <c r="B65" s="1538">
        <f t="shared" ref="B65:C67" si="90">B66+(B$64-B$68)/4</f>
        <v>109.75</v>
      </c>
      <c r="C65" s="1538">
        <f t="shared" si="90"/>
        <v>112.25</v>
      </c>
      <c r="D65" s="1538">
        <f t="shared" si="54"/>
        <v>112.25</v>
      </c>
      <c r="E65" s="1538">
        <f t="shared" ref="E65:F67" si="91">E66+(E$64-E$68)/4</f>
        <v>107.25</v>
      </c>
      <c r="F65" s="1538">
        <f t="shared" si="91"/>
        <v>103.5</v>
      </c>
      <c r="G65" s="3309">
        <v>2003</v>
      </c>
      <c r="H65" s="1489">
        <v>3</v>
      </c>
      <c r="I65" s="1536"/>
      <c r="J65" s="1536"/>
      <c r="K65" s="1536"/>
      <c r="L65" s="1536"/>
      <c r="X65" s="1528"/>
      <c r="Y65" s="1528"/>
      <c r="Z65" s="1528"/>
    </row>
    <row r="66" spans="1:26">
      <c r="A66" s="1463" t="s">
        <v>1205</v>
      </c>
      <c r="B66" s="1538">
        <f t="shared" si="90"/>
        <v>108.5</v>
      </c>
      <c r="C66" s="1538">
        <f t="shared" si="90"/>
        <v>110.5</v>
      </c>
      <c r="D66" s="1538">
        <f t="shared" si="54"/>
        <v>110.5</v>
      </c>
      <c r="E66" s="1538">
        <f t="shared" si="91"/>
        <v>106.5</v>
      </c>
      <c r="F66" s="1538">
        <f t="shared" si="91"/>
        <v>103</v>
      </c>
      <c r="G66" s="3309">
        <v>2003</v>
      </c>
      <c r="H66" s="1467">
        <v>2</v>
      </c>
      <c r="I66" s="1536"/>
      <c r="J66" s="1536"/>
      <c r="K66" s="1536"/>
      <c r="L66" s="1536"/>
      <c r="X66" s="1528"/>
      <c r="Y66" s="1528"/>
      <c r="Z66" s="1528"/>
    </row>
    <row r="67" spans="1:26" ht="13.5" thickBot="1">
      <c r="A67" s="1463" t="s">
        <v>1206</v>
      </c>
      <c r="B67" s="1538">
        <f t="shared" si="90"/>
        <v>107.25</v>
      </c>
      <c r="C67" s="1538">
        <f t="shared" si="90"/>
        <v>108.75</v>
      </c>
      <c r="D67" s="1538">
        <f t="shared" si="54"/>
        <v>108.75</v>
      </c>
      <c r="E67" s="1538">
        <f t="shared" si="91"/>
        <v>105.75</v>
      </c>
      <c r="F67" s="1538">
        <f t="shared" si="91"/>
        <v>102.5</v>
      </c>
      <c r="G67" s="3310">
        <v>2003</v>
      </c>
      <c r="H67" s="1539">
        <v>1</v>
      </c>
      <c r="I67" s="1536"/>
      <c r="J67" s="1536"/>
      <c r="K67" s="1536"/>
      <c r="L67" s="1536"/>
      <c r="S67" s="1474"/>
      <c r="T67" s="1475"/>
      <c r="U67" s="1475"/>
      <c r="X67" s="1528"/>
      <c r="Y67" s="1528"/>
      <c r="Z67" s="1528"/>
    </row>
    <row r="68" spans="1:26" ht="13.5" thickBot="1">
      <c r="A68" s="1463" t="s">
        <v>1207</v>
      </c>
      <c r="B68" s="1540">
        <v>106</v>
      </c>
      <c r="C68" s="1540">
        <v>107</v>
      </c>
      <c r="D68" s="1540">
        <f t="shared" si="54"/>
        <v>107</v>
      </c>
      <c r="E68" s="1540">
        <v>105</v>
      </c>
      <c r="F68" s="1541">
        <v>102</v>
      </c>
      <c r="G68" s="3308">
        <v>2002</v>
      </c>
      <c r="H68" s="1484">
        <v>4</v>
      </c>
      <c r="I68" s="1536"/>
      <c r="J68" s="1536"/>
      <c r="K68" s="1536"/>
      <c r="L68" s="1536"/>
      <c r="N68" s="1537"/>
      <c r="O68" s="1536"/>
      <c r="P68" s="1536"/>
      <c r="Q68" s="1536"/>
      <c r="S68" s="1537"/>
      <c r="T68" s="1536"/>
      <c r="U68" s="1536"/>
      <c r="V68" s="1536"/>
      <c r="X68" s="1528"/>
      <c r="Y68" s="1528"/>
      <c r="Z68" s="1528"/>
    </row>
    <row r="69" spans="1:26">
      <c r="A69" s="1463" t="s">
        <v>1208</v>
      </c>
      <c r="B69" s="1538">
        <f t="shared" ref="B69:C71" si="92">B70+(B$68-B$72)/4</f>
        <v>105</v>
      </c>
      <c r="C69" s="1538">
        <f t="shared" si="92"/>
        <v>106</v>
      </c>
      <c r="D69" s="1538">
        <f t="shared" si="54"/>
        <v>106</v>
      </c>
      <c r="E69" s="1538">
        <f t="shared" ref="E69:F71" si="93">E70+(E$68-E$72)/4</f>
        <v>104.5</v>
      </c>
      <c r="F69" s="1538">
        <f t="shared" si="93"/>
        <v>101.5</v>
      </c>
      <c r="G69" s="3309">
        <v>2002</v>
      </c>
      <c r="H69" s="1489">
        <v>3</v>
      </c>
      <c r="I69" s="1536"/>
      <c r="J69" s="1536"/>
      <c r="K69" s="1536"/>
      <c r="L69" s="1536"/>
      <c r="X69" s="1528"/>
      <c r="Y69" s="1528"/>
      <c r="Z69" s="1528"/>
    </row>
    <row r="70" spans="1:26">
      <c r="A70" s="1463" t="s">
        <v>1209</v>
      </c>
      <c r="B70" s="1538">
        <f t="shared" si="92"/>
        <v>104</v>
      </c>
      <c r="C70" s="1538">
        <f t="shared" si="92"/>
        <v>105</v>
      </c>
      <c r="D70" s="1538">
        <f t="shared" si="54"/>
        <v>105</v>
      </c>
      <c r="E70" s="1538">
        <f t="shared" si="93"/>
        <v>104</v>
      </c>
      <c r="F70" s="1538">
        <f t="shared" si="93"/>
        <v>101</v>
      </c>
      <c r="G70" s="3309">
        <v>2002</v>
      </c>
      <c r="H70" s="1467">
        <v>2</v>
      </c>
      <c r="I70" s="1536"/>
      <c r="J70" s="1536"/>
      <c r="K70" s="1536"/>
      <c r="L70" s="1536"/>
      <c r="X70" s="1528"/>
      <c r="Y70" s="1528"/>
      <c r="Z70" s="1528"/>
    </row>
    <row r="71" spans="1:26" s="1500" customFormat="1" ht="13.5" thickBot="1">
      <c r="A71" s="1496" t="s">
        <v>1210</v>
      </c>
      <c r="B71" s="1542">
        <f t="shared" si="92"/>
        <v>103</v>
      </c>
      <c r="C71" s="1542">
        <f t="shared" si="92"/>
        <v>104</v>
      </c>
      <c r="D71" s="1542">
        <f t="shared" si="54"/>
        <v>104</v>
      </c>
      <c r="E71" s="1542">
        <f t="shared" si="93"/>
        <v>103.5</v>
      </c>
      <c r="F71" s="1542">
        <f t="shared" si="93"/>
        <v>100.5</v>
      </c>
      <c r="G71" s="3310">
        <v>2002</v>
      </c>
      <c r="H71" s="1543">
        <v>1</v>
      </c>
      <c r="I71" s="1544"/>
      <c r="J71" s="1544"/>
      <c r="K71" s="1544"/>
      <c r="L71" s="1544"/>
      <c r="N71" s="1545"/>
      <c r="S71" s="1545"/>
      <c r="X71" s="1546"/>
      <c r="Y71" s="1546"/>
      <c r="Z71" s="1546"/>
    </row>
    <row r="72" spans="1:26" ht="13.5" thickBot="1">
      <c r="B72" s="1547">
        <v>102</v>
      </c>
      <c r="C72" s="1548">
        <v>103</v>
      </c>
      <c r="D72" s="1548">
        <f t="shared" si="54"/>
        <v>103</v>
      </c>
      <c r="E72" s="1548">
        <v>103</v>
      </c>
      <c r="F72" s="1549">
        <v>100</v>
      </c>
      <c r="I72" s="1536"/>
      <c r="J72" s="1536"/>
      <c r="K72" s="1536"/>
      <c r="L72" s="1536"/>
      <c r="N72" s="1537"/>
      <c r="O72" s="1536"/>
      <c r="P72" s="1536"/>
      <c r="Q72" s="1536"/>
      <c r="S72" s="1537"/>
      <c r="T72" s="1536"/>
      <c r="U72" s="1536"/>
      <c r="V72" s="1536"/>
      <c r="X72" s="1478"/>
      <c r="Y72" s="1478"/>
      <c r="Z72" s="1478"/>
    </row>
    <row r="74" spans="1:26" s="1551" customFormat="1">
      <c r="A74" s="1550" t="s">
        <v>1211</v>
      </c>
      <c r="G74" s="1552"/>
      <c r="N74" s="1552"/>
      <c r="S74" s="1552"/>
    </row>
    <row r="75" spans="1:26" s="1551" customFormat="1">
      <c r="A75" s="1551" t="s">
        <v>1212</v>
      </c>
      <c r="G75" s="1552"/>
      <c r="N75" s="1552"/>
      <c r="S75" s="1552"/>
    </row>
    <row r="76" spans="1:26" s="1551" customFormat="1">
      <c r="A76" s="1551" t="s">
        <v>1213</v>
      </c>
      <c r="G76" s="1552"/>
      <c r="I76" s="1553"/>
      <c r="J76" s="1553"/>
      <c r="K76" s="1553"/>
      <c r="L76" s="1553"/>
      <c r="N76" s="1554"/>
      <c r="O76" s="1553"/>
      <c r="P76" s="1553"/>
      <c r="Q76" s="1553"/>
      <c r="S76" s="1554"/>
      <c r="T76" s="1553"/>
      <c r="U76" s="1553"/>
      <c r="V76" s="1553"/>
    </row>
    <row r="77" spans="1:26" s="1551" customFormat="1">
      <c r="A77" s="1551" t="s">
        <v>1214</v>
      </c>
      <c r="G77" s="1552"/>
      <c r="N77" s="1552"/>
      <c r="S77" s="1552"/>
    </row>
    <row r="84" spans="7:22" ht="13.5" thickBot="1"/>
    <row r="85" spans="7:22">
      <c r="G85" s="1473"/>
      <c r="S85" s="1555" t="s">
        <v>1215</v>
      </c>
      <c r="T85" s="1556" t="s">
        <v>1216</v>
      </c>
      <c r="U85" s="1556" t="s">
        <v>1217</v>
      </c>
      <c r="V85" s="1556" t="s">
        <v>1218</v>
      </c>
    </row>
    <row r="86" spans="7:22">
      <c r="G86" s="1473"/>
      <c r="N86" s="1477"/>
      <c r="O86" s="1478"/>
      <c r="P86" s="1478"/>
      <c r="Q86" s="1478"/>
      <c r="S86" s="1557">
        <v>2006</v>
      </c>
      <c r="T86" s="1558">
        <v>15.1</v>
      </c>
      <c r="U86" s="1558">
        <v>7.43</v>
      </c>
      <c r="V86" s="1558">
        <v>26.26</v>
      </c>
    </row>
    <row r="87" spans="7:22">
      <c r="G87" s="1473"/>
      <c r="N87" s="1477"/>
      <c r="O87" s="1478"/>
      <c r="P87" s="1478"/>
      <c r="Q87" s="1478"/>
      <c r="S87" s="1559">
        <v>2005</v>
      </c>
      <c r="T87" s="1560">
        <v>13.9</v>
      </c>
      <c r="U87" s="1560">
        <v>7.49</v>
      </c>
      <c r="V87" s="1560">
        <v>24.92</v>
      </c>
    </row>
    <row r="88" spans="7:22">
      <c r="G88" s="1473"/>
      <c r="N88" s="1477"/>
      <c r="O88" s="1478"/>
      <c r="P88" s="1478"/>
      <c r="Q88" s="1478"/>
      <c r="S88" s="1557">
        <v>2004</v>
      </c>
      <c r="T88" s="1558">
        <v>9.48</v>
      </c>
      <c r="U88" s="1558">
        <v>7.2</v>
      </c>
      <c r="V88" s="1558">
        <v>14.68</v>
      </c>
    </row>
    <row r="89" spans="7:22">
      <c r="G89" s="1473"/>
      <c r="N89" s="1477"/>
      <c r="O89" s="1478"/>
      <c r="P89" s="1478"/>
      <c r="Q89" s="1478"/>
      <c r="S89" s="1559">
        <v>2003</v>
      </c>
      <c r="T89" s="1560">
        <v>4.5</v>
      </c>
      <c r="U89" s="1560">
        <v>6.12</v>
      </c>
      <c r="V89" s="1560">
        <v>2.34</v>
      </c>
    </row>
    <row r="90" spans="7:22" ht="13.5" thickBot="1">
      <c r="G90" s="1473"/>
      <c r="N90" s="1477"/>
      <c r="O90" s="1478"/>
      <c r="P90" s="1478"/>
      <c r="Q90" s="1478"/>
      <c r="S90" s="1561">
        <v>2002</v>
      </c>
      <c r="T90" s="1562">
        <v>3.59</v>
      </c>
      <c r="U90" s="1562">
        <v>4.54</v>
      </c>
      <c r="V90" s="1562">
        <v>2.5499999999999998</v>
      </c>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29354</v>
      </c>
      <c r="C2" s="2" t="s">
        <v>133</v>
      </c>
      <c r="D2" s="243"/>
      <c r="E2" s="243"/>
      <c r="F2" s="243"/>
      <c r="G2" s="243"/>
    </row>
    <row r="3" spans="1:7" s="244" customFormat="1" ht="18" customHeight="1" thickBot="1">
      <c r="A3" s="247" t="s">
        <v>85</v>
      </c>
      <c r="B3" s="248">
        <f ca="1">ROUND(B2*10000/'数据-汇总表'!E3,0)</f>
        <v>212667</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20810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810</v>
      </c>
      <c r="D7" s="264"/>
      <c r="E7" s="262"/>
      <c r="F7" s="265">
        <f>'数据-取费表'!B48+'数据-取费表'!B49</f>
        <v>4.0500000000000001E-2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92</v>
      </c>
      <c r="F9" s="265"/>
      <c r="G9" s="270"/>
    </row>
    <row r="10" spans="1:7" s="258" customFormat="1" ht="13.5" customHeight="1">
      <c r="A10" s="952" t="s">
        <v>801</v>
      </c>
      <c r="B10" s="268" t="s">
        <v>94</v>
      </c>
      <c r="C10" s="269">
        <f>ROUND(D10*E10/10000,0)</f>
        <v>13</v>
      </c>
      <c r="D10" s="1034">
        <f>'数据-汇总表'!E6</f>
        <v>1380.28</v>
      </c>
      <c r="E10" s="269">
        <f>'数据-取费表'!B28</f>
        <v>92</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28</v>
      </c>
      <c r="D19" s="1038">
        <f>'数据-汇总表'!E3</f>
        <v>1380.28</v>
      </c>
      <c r="E19" s="255">
        <f>'数据-取费表'!B31</f>
        <v>200</v>
      </c>
      <c r="F19" s="275"/>
      <c r="G19" s="1" t="s">
        <v>1074</v>
      </c>
    </row>
    <row r="20" spans="1:7" s="258" customFormat="1" ht="13.5" customHeight="1">
      <c r="A20" s="950" t="s">
        <v>1057</v>
      </c>
      <c r="B20" s="254" t="s">
        <v>104</v>
      </c>
      <c r="C20" s="276">
        <f>ROUND((C5+C19)*F20,0)</f>
        <v>417</v>
      </c>
      <c r="D20" s="276"/>
      <c r="E20" s="276"/>
      <c r="F20" s="277">
        <f>'数据-取费表'!B37</f>
        <v>0.02</v>
      </c>
      <c r="G20" s="1291" t="s">
        <v>1068</v>
      </c>
    </row>
    <row r="21" spans="1:7" s="258" customFormat="1" ht="13.5" customHeight="1">
      <c r="A21" s="950" t="s">
        <v>1059</v>
      </c>
      <c r="B21" s="254" t="s">
        <v>105</v>
      </c>
      <c r="C21" s="279">
        <f>F21</f>
        <v>0.02</v>
      </c>
      <c r="D21" s="280" t="s">
        <v>126</v>
      </c>
      <c r="E21" s="276"/>
      <c r="F21" s="277">
        <f>'数据-取费表'!B38</f>
        <v>0.02</v>
      </c>
      <c r="G21" s="278" t="s">
        <v>106</v>
      </c>
    </row>
    <row r="22" spans="1:7" s="258" customFormat="1" ht="13.5" customHeight="1">
      <c r="A22" s="950" t="s">
        <v>786</v>
      </c>
      <c r="B22" s="254" t="s">
        <v>107</v>
      </c>
      <c r="C22" s="1356">
        <f ca="1">ROUND(SUM(C23:C25),0)</f>
        <v>915</v>
      </c>
      <c r="D22" s="279">
        <f ca="1">C26</f>
        <v>4.0000000000000002E-4</v>
      </c>
      <c r="E22" s="280" t="s">
        <v>126</v>
      </c>
      <c r="F22" s="281">
        <f ca="1">'数据-取费表'!B40</f>
        <v>4.3499999999999997E-2</v>
      </c>
      <c r="G22" s="1291" t="str">
        <f>IF('数据-取费表'!B22&lt;=1,"单利计息","复利计息")</f>
        <v>单利计息</v>
      </c>
    </row>
    <row r="23" spans="1:7" s="258" customFormat="1" ht="13.5" customHeight="1">
      <c r="A23" s="953" t="s">
        <v>794</v>
      </c>
      <c r="B23" s="259" t="s">
        <v>1061</v>
      </c>
      <c r="C23" s="1357">
        <f ca="1">ROUND(IF('数据-取费表'!B22&lt;=1,C5*F22*'数据-取费表'!B23,C5*(POWER((1+F22),'数据-取费表'!B23)-1)),0)</f>
        <v>905</v>
      </c>
      <c r="D23" s="282"/>
      <c r="E23" s="282"/>
      <c r="F23" s="283"/>
      <c r="G23" s="284" t="s">
        <v>108</v>
      </c>
    </row>
    <row r="24" spans="1:7" s="258" customFormat="1" ht="13.5" customHeight="1">
      <c r="A24" s="953" t="s">
        <v>792</v>
      </c>
      <c r="B24" s="259" t="s">
        <v>1056</v>
      </c>
      <c r="C24" s="1357">
        <f ca="1">ROUND(IF('数据-取费表'!B22&lt;=1,C19*F22*('数据-取费表'!B19/2+'数据-取费表'!B21),C19*(POWER((1+F22),('数据-取费表'!B19/2+'数据-取费表'!B21))-1)),0)</f>
        <v>1</v>
      </c>
      <c r="D24" s="282"/>
      <c r="E24" s="282"/>
      <c r="F24" s="283"/>
      <c r="G24" s="284" t="s">
        <v>109</v>
      </c>
    </row>
    <row r="25" spans="1:7" s="258" customFormat="1" ht="24">
      <c r="A25" s="953" t="s">
        <v>793</v>
      </c>
      <c r="B25" s="259" t="s">
        <v>1058</v>
      </c>
      <c r="C25" s="1357">
        <f ca="1">ROUND(IF('数据-取费表'!B22&lt;=1,C20*F22*'数据-取费表'!B23/2,C20*(POWER((1+F22),'数据-取费表'!B23/2)-1)),0)</f>
        <v>9</v>
      </c>
      <c r="D25" s="282"/>
      <c r="E25" s="285"/>
      <c r="F25" s="283"/>
      <c r="G25" s="286" t="s">
        <v>110</v>
      </c>
    </row>
    <row r="26" spans="1:7" s="258" customFormat="1">
      <c r="A26" s="953" t="s">
        <v>795</v>
      </c>
      <c r="B26" s="259" t="s">
        <v>1060</v>
      </c>
      <c r="C26" s="282">
        <f ca="1">ROUND(IF('数据-取费表'!B22&lt;=1,F21*F22*'数据-取费表'!B23/2,F21*(POWER((1+F22),'数据-取费表'!B23/2)-1)),4)</f>
        <v>4.0000000000000002E-4</v>
      </c>
      <c r="D26" s="282"/>
      <c r="E26" s="285"/>
      <c r="F26" s="283"/>
      <c r="G26" s="287"/>
    </row>
    <row r="27" spans="1:7" s="258" customFormat="1" ht="24.75">
      <c r="A27" s="950" t="s">
        <v>787</v>
      </c>
      <c r="B27" s="288" t="s">
        <v>112</v>
      </c>
      <c r="C27" s="289">
        <f>C28</f>
        <v>4251</v>
      </c>
      <c r="D27" s="279">
        <f>C29</f>
        <v>4.0000000000000001E-3</v>
      </c>
      <c r="E27" s="280" t="s">
        <v>126</v>
      </c>
      <c r="F27" s="290">
        <f>'数据-取费表'!Q16</f>
        <v>0.2</v>
      </c>
      <c r="G27" s="291" t="s">
        <v>1069</v>
      </c>
    </row>
    <row r="28" spans="1:7" s="258" customFormat="1" ht="13.5" customHeight="1">
      <c r="A28" s="953" t="s">
        <v>794</v>
      </c>
      <c r="B28" s="292" t="s">
        <v>1062</v>
      </c>
      <c r="C28" s="293">
        <f>ROUND((C5+C19+C20)*F27*'数据-取费表'!B21/'数据-取费表'!B20,0)</f>
        <v>4251</v>
      </c>
      <c r="D28" s="279"/>
      <c r="E28" s="280"/>
      <c r="F28" s="290"/>
      <c r="G28" s="291"/>
    </row>
    <row r="29" spans="1:7" s="258" customFormat="1" ht="13.5" customHeight="1">
      <c r="A29" s="953" t="s">
        <v>792</v>
      </c>
      <c r="B29" s="292" t="s">
        <v>1063</v>
      </c>
      <c r="C29" s="282">
        <f>ROUND(C21*F27*'数据-取费表'!B21/'数据-取费表'!B20,4)</f>
        <v>4.0000000000000001E-3</v>
      </c>
      <c r="D29" s="279"/>
      <c r="E29" s="280"/>
      <c r="F29" s="290"/>
      <c r="G29" s="291"/>
    </row>
    <row r="30" spans="1:7" s="258" customFormat="1" ht="13.5" customHeight="1">
      <c r="A30" s="950"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28648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532</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483</v>
      </c>
      <c r="D34" s="261"/>
      <c r="E34" s="264"/>
      <c r="F34" s="301">
        <f>IF('数据-取费表'!B24=0,1,'数据-取费表'!N16)</f>
        <v>1</v>
      </c>
      <c r="G34" s="263" t="s">
        <v>116</v>
      </c>
    </row>
    <row r="35" spans="1:7" ht="13.5" customHeight="1">
      <c r="A35" s="953" t="s">
        <v>796</v>
      </c>
      <c r="B35" s="259" t="s">
        <v>60</v>
      </c>
      <c r="C35" s="264">
        <f>ROUND(C34*F35,0)</f>
        <v>14</v>
      </c>
      <c r="D35" s="264"/>
      <c r="E35" s="264"/>
      <c r="F35" s="303">
        <f>'数据-取费表'!B33</f>
        <v>0.03</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28</v>
      </c>
      <c r="D37" s="261">
        <f>'数据-汇总表'!E3</f>
        <v>1380.28</v>
      </c>
      <c r="E37" s="293">
        <f>'数据-取费表'!B35</f>
        <v>200</v>
      </c>
      <c r="F37" s="303"/>
      <c r="G37" s="305" t="s">
        <v>119</v>
      </c>
    </row>
    <row r="38" spans="1:7" ht="13.5" customHeight="1">
      <c r="A38" s="953" t="s">
        <v>799</v>
      </c>
      <c r="B38" s="259" t="s">
        <v>63</v>
      </c>
      <c r="C38" s="264">
        <f>ROUND(C34*F38,0)</f>
        <v>7</v>
      </c>
      <c r="D38" s="264"/>
      <c r="E38" s="264"/>
      <c r="F38" s="303">
        <f>'数据-取费表'!B36</f>
        <v>1.4999999999999999E-2</v>
      </c>
      <c r="G38" s="263" t="s">
        <v>117</v>
      </c>
    </row>
    <row r="39" spans="1:7" s="258" customFormat="1" ht="13.5" customHeight="1">
      <c r="A39" s="950" t="s">
        <v>783</v>
      </c>
      <c r="B39" s="254" t="s">
        <v>104</v>
      </c>
      <c r="C39" s="276">
        <f>ROUND(C33*F20,0)</f>
        <v>11</v>
      </c>
      <c r="D39" s="276"/>
      <c r="E39" s="276"/>
      <c r="F39" s="277"/>
      <c r="G39" s="1291" t="s">
        <v>1071</v>
      </c>
    </row>
    <row r="40" spans="1:7" s="258" customFormat="1" ht="13.5" customHeight="1">
      <c r="A40" s="950" t="s">
        <v>784</v>
      </c>
      <c r="B40" s="254" t="s">
        <v>105</v>
      </c>
      <c r="C40" s="306">
        <f>F21</f>
        <v>0.02</v>
      </c>
      <c r="D40" s="280" t="s">
        <v>129</v>
      </c>
      <c r="E40" s="276"/>
      <c r="F40" s="277"/>
      <c r="G40" s="278" t="s">
        <v>120</v>
      </c>
    </row>
    <row r="41" spans="1:7" s="258" customFormat="1" ht="13.5" customHeight="1">
      <c r="A41" s="950" t="s">
        <v>785</v>
      </c>
      <c r="B41" s="254" t="s">
        <v>107</v>
      </c>
      <c r="C41" s="276">
        <f ca="1">ROUND(SUM(C42:C43),0)</f>
        <v>12</v>
      </c>
      <c r="D41" s="279">
        <f ca="1">C44</f>
        <v>4.0000000000000002E-4</v>
      </c>
      <c r="E41" s="280" t="s">
        <v>129</v>
      </c>
      <c r="F41" s="281"/>
      <c r="G41" s="1291" t="str">
        <f>IF('数据-取费表'!B22&lt;=1,"单利计息","复利计息")</f>
        <v>单利计息</v>
      </c>
    </row>
    <row r="42" spans="1:7" ht="13.5" customHeight="1">
      <c r="A42" s="953" t="s">
        <v>794</v>
      </c>
      <c r="B42" s="259" t="s">
        <v>1061</v>
      </c>
      <c r="C42" s="282">
        <f ca="1">ROUND(IF('数据-取费表'!B22&lt;=1,C33*F22*'数据-取费表'!B21/2,C33*(POWER((1+F22),'数据-取费表'!B21/2)-1)),0)</f>
        <v>12</v>
      </c>
      <c r="D42" s="282"/>
      <c r="E42" s="282"/>
      <c r="F42" s="283"/>
      <c r="G42" s="3177" t="s">
        <v>121</v>
      </c>
    </row>
    <row r="43" spans="1:7" ht="13.5" customHeight="1">
      <c r="A43" s="953" t="s">
        <v>792</v>
      </c>
      <c r="B43" s="259" t="s">
        <v>1064</v>
      </c>
      <c r="C43" s="282">
        <f ca="1">ROUND(IF('数据-取费表'!B22&lt;=1,C39*F22*'数据-取费表'!B21/2,C39*(POWER((1+F22),'数据-取费表'!B21/2)-1)),0)</f>
        <v>0</v>
      </c>
      <c r="D43" s="282"/>
      <c r="E43" s="282"/>
      <c r="F43" s="283"/>
      <c r="G43" s="3178"/>
    </row>
    <row r="44" spans="1:7" ht="13.5" customHeight="1">
      <c r="A44" s="953" t="s">
        <v>793</v>
      </c>
      <c r="B44" s="259" t="s">
        <v>1066</v>
      </c>
      <c r="C44" s="282">
        <f ca="1">ROUND(IF('数据-取费表'!B22&lt;=1,C40*F22*'数据-取费表'!B21/2,C40*(POWER((1+F22),'数据-取费表'!B21/2)-1)),4)</f>
        <v>4.0000000000000002E-4</v>
      </c>
      <c r="D44" s="282"/>
      <c r="E44" s="282"/>
      <c r="F44" s="283"/>
      <c r="G44" s="3179"/>
    </row>
    <row r="45" spans="1:7" s="258" customFormat="1" ht="13.5" customHeight="1">
      <c r="A45" s="950" t="s">
        <v>786</v>
      </c>
      <c r="B45" s="288" t="s">
        <v>112</v>
      </c>
      <c r="C45" s="289">
        <f>C46</f>
        <v>109</v>
      </c>
      <c r="D45" s="279">
        <f>C47</f>
        <v>4.0000000000000001E-3</v>
      </c>
      <c r="E45" s="280" t="s">
        <v>129</v>
      </c>
      <c r="F45" s="290"/>
      <c r="G45" s="291" t="s">
        <v>1072</v>
      </c>
    </row>
    <row r="46" spans="1:7" s="258" customFormat="1" ht="13.5" customHeight="1">
      <c r="A46" s="953" t="s">
        <v>794</v>
      </c>
      <c r="B46" s="292" t="s">
        <v>1065</v>
      </c>
      <c r="C46" s="293">
        <f>ROUND((C33+C39)*F27,0)</f>
        <v>109</v>
      </c>
      <c r="D46" s="307"/>
      <c r="E46" s="280"/>
      <c r="F46" s="290"/>
      <c r="G46" s="291"/>
    </row>
    <row r="47" spans="1:7" s="258" customFormat="1" ht="13.5" customHeight="1">
      <c r="A47" s="953" t="s">
        <v>792</v>
      </c>
      <c r="B47" s="292" t="s">
        <v>1067</v>
      </c>
      <c r="C47" s="282">
        <f>ROUND(C40*F27,4)</f>
        <v>4.0000000000000001E-3</v>
      </c>
      <c r="D47" s="307"/>
      <c r="E47" s="280"/>
      <c r="F47" s="290"/>
      <c r="G47" s="291"/>
    </row>
    <row r="48" spans="1:7" s="258" customFormat="1" ht="13.5" customHeight="1">
      <c r="A48" s="950" t="s">
        <v>787</v>
      </c>
      <c r="B48" s="254" t="s">
        <v>122</v>
      </c>
      <c r="C48" s="306">
        <f>F30</f>
        <v>5.6000000000000001E-2</v>
      </c>
      <c r="D48" s="280" t="s">
        <v>130</v>
      </c>
      <c r="E48" s="276"/>
      <c r="F48" s="281"/>
      <c r="G48" s="278" t="s">
        <v>123</v>
      </c>
    </row>
    <row r="49" spans="1:7" ht="16.5" customHeight="1">
      <c r="A49" s="950" t="s">
        <v>788</v>
      </c>
      <c r="B49" s="254" t="s">
        <v>131</v>
      </c>
      <c r="C49" s="276">
        <f ca="1">ROUND((C33+C39+C41+C45)/(1-C40-D41-D45-C48/(1+'数据-取费表'!B42)),0)</f>
        <v>720</v>
      </c>
      <c r="D49" s="276"/>
      <c r="E49" s="276"/>
      <c r="F49" s="308"/>
      <c r="G49" s="278" t="s">
        <v>1073</v>
      </c>
    </row>
    <row r="50" spans="1:7" s="302" customFormat="1" ht="24">
      <c r="A50" s="950" t="s">
        <v>789</v>
      </c>
      <c r="B50" s="254" t="s">
        <v>124</v>
      </c>
      <c r="C50" s="276"/>
      <c r="D50" s="276"/>
      <c r="E50" s="276"/>
      <c r="F50" s="308">
        <f>IF('数据-取费表'!B24=0,'数据-取费表'!N16,1)</f>
        <v>0.98</v>
      </c>
      <c r="G50" s="291" t="s">
        <v>125</v>
      </c>
    </row>
    <row r="51" spans="1:7" ht="16.5" customHeight="1">
      <c r="A51" s="950" t="s">
        <v>790</v>
      </c>
      <c r="B51" s="254" t="s">
        <v>132</v>
      </c>
      <c r="C51" s="276">
        <f ca="1">ROUND(C49*F50,0)</f>
        <v>706</v>
      </c>
      <c r="D51" s="276"/>
      <c r="E51" s="276"/>
      <c r="F51" s="308"/>
      <c r="G51" s="278" t="s">
        <v>64</v>
      </c>
    </row>
    <row r="52" spans="1:7" s="252" customFormat="1" ht="16.5" thickBot="1">
      <c r="A52" s="309" t="s">
        <v>65</v>
      </c>
      <c r="B52" s="310"/>
      <c r="C52" s="311">
        <f ca="1">C31+C51</f>
        <v>29354</v>
      </c>
      <c r="D52" s="310"/>
      <c r="E52" s="310"/>
      <c r="F52" s="310"/>
      <c r="G52" s="312"/>
    </row>
    <row r="55" spans="1:7" ht="15">
      <c r="B55" s="314" t="s">
        <v>66</v>
      </c>
      <c r="C55" s="315"/>
    </row>
    <row r="56" spans="1:7">
      <c r="B56" s="317" t="s">
        <v>67</v>
      </c>
      <c r="C56" s="318">
        <f ca="1">ROUND(C51/C52,3)</f>
        <v>2.4E-2</v>
      </c>
    </row>
    <row r="57" spans="1:7">
      <c r="B57" s="317" t="s">
        <v>68</v>
      </c>
      <c r="C57" s="319">
        <f ca="1">1-C56</f>
        <v>0.97599999999999998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316" t="s">
        <v>156</v>
      </c>
      <c r="B1" s="3316"/>
      <c r="C1" s="3316"/>
      <c r="D1" s="3316"/>
      <c r="E1" s="3316"/>
      <c r="F1" s="3316"/>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17" t="s">
        <v>169</v>
      </c>
      <c r="B2" s="3317"/>
      <c r="C2" s="3317"/>
      <c r="D2" s="3317"/>
      <c r="E2" s="3317"/>
      <c r="F2" s="3317"/>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18"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19"/>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16" t="s">
        <v>871</v>
      </c>
      <c r="B1" s="3316"/>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8"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43321</v>
      </c>
      <c r="D1" s="1702" t="s">
        <v>1301</v>
      </c>
      <c r="E1" s="1697">
        <f>'数据-取费表'!B22</f>
        <v>1</v>
      </c>
      <c r="F1" s="1702" t="s">
        <v>1302</v>
      </c>
      <c r="G1" s="1698">
        <f ca="1">INDIRECT("d"&amp;$K$1)/100</f>
        <v>4.3499999999999997E-2</v>
      </c>
      <c r="H1" s="1702" t="s">
        <v>1332</v>
      </c>
      <c r="I1" s="1698">
        <f ca="1">F4/100</f>
        <v>1.4999999999999999E-2</v>
      </c>
      <c r="J1" s="1703">
        <f>IF(C1&gt;C13,0,MATCH(C1,C$13:C$100,-1))+IF(SUMIF(C13:C100,C1,D13:D100)=0,13,12)</f>
        <v>13</v>
      </c>
      <c r="K1" s="1703">
        <f ca="1">MATCH(E1,C3:C7,1)+IF(SUMIF(C3:C7,E1,D3:D7)=0,2,1)</f>
        <v>4</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02" t="str">
        <f>IF(项目基本情况!B9="房地产市场价值","估价结果一览表","结果表-2")</f>
        <v>结果表-2</v>
      </c>
      <c r="B1" s="3002"/>
      <c r="C1" s="3002"/>
      <c r="D1" s="3002"/>
      <c r="E1" s="3002"/>
      <c r="F1" s="3002"/>
      <c r="G1" s="3002"/>
      <c r="H1" s="3002"/>
      <c r="I1" s="3002"/>
    </row>
    <row r="2" spans="1:9" ht="30" customHeight="1" thickTop="1">
      <c r="A2" s="3003" t="s">
        <v>1641</v>
      </c>
      <c r="B2" s="3003" t="s">
        <v>1642</v>
      </c>
      <c r="C2" s="3003" t="s">
        <v>1643</v>
      </c>
      <c r="D2" s="3003" t="str">
        <f>结果表!D116</f>
        <v>出让国有建设用地使用权价值</v>
      </c>
      <c r="E2" s="3003"/>
      <c r="F2" s="3003" t="str">
        <f>结果表!F116</f>
        <v>建筑物价值</v>
      </c>
      <c r="G2" s="3003"/>
      <c r="H2" s="3003" t="str">
        <f>IF(项目基本情况!B9="房地产市场价值","房地产市场价值","房地产价值")</f>
        <v>房地产价值</v>
      </c>
      <c r="I2" s="3003"/>
    </row>
    <row r="3" spans="1:9" ht="15">
      <c r="A3" s="3004"/>
      <c r="B3" s="3004"/>
      <c r="C3" s="3004"/>
      <c r="D3" s="1046" t="s">
        <v>1638</v>
      </c>
      <c r="E3" s="1046" t="s">
        <v>1644</v>
      </c>
      <c r="F3" s="1046" t="s">
        <v>1638</v>
      </c>
      <c r="G3" s="1046" t="s">
        <v>1639</v>
      </c>
      <c r="H3" s="1046" t="s">
        <v>1638</v>
      </c>
      <c r="I3" s="1046" t="s">
        <v>1639</v>
      </c>
    </row>
    <row r="4" spans="1:9" ht="30">
      <c r="A4" s="1975" t="str">
        <f>项目基本情况!S2</f>
        <v>山东省济南市天桥区世茂天城房地产</v>
      </c>
      <c r="B4" s="1046">
        <f>项目基本情况!C17</f>
        <v>1380.28</v>
      </c>
      <c r="C4" s="1046">
        <f>项目基本情况!C18</f>
        <v>6332.52</v>
      </c>
      <c r="D4" s="1046">
        <f ca="1">结果表!D118</f>
        <v>2238</v>
      </c>
      <c r="E4" s="1046">
        <f ca="1">结果表!E118</f>
        <v>16214</v>
      </c>
      <c r="F4" s="1046">
        <f ca="1">结果表!F118</f>
        <v>1562</v>
      </c>
      <c r="G4" s="1046">
        <f ca="1">结果表!G118</f>
        <v>11317</v>
      </c>
      <c r="H4" s="1046">
        <f ca="1">结果表!H118</f>
        <v>3800</v>
      </c>
      <c r="I4" s="1046">
        <f ca="1">结果表!I118</f>
        <v>27531</v>
      </c>
    </row>
    <row r="5" spans="1:9" ht="30" customHeight="1">
      <c r="A5" s="3004" t="s">
        <v>1640</v>
      </c>
      <c r="B5" s="3004"/>
      <c r="C5" s="3004"/>
      <c r="D5" s="3005" t="str">
        <f ca="1">结果表!D119</f>
        <v>贰仟贰佰叁拾捌万元整</v>
      </c>
      <c r="E5" s="3005"/>
      <c r="F5" s="3005" t="str">
        <f ca="1">结果表!F119</f>
        <v>壹仟伍佰陆拾贰万元整</v>
      </c>
      <c r="G5" s="3005"/>
      <c r="H5" s="3005" t="str">
        <f ca="1">结果表!H119</f>
        <v>叁仟捌佰万元整</v>
      </c>
      <c r="I5" s="3005"/>
    </row>
    <row r="6" spans="1:9" ht="15.75">
      <c r="A6" s="3006" t="str">
        <f>结果表!A120</f>
        <v>估价师知悉的法定优先受偿款</v>
      </c>
      <c r="B6" s="3006"/>
      <c r="C6" s="3006"/>
      <c r="D6" s="3006">
        <f>结果表!D120</f>
        <v>0</v>
      </c>
      <c r="E6" s="3006"/>
      <c r="F6" s="3006"/>
      <c r="G6" s="3006"/>
      <c r="H6" s="3006"/>
      <c r="I6" s="3006"/>
    </row>
    <row r="7" spans="1:9" ht="15">
      <c r="A7" s="3004" t="s">
        <v>1640</v>
      </c>
      <c r="B7" s="3004"/>
      <c r="C7" s="3004"/>
      <c r="D7" s="3007" t="str">
        <f>结果表!D121</f>
        <v>零元整</v>
      </c>
      <c r="E7" s="3008"/>
      <c r="F7" s="3008"/>
      <c r="G7" s="3008"/>
      <c r="H7" s="3008"/>
      <c r="I7" s="3009"/>
    </row>
    <row r="8" spans="1:9" ht="15.75">
      <c r="A8" s="3006" t="str">
        <f>结果表!A122</f>
        <v>房地产抵押价值</v>
      </c>
      <c r="B8" s="3006"/>
      <c r="C8" s="3006"/>
      <c r="D8" s="3006">
        <f ca="1">结果表!D122</f>
        <v>3800</v>
      </c>
      <c r="E8" s="3006"/>
      <c r="F8" s="3006"/>
      <c r="G8" s="3006"/>
      <c r="H8" s="3006"/>
      <c r="I8" s="3006"/>
    </row>
    <row r="9" spans="1:9" ht="15">
      <c r="A9" s="3004" t="s">
        <v>1640</v>
      </c>
      <c r="B9" s="3004"/>
      <c r="C9" s="3004"/>
      <c r="D9" s="3005" t="str">
        <f ca="1">结果表!D123</f>
        <v>叁仟捌佰万元整</v>
      </c>
      <c r="E9" s="3005"/>
      <c r="F9" s="3005"/>
      <c r="G9" s="3005"/>
      <c r="H9" s="3005"/>
      <c r="I9" s="3005"/>
    </row>
    <row r="10" spans="1:9" ht="15.75">
      <c r="A10" s="3006" t="str">
        <f>结果表!A124</f>
        <v/>
      </c>
      <c r="B10" s="3006"/>
      <c r="C10" s="3006"/>
      <c r="D10" s="3006" t="str">
        <f>结果表!D124</f>
        <v>——</v>
      </c>
      <c r="E10" s="3006"/>
      <c r="F10" s="3006"/>
      <c r="G10" s="3006"/>
      <c r="H10" s="3006"/>
      <c r="I10" s="3006"/>
    </row>
    <row r="11" spans="1:9" ht="15">
      <c r="A11" s="3004" t="s">
        <v>1640</v>
      </c>
      <c r="B11" s="3004"/>
      <c r="C11" s="3004"/>
      <c r="D11" s="3005" t="e">
        <f>结果表!D125</f>
        <v>#VALUE!</v>
      </c>
      <c r="E11" s="3005"/>
      <c r="F11" s="3005"/>
      <c r="G11" s="3005"/>
      <c r="H11" s="3005"/>
      <c r="I11" s="3005"/>
    </row>
    <row r="12" spans="1:9" ht="15.75">
      <c r="A12" s="3006" t="str">
        <f>结果表!A126</f>
        <v/>
      </c>
      <c r="B12" s="3006"/>
      <c r="C12" s="3006"/>
      <c r="D12" s="3006" t="str">
        <f>结果表!D126</f>
        <v>——</v>
      </c>
      <c r="E12" s="3006"/>
      <c r="F12" s="3006"/>
      <c r="G12" s="3006"/>
      <c r="H12" s="3006"/>
      <c r="I12" s="3006"/>
    </row>
    <row r="13" spans="1:9" ht="15.75" thickBot="1">
      <c r="A13" s="3010" t="s">
        <v>1640</v>
      </c>
      <c r="B13" s="3010"/>
      <c r="C13" s="3010"/>
      <c r="D13" s="3011" t="e">
        <f>结果表!D127</f>
        <v>#VALUE!</v>
      </c>
      <c r="E13" s="3011"/>
      <c r="F13" s="3011"/>
      <c r="G13" s="3011"/>
      <c r="H13" s="3011"/>
      <c r="I13" s="3011"/>
    </row>
    <row r="14" spans="1:9" ht="15" thickTop="1">
      <c r="A14" s="3012" t="s">
        <v>1645</v>
      </c>
      <c r="B14" s="3012"/>
      <c r="C14" s="3012"/>
      <c r="D14" s="3012"/>
      <c r="E14" s="3012"/>
      <c r="F14" s="3012"/>
      <c r="G14" s="3012"/>
      <c r="H14" s="3012"/>
      <c r="I14" s="3012"/>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13" t="s">
        <v>1662</v>
      </c>
      <c r="B1" s="3013"/>
      <c r="C1" s="3013"/>
      <c r="D1" s="3013"/>
    </row>
    <row r="2" spans="1:4" ht="18">
      <c r="A2" s="3014" t="s">
        <v>1646</v>
      </c>
      <c r="B2" s="3014"/>
      <c r="C2" s="3014"/>
      <c r="D2" s="3014"/>
    </row>
    <row r="3" spans="1:4" ht="18.75">
      <c r="A3" s="1979" t="s">
        <v>1647</v>
      </c>
      <c r="B3" s="1979" t="s">
        <v>1648</v>
      </c>
      <c r="C3" s="1979" t="s">
        <v>1649</v>
      </c>
      <c r="D3" s="1979" t="s">
        <v>1650</v>
      </c>
    </row>
    <row r="4" spans="1:4" ht="56.25" customHeight="1">
      <c r="A4" s="1980" t="str">
        <f>项目基本情况!B4</f>
        <v>王鹏</v>
      </c>
      <c r="B4" s="1981">
        <f ca="1">项目基本情况!C4</f>
        <v>1120050019</v>
      </c>
      <c r="C4" s="1982"/>
      <c r="D4" s="1983" t="s">
        <v>1651</v>
      </c>
    </row>
    <row r="5" spans="1:4" ht="56.25" customHeight="1">
      <c r="A5" s="1980" t="str">
        <f>项目基本情况!D4</f>
        <v>郑燚</v>
      </c>
      <c r="B5" s="1981">
        <f ca="1">项目基本情况!E4</f>
        <v>1120070131</v>
      </c>
      <c r="C5" s="1984"/>
      <c r="D5" s="1983" t="s">
        <v>1651</v>
      </c>
    </row>
    <row r="6" spans="1:4" ht="18">
      <c r="A6" s="3014" t="s">
        <v>1652</v>
      </c>
      <c r="B6" s="3014"/>
      <c r="C6" s="3014"/>
      <c r="D6" s="3014"/>
    </row>
    <row r="7" spans="1:4" ht="18.75">
      <c r="A7" s="1979" t="s">
        <v>1647</v>
      </c>
      <c r="B7" s="1981" t="s">
        <v>1653</v>
      </c>
      <c r="C7" s="1979" t="s">
        <v>1649</v>
      </c>
      <c r="D7" s="1979" t="s">
        <v>1650</v>
      </c>
    </row>
    <row r="8" spans="1:4" ht="56.25" customHeight="1">
      <c r="A8" s="1985" t="s">
        <v>869</v>
      </c>
      <c r="B8" s="1985" t="s">
        <v>1</v>
      </c>
      <c r="C8" s="1982"/>
      <c r="D8" s="1983" t="s">
        <v>1651</v>
      </c>
    </row>
    <row r="9" spans="1:4">
      <c r="A9" s="727"/>
      <c r="B9" s="727"/>
      <c r="C9" s="727"/>
      <c r="D9" s="727"/>
    </row>
    <row r="10" spans="1:4" ht="18.75">
      <c r="A10" s="1986" t="s">
        <v>1654</v>
      </c>
      <c r="B10" s="727"/>
      <c r="C10" s="727"/>
      <c r="D10" s="727"/>
    </row>
    <row r="11" spans="1:4" ht="30" customHeight="1">
      <c r="A11" s="3015" t="s">
        <v>1655</v>
      </c>
      <c r="B11" s="3016"/>
      <c r="C11" s="3016"/>
      <c r="D11" s="3016"/>
    </row>
    <row r="12" spans="1:4" ht="15.75">
      <c r="A12" s="30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7"/>
      <c r="C12" s="3017"/>
      <c r="D12" s="3017"/>
    </row>
    <row r="13" spans="1:4" ht="30" customHeight="1">
      <c r="A13" s="301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7"/>
      <c r="C13" s="3017"/>
      <c r="D13" s="3017"/>
    </row>
    <row r="14" spans="1:4" ht="15.75" customHeight="1">
      <c r="A14" s="3016" t="str">
        <f>IF(项目基本情况!B8="抵押","4.本次评估估价师所知悉的法定优先受偿款情况说明如下：","——")</f>
        <v>4.本次评估估价师所知悉的法定优先受偿款情况说明如下：</v>
      </c>
      <c r="B14" s="3017"/>
      <c r="C14" s="3017"/>
      <c r="D14" s="3017"/>
    </row>
    <row r="15" spans="1:4" ht="42" customHeight="1">
      <c r="A15" s="3016" t="str">
        <f>IF(项目基本情况!B8="抵押","（1）"&amp;CONCATENATE(项目基本情况!L20,项目基本情况!L21,项目基本情况!L22),"——")</f>
        <v>（1）根据估价对象《不动产权证书》原件、，截至价值时点，估价对象抵押权未见登记。</v>
      </c>
      <c r="B15" s="3016"/>
      <c r="C15" s="3016"/>
      <c r="D15" s="3016"/>
    </row>
    <row r="16" spans="1:4" ht="30" customHeight="1">
      <c r="A16" s="3019" t="s">
        <v>1656</v>
      </c>
      <c r="B16" s="3019"/>
      <c r="C16" s="3019"/>
      <c r="D16" s="3019"/>
    </row>
    <row r="17" spans="1:4" ht="144" customHeight="1">
      <c r="A17" s="3019" t="s">
        <v>1657</v>
      </c>
      <c r="B17" s="3019"/>
      <c r="C17" s="3019"/>
      <c r="D17" s="3019"/>
    </row>
    <row r="18" spans="1:4" ht="15.75" customHeight="1">
      <c r="A18" s="3016" t="str">
        <f>IF(项目基本情况!B8="抵押",结果表!K120,"——")</f>
        <v>故，本次评估不存在估价师知悉的法定优先受偿款</v>
      </c>
      <c r="B18" s="3016"/>
      <c r="C18" s="3016"/>
      <c r="D18" s="3016"/>
    </row>
    <row r="19" spans="1:4" ht="46.5" customHeight="1">
      <c r="A19" s="30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6"/>
      <c r="C19" s="3016"/>
      <c r="D19" s="3016"/>
    </row>
    <row r="20" spans="1:4" ht="57.75" customHeight="1">
      <c r="A20" s="301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6"/>
      <c r="C20" s="3016"/>
      <c r="D20" s="3016"/>
    </row>
    <row r="21" spans="1:4" ht="57.75" customHeight="1">
      <c r="A21" s="30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0"/>
      <c r="C21" s="3020"/>
      <c r="D21" s="3020"/>
    </row>
    <row r="22" spans="1:4" ht="18.75" customHeight="1">
      <c r="A22" s="3021" t="s">
        <v>1658</v>
      </c>
      <c r="B22" s="3021"/>
      <c r="C22" s="3021"/>
      <c r="D22" s="3021"/>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3018">
        <v>42551</v>
      </c>
      <c r="D31" s="301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22" sqref="C22"/>
      <selection pane="bottomLeft" activeCell="C22" sqref="C22"/>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3027" t="s">
        <v>1669</v>
      </c>
      <c r="B15" s="3022" t="s">
        <v>136</v>
      </c>
      <c r="C15" s="3023"/>
    </row>
    <row r="16" spans="1:7" ht="13.5">
      <c r="A16" s="3028"/>
      <c r="B16" s="3022" t="s">
        <v>69</v>
      </c>
      <c r="C16" s="3023"/>
    </row>
    <row r="17" spans="1:3" ht="13.5">
      <c r="A17" s="3028"/>
      <c r="B17" s="3025" t="s">
        <v>1670</v>
      </c>
      <c r="C17" s="2002" t="s">
        <v>1669</v>
      </c>
    </row>
    <row r="18" spans="1:3" ht="13.5">
      <c r="A18" s="3028"/>
      <c r="B18" s="3025"/>
      <c r="C18" s="2002" t="s">
        <v>1671</v>
      </c>
    </row>
    <row r="19" spans="1:3" ht="13.5">
      <c r="A19" s="3028"/>
      <c r="B19" s="3025"/>
      <c r="C19" s="2002" t="s">
        <v>1672</v>
      </c>
    </row>
    <row r="20" spans="1:3" ht="13.5">
      <c r="A20" s="3029"/>
      <c r="B20" s="3024" t="s">
        <v>1673</v>
      </c>
      <c r="C20" s="3023"/>
    </row>
    <row r="21" spans="1:3" ht="13.5">
      <c r="A21" s="2003" t="s">
        <v>1674</v>
      </c>
      <c r="B21" s="2004"/>
      <c r="C21" s="2005"/>
    </row>
    <row r="22" spans="1:3" ht="13.5">
      <c r="A22" s="3026" t="s">
        <v>1675</v>
      </c>
      <c r="B22" s="3024" t="s">
        <v>1676</v>
      </c>
      <c r="C22" s="3023"/>
    </row>
    <row r="23" spans="1:3" ht="13.5">
      <c r="A23" s="3026"/>
      <c r="B23" s="3024" t="s">
        <v>1677</v>
      </c>
      <c r="C23" s="3023"/>
    </row>
    <row r="24" spans="1:3" ht="13.5">
      <c r="A24" s="3026"/>
      <c r="B24" s="3024" t="s">
        <v>1678</v>
      </c>
      <c r="C24" s="3023"/>
    </row>
    <row r="25" spans="1:3" ht="13.5">
      <c r="A25" s="3026"/>
      <c r="B25" s="3025" t="s">
        <v>1679</v>
      </c>
      <c r="C25" s="2002" t="s">
        <v>1680</v>
      </c>
    </row>
    <row r="26" spans="1:3" ht="13.5">
      <c r="A26" s="3026"/>
      <c r="B26" s="3025"/>
      <c r="C26" s="2002" t="s">
        <v>1681</v>
      </c>
    </row>
    <row r="27" spans="1:3" ht="13.5">
      <c r="A27" s="3026"/>
      <c r="B27" s="3025"/>
      <c r="C27" s="2002" t="s">
        <v>1682</v>
      </c>
    </row>
    <row r="28" spans="1:3" ht="13.5">
      <c r="A28" s="3026"/>
      <c r="B28" s="3025"/>
      <c r="C28" s="2002" t="s">
        <v>1683</v>
      </c>
    </row>
    <row r="29" spans="1:3" ht="13.5">
      <c r="A29" s="3026"/>
      <c r="B29" s="3025"/>
      <c r="C29" s="2002" t="s">
        <v>1684</v>
      </c>
    </row>
    <row r="30" spans="1:3" ht="13.5">
      <c r="A30" s="3026"/>
      <c r="B30" s="3025"/>
      <c r="C30" s="2002" t="s">
        <v>1685</v>
      </c>
    </row>
    <row r="31" spans="1:3" ht="13.5">
      <c r="A31" s="3026"/>
      <c r="B31" s="3025"/>
      <c r="C31" s="2002" t="s">
        <v>1686</v>
      </c>
    </row>
    <row r="32" spans="1:3" ht="13.5">
      <c r="A32" s="3026"/>
      <c r="B32" s="3025"/>
      <c r="C32" s="2002" t="s">
        <v>1687</v>
      </c>
    </row>
    <row r="33" spans="1:3" ht="13.5">
      <c r="A33" s="3026"/>
      <c r="B33" s="3025"/>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C22" sqref="C22"/>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43327</v>
      </c>
      <c r="C2" s="1021" t="s">
        <v>826</v>
      </c>
      <c r="D2" s="1021"/>
    </row>
    <row r="3" spans="1:6" ht="24" customHeight="1">
      <c r="A3" s="1022" t="s">
        <v>827</v>
      </c>
      <c r="B3" s="1023" t="s">
        <v>828</v>
      </c>
      <c r="C3" s="2346" t="s">
        <v>829</v>
      </c>
      <c r="D3" s="2349" t="s">
        <v>830</v>
      </c>
      <c r="E3" s="1024" t="s">
        <v>831</v>
      </c>
      <c r="F3" s="1023" t="s">
        <v>829</v>
      </c>
    </row>
    <row r="4" spans="1:6" ht="24" customHeight="1">
      <c r="A4" s="1704" t="s">
        <v>832</v>
      </c>
      <c r="B4" s="1024">
        <f ca="1">IF(C4&lt;B2,"已过期",1119970066)</f>
        <v>1119970066</v>
      </c>
      <c r="C4" s="2347">
        <v>43849</v>
      </c>
      <c r="D4" s="2350" t="s">
        <v>832</v>
      </c>
      <c r="E4" s="1024">
        <f ca="1">IF(F4&lt;B2,"已过期",96010014)</f>
        <v>96010014</v>
      </c>
      <c r="F4" s="1032">
        <v>47118</v>
      </c>
    </row>
    <row r="5" spans="1:6" ht="24" customHeight="1">
      <c r="A5" s="1704" t="s">
        <v>833</v>
      </c>
      <c r="B5" s="1024">
        <f ca="1">IF(C5&lt;B2,"已过期",1119970074)</f>
        <v>1119970074</v>
      </c>
      <c r="C5" s="2347">
        <v>43849</v>
      </c>
      <c r="D5" s="2350" t="s">
        <v>833</v>
      </c>
      <c r="E5" s="1024">
        <f ca="1">IF(F5&lt;B2,"已过期",2002110027)</f>
        <v>2002110027</v>
      </c>
      <c r="F5" s="1032">
        <v>46752</v>
      </c>
    </row>
    <row r="6" spans="1:6" ht="24" customHeight="1">
      <c r="A6" s="1704" t="s">
        <v>834</v>
      </c>
      <c r="B6" s="1024">
        <f ca="1">IF(C6&lt;B2,"已过期",1119970111)</f>
        <v>1119970111</v>
      </c>
      <c r="C6" s="2347">
        <v>43849</v>
      </c>
      <c r="D6" s="2350" t="s">
        <v>834</v>
      </c>
      <c r="E6" s="1024">
        <f ca="1">IF(F6&lt;B2,"已过期",94010078)</f>
        <v>94010078</v>
      </c>
      <c r="F6" s="1032">
        <v>46387</v>
      </c>
    </row>
    <row r="7" spans="1:6" ht="24" customHeight="1">
      <c r="A7" s="1704" t="s">
        <v>835</v>
      </c>
      <c r="B7" s="1024">
        <f ca="1">IF(C7&lt;B2,"已过期",1120050019)</f>
        <v>1120050019</v>
      </c>
      <c r="C7" s="2347">
        <v>43359</v>
      </c>
      <c r="D7" s="2350" t="s">
        <v>835</v>
      </c>
      <c r="E7" s="1024">
        <f ca="1">IF(F7&lt;B2,"已过期",2002110030)</f>
        <v>2002110030</v>
      </c>
      <c r="F7" s="1032">
        <v>46387</v>
      </c>
    </row>
    <row r="8" spans="1:6" ht="24" customHeight="1">
      <c r="A8" s="1704" t="s">
        <v>836</v>
      </c>
      <c r="B8" s="1024">
        <f ca="1">IF(C8&lt;B2,"已过期",1120000080)</f>
        <v>1120000080</v>
      </c>
      <c r="C8" s="2347">
        <v>43849</v>
      </c>
      <c r="D8" s="2350" t="s">
        <v>836</v>
      </c>
      <c r="E8" s="1024">
        <f ca="1">IF(F8&lt;B2,"已过期",2000110082)</f>
        <v>2000110082</v>
      </c>
      <c r="F8" s="1032">
        <v>46387</v>
      </c>
    </row>
    <row r="9" spans="1:6" ht="24" customHeight="1">
      <c r="A9" s="1704" t="s">
        <v>837</v>
      </c>
      <c r="B9" s="1024">
        <f ca="1">IF(C9&lt;B2,"已过期",1419970001)</f>
        <v>1419970001</v>
      </c>
      <c r="C9" s="2347">
        <v>43867</v>
      </c>
      <c r="D9" s="2350" t="s">
        <v>837</v>
      </c>
      <c r="E9" s="1024">
        <f ca="1">IF(F9&lt;B2,"已过期",2002110125)</f>
        <v>2002110125</v>
      </c>
      <c r="F9" s="1032">
        <v>47118</v>
      </c>
    </row>
    <row r="10" spans="1:6" ht="24" customHeight="1">
      <c r="A10" s="1704" t="s">
        <v>838</v>
      </c>
      <c r="B10" s="1024">
        <f ca="1">IF(C10&lt;B2,"已过期",1120060040)</f>
        <v>1120060040</v>
      </c>
      <c r="C10" s="2347">
        <v>43483</v>
      </c>
      <c r="D10" s="2350" t="s">
        <v>838</v>
      </c>
      <c r="E10" s="1024">
        <f ca="1">IF(F10&lt;B2,"已过期",2004110096)</f>
        <v>2004110096</v>
      </c>
      <c r="F10" s="1032">
        <v>47118</v>
      </c>
    </row>
    <row r="11" spans="1:6" ht="24" customHeight="1">
      <c r="A11" s="1704" t="s">
        <v>839</v>
      </c>
      <c r="B11" s="1024">
        <f ca="1">IF(C11&lt;B2,"已过期",1120100036)</f>
        <v>1120100036</v>
      </c>
      <c r="C11" s="2347">
        <v>43622</v>
      </c>
      <c r="D11" s="2350" t="s">
        <v>839</v>
      </c>
      <c r="E11" s="1024">
        <f ca="1">IF(F11&lt;B2,"已过期",2010110070)</f>
        <v>2010110070</v>
      </c>
      <c r="F11" s="1032">
        <v>47907</v>
      </c>
    </row>
    <row r="12" spans="1:6" ht="24" customHeight="1">
      <c r="A12" s="1704" t="s">
        <v>3037</v>
      </c>
      <c r="B12" s="1024">
        <v>1120110054</v>
      </c>
      <c r="C12" s="2942">
        <v>43937</v>
      </c>
      <c r="D12" s="1704" t="s">
        <v>3037</v>
      </c>
      <c r="E12" s="1024">
        <v>2008110060</v>
      </c>
      <c r="F12" s="1032">
        <v>47177</v>
      </c>
    </row>
    <row r="13" spans="1:6" ht="24" customHeight="1">
      <c r="A13" s="1704" t="s">
        <v>840</v>
      </c>
      <c r="B13" s="1024">
        <f ca="1">IF(C13&lt;B2,"已过期",1120070131)</f>
        <v>1120070131</v>
      </c>
      <c r="C13" s="2347">
        <v>43814</v>
      </c>
      <c r="D13" s="2350" t="s">
        <v>840</v>
      </c>
      <c r="E13" s="1024">
        <v>2014110011</v>
      </c>
      <c r="F13" s="1032">
        <v>49302</v>
      </c>
    </row>
    <row r="14" spans="1:6" ht="24" customHeight="1">
      <c r="A14" s="1704" t="s">
        <v>841</v>
      </c>
      <c r="B14" s="1024">
        <f ca="1">IF(C14&lt;B2,"已过期",1120130020)</f>
        <v>1120130020</v>
      </c>
      <c r="C14" s="2347">
        <v>43622</v>
      </c>
      <c r="D14" s="2350"/>
      <c r="E14" s="1024"/>
      <c r="F14" s="1024"/>
    </row>
    <row r="15" spans="1:6" ht="24" customHeight="1">
      <c r="A15" s="1705" t="s">
        <v>1149</v>
      </c>
      <c r="B15" s="1024">
        <v>1120070085</v>
      </c>
      <c r="C15" s="2347">
        <v>43814</v>
      </c>
      <c r="D15" s="2351" t="s">
        <v>1149</v>
      </c>
      <c r="E15" s="1024">
        <v>2004110128</v>
      </c>
      <c r="F15" s="1025">
        <v>47118</v>
      </c>
    </row>
    <row r="16" spans="1:6" ht="24" customHeight="1">
      <c r="A16" s="1704" t="s">
        <v>842</v>
      </c>
      <c r="B16" s="1024">
        <f ca="1">IF(C16&lt;B2,"已过期",1120140022)</f>
        <v>1120140022</v>
      </c>
      <c r="C16" s="2347">
        <v>44029</v>
      </c>
      <c r="D16" s="2350" t="s">
        <v>842</v>
      </c>
      <c r="E16" s="1024">
        <f ca="1">IF(F16&lt;B2,"已过期",2008110059)</f>
        <v>2008110059</v>
      </c>
      <c r="F16" s="1032">
        <v>47177</v>
      </c>
    </row>
    <row r="17" spans="1:7" ht="24" customHeight="1">
      <c r="A17" s="1704"/>
      <c r="B17" s="1024"/>
      <c r="C17" s="2347"/>
      <c r="D17" s="2350"/>
      <c r="E17" s="1024"/>
      <c r="F17" s="1032"/>
    </row>
    <row r="18" spans="1:7" ht="24" customHeight="1">
      <c r="A18" s="1704"/>
      <c r="B18" s="1024"/>
      <c r="C18" s="2347"/>
      <c r="D18" s="2350"/>
      <c r="E18" s="1024"/>
      <c r="F18" s="1032"/>
    </row>
    <row r="19" spans="1:7" ht="24" customHeight="1">
      <c r="A19" s="1704"/>
      <c r="B19" s="1024"/>
      <c r="C19" s="2347"/>
      <c r="D19" s="2350"/>
      <c r="E19" s="1024"/>
      <c r="F19" s="1024"/>
    </row>
    <row r="20" spans="1:7" ht="24" customHeight="1">
      <c r="A20" s="1704"/>
      <c r="B20" s="1024"/>
      <c r="C20" s="2347"/>
      <c r="D20" s="2350"/>
      <c r="E20" s="1024"/>
      <c r="F20" s="1024"/>
    </row>
    <row r="21" spans="1:7" ht="24" customHeight="1">
      <c r="A21" s="1704"/>
      <c r="B21" s="1024"/>
      <c r="C21" s="2347"/>
      <c r="D21" s="2350" t="s">
        <v>843</v>
      </c>
      <c r="E21" s="1024">
        <f ca="1">IF(F21&lt;B2,"已过期",2011110090)</f>
        <v>2011110090</v>
      </c>
      <c r="F21" s="1032">
        <v>48302</v>
      </c>
    </row>
    <row r="22" spans="1:7" ht="24" customHeight="1">
      <c r="A22" s="1704" t="s">
        <v>844</v>
      </c>
      <c r="B22" s="1024">
        <f ca="1">IF(C22&lt;B2,"已过期",1120020033)</f>
        <v>1120020033</v>
      </c>
      <c r="C22" s="2942">
        <v>44339</v>
      </c>
      <c r="D22" s="2350" t="s">
        <v>844</v>
      </c>
      <c r="E22" s="1024">
        <f ca="1">IF(F22&lt;B2,"已过期",2000110137)</f>
        <v>2000110137</v>
      </c>
      <c r="F22" s="1032">
        <v>46387</v>
      </c>
    </row>
    <row r="23" spans="1:7" ht="24" customHeight="1">
      <c r="A23" s="1704" t="s">
        <v>845</v>
      </c>
      <c r="B23" s="1024">
        <f ca="1">IF(C23&lt;B2,"已过期",1120130048)</f>
        <v>1120130048</v>
      </c>
      <c r="C23" s="2347">
        <v>43686</v>
      </c>
      <c r="D23" s="2350"/>
      <c r="E23" s="1024"/>
      <c r="F23" s="1024"/>
    </row>
    <row r="24" spans="1:7" s="1026" customFormat="1" ht="24" customHeight="1">
      <c r="A24" s="1705" t="s">
        <v>1333</v>
      </c>
      <c r="B24" s="1705" t="s">
        <v>1333</v>
      </c>
      <c r="C24" s="2348" t="s">
        <v>1333</v>
      </c>
      <c r="D24" s="2351" t="s">
        <v>1333</v>
      </c>
      <c r="E24" s="1705" t="s">
        <v>1333</v>
      </c>
      <c r="F24" s="1705" t="s">
        <v>1333</v>
      </c>
    </row>
    <row r="25" spans="1:7" ht="24" customHeight="1">
      <c r="A25" s="3030" t="s">
        <v>846</v>
      </c>
      <c r="B25" s="3030"/>
      <c r="C25" s="3030"/>
      <c r="D25" s="3030"/>
      <c r="E25" s="3030"/>
      <c r="F25" s="3030"/>
      <c r="G25" s="3030"/>
    </row>
    <row r="26" spans="1:7" s="1027" customFormat="1" ht="24" customHeight="1">
      <c r="A26" s="3031" t="s">
        <v>847</v>
      </c>
      <c r="B26" s="3031"/>
      <c r="C26" s="3032"/>
      <c r="D26" s="3033" t="s">
        <v>848</v>
      </c>
      <c r="E26" s="3031"/>
      <c r="F26" s="3031"/>
    </row>
    <row r="27" spans="1:7" s="1029" customFormat="1" ht="24" customHeight="1">
      <c r="A27" s="1028" t="s">
        <v>849</v>
      </c>
      <c r="B27" s="1023" t="s">
        <v>850</v>
      </c>
      <c r="C27" s="2346" t="s">
        <v>851</v>
      </c>
      <c r="D27" s="2354" t="s">
        <v>849</v>
      </c>
      <c r="E27" s="1023" t="s">
        <v>850</v>
      </c>
      <c r="F27" s="1023" t="s">
        <v>851</v>
      </c>
    </row>
    <row r="28" spans="1:7" s="1029" customFormat="1" ht="24" customHeight="1">
      <c r="A28" s="1030" t="s">
        <v>852</v>
      </c>
      <c r="B28" s="1031" t="s">
        <v>853</v>
      </c>
      <c r="C28" s="2352">
        <v>43725</v>
      </c>
      <c r="D28" s="2355" t="s">
        <v>854</v>
      </c>
      <c r="E28" s="1030" t="s">
        <v>855</v>
      </c>
      <c r="F28" s="1060">
        <v>44377</v>
      </c>
    </row>
    <row r="29" spans="1:7" s="1029" customFormat="1" ht="24" customHeight="1">
      <c r="A29" s="1030"/>
      <c r="B29" s="1030"/>
      <c r="C29" s="2353"/>
      <c r="D29" s="2355"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7"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134</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不动产权附页</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收益法</vt:lpstr>
      <vt:lpstr>典型户型修正</vt:lpstr>
      <vt:lpstr>22#底商</vt:lpstr>
      <vt:lpstr>5#&amp;2#</vt:lpstr>
      <vt:lpstr>5#</vt:lpstr>
      <vt:lpstr>2#</vt:lpstr>
      <vt:lpstr>租金案例</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2018-08-15T02:32:48Z</dcterms:modified>
</cp:coreProperties>
</file>