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05" windowWidth="19395" windowHeight="8700" tabRatio="732" activeTab="8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  <sheet name="报告用表" sheetId="13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F13" i="13"/>
  <c r="E8" l="1"/>
  <c r="E5"/>
  <c r="E7"/>
  <c r="E9" l="1"/>
  <c r="E6"/>
  <c r="E4"/>
  <c r="C63" i="2"/>
  <c r="D63"/>
  <c r="E63"/>
  <c r="F63"/>
  <c r="G63"/>
  <c r="H63"/>
  <c r="I63"/>
  <c r="J63"/>
  <c r="B63"/>
  <c r="E3" i="13" s="1"/>
  <c r="G19" i="9" l="1"/>
  <c r="L18"/>
  <c r="H18"/>
  <c r="H14"/>
  <c r="L14" s="1"/>
  <c r="N7"/>
  <c r="L7"/>
  <c r="J7"/>
  <c r="H7"/>
  <c r="M5"/>
  <c r="M20" s="1"/>
  <c r="M21" s="1"/>
  <c r="I5"/>
  <c r="I20" s="1"/>
  <c r="I21" s="1"/>
  <c r="M4"/>
  <c r="K4"/>
  <c r="I4"/>
  <c r="G4"/>
  <c r="H14" i="11"/>
  <c r="L14" s="1"/>
  <c r="H14" i="10"/>
  <c r="L14" s="1"/>
  <c r="L14" i="7"/>
  <c r="H14" i="8"/>
  <c r="L14" s="1"/>
  <c r="S15" i="11"/>
  <c r="L10"/>
  <c r="H10"/>
  <c r="L9"/>
  <c r="H9"/>
  <c r="L8"/>
  <c r="H8"/>
  <c r="G19"/>
  <c r="L18"/>
  <c r="H18"/>
  <c r="N7"/>
  <c r="L7"/>
  <c r="J7"/>
  <c r="H7"/>
  <c r="M5"/>
  <c r="M20" s="1"/>
  <c r="M21" s="1"/>
  <c r="I5"/>
  <c r="I20" s="1"/>
  <c r="I21" s="1"/>
  <c r="M4"/>
  <c r="K4"/>
  <c r="I4"/>
  <c r="G4"/>
  <c r="E4"/>
  <c r="G19" i="10"/>
  <c r="L18"/>
  <c r="H18"/>
  <c r="N7"/>
  <c r="L7"/>
  <c r="J7"/>
  <c r="H7"/>
  <c r="M5"/>
  <c r="M20" s="1"/>
  <c r="M21" s="1"/>
  <c r="I5"/>
  <c r="I20" s="1"/>
  <c r="I21" s="1"/>
  <c r="M4"/>
  <c r="K4"/>
  <c r="I4"/>
  <c r="G4"/>
  <c r="E4"/>
  <c r="G19" i="8"/>
  <c r="L18"/>
  <c r="H18"/>
  <c r="N7"/>
  <c r="L7"/>
  <c r="J7"/>
  <c r="H7"/>
  <c r="M5"/>
  <c r="M20" s="1"/>
  <c r="M21" s="1"/>
  <c r="I5"/>
  <c r="I20" s="1"/>
  <c r="I21" s="1"/>
  <c r="M4"/>
  <c r="K4"/>
  <c r="I4"/>
  <c r="G4"/>
  <c r="E4"/>
  <c r="K4" i="7"/>
  <c r="G4"/>
  <c r="E4"/>
  <c r="G19"/>
  <c r="L18"/>
  <c r="H18"/>
  <c r="N7"/>
  <c r="L7"/>
  <c r="J7"/>
  <c r="H7"/>
  <c r="M5"/>
  <c r="M20" s="1"/>
  <c r="M21" s="1"/>
  <c r="I5"/>
  <c r="I20" s="1"/>
  <c r="I21" s="1"/>
  <c r="M4"/>
  <c r="I4"/>
  <c r="F23" i="12"/>
  <c r="E23"/>
  <c r="F22"/>
  <c r="E22"/>
  <c r="F21"/>
  <c r="E21"/>
  <c r="F20"/>
  <c r="E20"/>
  <c r="F19"/>
  <c r="E19"/>
  <c r="F18"/>
  <c r="E18"/>
  <c r="F17"/>
  <c r="E17"/>
  <c r="F16"/>
  <c r="E16"/>
  <c r="F15"/>
  <c r="E15"/>
  <c r="B2"/>
  <c r="B14"/>
  <c r="D14" s="1"/>
  <c r="F14" l="1"/>
  <c r="B6"/>
  <c r="B5"/>
  <c r="B10" l="1"/>
  <c r="B8"/>
  <c r="C5"/>
  <c r="B11"/>
  <c r="B9"/>
  <c r="B7"/>
  <c r="D5"/>
  <c r="D6"/>
  <c r="C6"/>
  <c r="C7" l="1"/>
  <c r="D7"/>
  <c r="D8"/>
  <c r="C8"/>
  <c r="B70" i="2" l="1"/>
  <c r="H70"/>
  <c r="G70"/>
  <c r="D70"/>
  <c r="H62"/>
  <c r="G62"/>
  <c r="D62"/>
  <c r="Q28"/>
  <c r="Q29"/>
  <c r="Q30"/>
  <c r="Q31"/>
  <c r="Q32"/>
  <c r="Q33"/>
  <c r="Q34"/>
  <c r="Q35"/>
  <c r="Q27"/>
  <c r="D72" l="1"/>
  <c r="H72"/>
  <c r="G72"/>
  <c r="R35"/>
  <c r="E5" i="11" l="1"/>
  <c r="E20" s="1"/>
  <c r="E21" s="1"/>
  <c r="E5" i="8"/>
  <c r="E20" s="1"/>
  <c r="E21" s="1"/>
  <c r="E5" i="7"/>
  <c r="E20" s="1"/>
  <c r="E21" s="1"/>
  <c r="E5" i="10"/>
  <c r="E20" s="1"/>
  <c r="E21" s="1"/>
  <c r="G5"/>
  <c r="G20" s="1"/>
  <c r="G21" s="1"/>
  <c r="G24" s="1"/>
  <c r="G26" s="1"/>
  <c r="G5" i="8"/>
  <c r="G20" s="1"/>
  <c r="G21" s="1"/>
  <c r="G24" s="1"/>
  <c r="G26" s="1"/>
  <c r="G5" i="7"/>
  <c r="G20" s="1"/>
  <c r="G21" s="1"/>
  <c r="G24" s="1"/>
  <c r="G26" s="1"/>
  <c r="G5" i="9"/>
  <c r="G20" s="1"/>
  <c r="G21" s="1"/>
  <c r="G24" s="1"/>
  <c r="G26" s="1"/>
  <c r="G5" i="11"/>
  <c r="G20" s="1"/>
  <c r="G21" s="1"/>
  <c r="G24" s="1"/>
  <c r="G26" s="1"/>
  <c r="K5" i="10"/>
  <c r="K20" s="1"/>
  <c r="K21" s="1"/>
  <c r="K24" s="1"/>
  <c r="K26" s="1"/>
  <c r="K5" i="7"/>
  <c r="K20" s="1"/>
  <c r="K21" s="1"/>
  <c r="K24" s="1"/>
  <c r="K26" s="1"/>
  <c r="K5" i="9"/>
  <c r="K20" s="1"/>
  <c r="K21" s="1"/>
  <c r="K24" s="1"/>
  <c r="K26" s="1"/>
  <c r="K5" i="11"/>
  <c r="K20" s="1"/>
  <c r="K21" s="1"/>
  <c r="K24" s="1"/>
  <c r="K26" s="1"/>
  <c r="K5" i="8"/>
  <c r="K20" s="1"/>
  <c r="K21" s="1"/>
  <c r="K24" s="1"/>
  <c r="K26" s="1"/>
  <c r="Q14" i="2"/>
  <c r="Q15"/>
  <c r="Q16"/>
  <c r="Q17"/>
  <c r="Q18"/>
  <c r="Q19"/>
  <c r="Q20"/>
  <c r="Q21"/>
  <c r="Q13"/>
  <c r="F22"/>
  <c r="G22"/>
  <c r="H22"/>
  <c r="I22"/>
  <c r="J22"/>
  <c r="K22"/>
  <c r="L22"/>
  <c r="M22"/>
  <c r="N22"/>
  <c r="O22"/>
  <c r="P22"/>
  <c r="E22"/>
  <c r="A22" i="10" l="1"/>
  <c r="E24"/>
  <c r="E26" s="1"/>
  <c r="C24"/>
  <c r="R13" i="11" s="1"/>
  <c r="C24" i="8"/>
  <c r="R12" i="11" s="1"/>
  <c r="A22" i="8"/>
  <c r="E24"/>
  <c r="E26" s="1"/>
  <c r="E24" i="7"/>
  <c r="E26" s="1"/>
  <c r="A22"/>
  <c r="C24"/>
  <c r="R11" i="11" s="1"/>
  <c r="C24"/>
  <c r="R14" s="1"/>
  <c r="A22"/>
  <c r="E24"/>
  <c r="E26" s="1"/>
  <c r="T11" l="1"/>
  <c r="E5" i="9" s="1"/>
  <c r="E20" s="1"/>
  <c r="E21" s="1"/>
  <c r="E24" s="1"/>
  <c r="E26" s="1"/>
  <c r="U11" i="11"/>
</calcChain>
</file>

<file path=xl/sharedStrings.xml><?xml version="1.0" encoding="utf-8"?>
<sst xmlns="http://schemas.openxmlformats.org/spreadsheetml/2006/main" count="959" uniqueCount="191">
  <si>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</si>
  <si>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</si>
  <si>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</si>
  <si>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</si>
  <si>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</si>
  <si>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</si>
  <si>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</si>
  <si>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</si>
  <si>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</si>
  <si>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</si>
  <si>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</si>
  <si>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</si>
  <si>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</si>
  <si>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</si>
  <si>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</si>
  <si>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</si>
  <si>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</si>
  <si>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</si>
  <si>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</si>
  <si>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</si>
  <si>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</si>
  <si>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</si>
  <si>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</si>
  <si>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</si>
  <si>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</si>
  <si>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</si>
  <si>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</si>
  <si>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</si>
  <si>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</si>
  <si>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</si>
  <si>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</si>
  <si>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</si>
  <si>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</si>
  <si>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</si>
  <si>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</si>
  <si>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</si>
  <si>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</si>
  <si>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</si>
  <si>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</si>
  <si>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</si>
  <si>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</si>
  <si>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</si>
  <si>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</si>
  <si>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</si>
  <si>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</si>
  <si>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</si>
  <si>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</si>
  <si>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</si>
  <si>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</si>
  <si>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</si>
  <si>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</si>
  <si>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</si>
  <si>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</si>
  <si>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</si>
  <si>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</si>
  <si>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</si>
  <si>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</si>
  <si>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</si>
  <si>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</si>
  <si>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</si>
  <si>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</si>
  <si>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</si>
  <si>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</si>
  <si>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</si>
  <si>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</si>
  <si>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</si>
  <si>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</si>
  <si>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</si>
  <si>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</si>
  <si>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</si>
  <si>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</si>
  <si>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</si>
  <si>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</si>
  <si>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</si>
  <si>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</si>
  <si>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</si>
  <si>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</si>
  <si>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</si>
  <si>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</si>
  <si>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</si>
  <si>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</si>
  <si>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</si>
  <si>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</si>
  <si>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</si>
  <si>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</si>
  <si>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</si>
  <si>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</si>
  <si>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</si>
  <si>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</si>
  <si>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</si>
  <si>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</si>
  <si>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</si>
  <si>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</si>
  <si>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</si>
  <si>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</si>
  <si>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</si>
  <si>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</si>
  <si>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</si>
  <si>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</si>
  <si>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</si>
  <si>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</si>
  <si>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</si>
  <si>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</si>
  <si>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</si>
  <si>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</si>
  <si>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</si>
  <si>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</si>
  <si>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</si>
  <si>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</si>
  <si>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</si>
  <si>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</si>
  <si>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</si>
  <si>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</si>
  <si>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</si>
  <si>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</si>
  <si>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</si>
  <si>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</si>
  <si>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</si>
  <si>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</si>
  <si>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</si>
  <si>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</si>
  <si>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</si>
  <si>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</si>
  <si>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</si>
  <si>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</si>
  <si>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</si>
  <si>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</si>
  <si>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</si>
  <si>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</si>
  <si>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</si>
  <si>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</si>
  <si>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</si>
  <si>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</si>
  <si>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</si>
  <si>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</si>
  <si>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</si>
  <si>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</si>
  <si>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</si>
  <si>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</si>
  <si>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</si>
  <si>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</si>
  <si>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</si>
  <si>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</si>
  <si>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</si>
  <si>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</si>
  <si>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</si>
  <si>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</si>
  <si>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</si>
  <si>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</si>
  <si>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</si>
  <si>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</si>
  <si>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</si>
  <si>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</si>
  <si>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</si>
  <si>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</si>
  <si>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</si>
  <si>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</si>
  <si>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</si>
  <si>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</si>
  <si>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</si>
  <si>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</si>
  <si>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</si>
  <si>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</si>
  <si>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</si>
  <si>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</si>
  <si>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</si>
  <si>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</si>
  <si>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</si>
  <si>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</si>
  <si>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</si>
  <si>
    <t>周边市场调查情况表</t>
    <phoneticPr fontId="2" type="noConversion"/>
  </si>
  <si>
    <t>序号</t>
    <phoneticPr fontId="2" type="noConversion"/>
  </si>
  <si>
    <t>项目名称</t>
    <phoneticPr fontId="2" type="noConversion"/>
  </si>
  <si>
    <t>户型</t>
    <phoneticPr fontId="2" type="noConversion"/>
  </si>
  <si>
    <t>建筑面积</t>
    <phoneticPr fontId="2" type="noConversion"/>
  </si>
  <si>
    <t>林荫家园</t>
    <phoneticPr fontId="2" type="noConversion"/>
  </si>
  <si>
    <t>腾龙源城</t>
    <phoneticPr fontId="2" type="noConversion"/>
  </si>
  <si>
    <t>都丽豪廷</t>
    <phoneticPr fontId="2" type="noConversion"/>
  </si>
  <si>
    <t>天润香墅湾1号</t>
    <phoneticPr fontId="2" type="noConversion"/>
  </si>
  <si>
    <t>紫贵庄园</t>
    <phoneticPr fontId="2" type="noConversion"/>
  </si>
  <si>
    <t>渔阳花园</t>
    <phoneticPr fontId="2" type="noConversion"/>
  </si>
  <si>
    <t>金谷御景</t>
    <phoneticPr fontId="2" type="noConversion"/>
  </si>
  <si>
    <r>
      <t>年均租金（元/月</t>
    </r>
    <r>
      <rPr>
        <sz val="11"/>
        <color theme="1"/>
        <rFont val="宋体"/>
        <family val="3"/>
        <charset val="134"/>
      </rPr>
      <t>•</t>
    </r>
    <r>
      <rPr>
        <sz val="11"/>
        <color theme="1"/>
        <rFont val="宋体"/>
        <family val="2"/>
        <charset val="134"/>
        <scheme val="minor"/>
      </rPr>
      <t>平方米）</t>
    </r>
    <phoneticPr fontId="2" type="noConversion"/>
  </si>
  <si>
    <t>物业费（元/月•平方米）</t>
    <phoneticPr fontId="2" type="noConversion"/>
  </si>
  <si>
    <t>二居</t>
    <phoneticPr fontId="2" type="noConversion"/>
  </si>
  <si>
    <t>约92</t>
    <phoneticPr fontId="2" type="noConversion"/>
  </si>
  <si>
    <t>约77</t>
    <phoneticPr fontId="2" type="noConversion"/>
  </si>
  <si>
    <t>约91</t>
    <phoneticPr fontId="2" type="noConversion"/>
  </si>
  <si>
    <t>约79</t>
    <phoneticPr fontId="2" type="noConversion"/>
  </si>
  <si>
    <t>约87</t>
    <phoneticPr fontId="2" type="noConversion"/>
  </si>
  <si>
    <t>约90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</si>
</sst>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"/>
  <sheetViews>
    <sheetView topLeftCell="A43" zoomScale="90" zoomScaleNormal="90" workbookViewId="0">
      <selection activeCell="B63" sqref="B63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thickBot="1">
      <c r="A1" s="1"/>
      <c r="B1" s="81">
        <v>44013</v>
      </c>
      <c r="C1" s="80"/>
      <c r="D1" s="80"/>
      <c r="E1" s="80"/>
      <c r="F1" s="80"/>
      <c r="G1" s="2"/>
      <c r="H1" s="80"/>
      <c r="I1" s="80"/>
      <c r="J1" s="2"/>
      <c r="K1" s="80"/>
      <c r="L1" s="2"/>
      <c r="M1" s="80"/>
      <c r="N1" s="80"/>
      <c r="O1" s="2"/>
    </row>
    <row r="2" spans="1:17" ht="15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11" spans="1:17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5" spans="1:17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8" spans="1:18" ht="15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3" spans="1:17">
      <c r="B63">
        <f>ROUND(AVERAGE(B57:B61),2)</f>
        <v>24.27</v>
      </c>
      <c r="C63">
        <f t="shared" ref="C63:J63" si="5">ROUND(AVERAGE(C57:C61),2)</f>
        <v>25.47</v>
      </c>
      <c r="D63">
        <f t="shared" si="5"/>
        <v>29.56</v>
      </c>
      <c r="E63">
        <f t="shared" si="5"/>
        <v>32.26</v>
      </c>
      <c r="F63">
        <f t="shared" si="5"/>
        <v>31.75</v>
      </c>
      <c r="G63">
        <f t="shared" si="5"/>
        <v>31.66</v>
      </c>
      <c r="H63">
        <f t="shared" si="5"/>
        <v>29.04</v>
      </c>
      <c r="I63">
        <f t="shared" si="5"/>
        <v>23.79</v>
      </c>
      <c r="J63">
        <f t="shared" si="5"/>
        <v>21.12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6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2" t="s">
        <v>135</v>
      </c>
      <c r="C82" s="83"/>
      <c r="D82" s="67">
        <v>26.79</v>
      </c>
      <c r="F82" s="82" t="s">
        <v>135</v>
      </c>
      <c r="G82" s="83"/>
      <c r="H82" s="67">
        <v>24.75</v>
      </c>
      <c r="J82" s="82" t="s">
        <v>135</v>
      </c>
      <c r="K82" s="83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4" t="s">
        <v>135</v>
      </c>
      <c r="C90" s="85"/>
      <c r="D90" s="73">
        <v>31.66</v>
      </c>
      <c r="F90" s="84" t="s">
        <v>135</v>
      </c>
      <c r="G90" s="85"/>
      <c r="H90" s="73">
        <v>29.56</v>
      </c>
      <c r="J90" s="84" t="s">
        <v>135</v>
      </c>
      <c r="K90" s="85"/>
      <c r="L90" s="73">
        <v>29.04</v>
      </c>
    </row>
  </sheetData>
  <sortState ref="A43:J53">
    <sortCondition descending="1" ref="A42"/>
  </sortState>
  <mergeCells count="14">
    <mergeCell ref="B82:C82"/>
    <mergeCell ref="B90:C90"/>
    <mergeCell ref="F90:G90"/>
    <mergeCell ref="F82:G82"/>
    <mergeCell ref="J82:K82"/>
    <mergeCell ref="J90:K90"/>
    <mergeCell ref="K1"/>
    <mergeCell ref="M1"/>
    <mergeCell ref="N1"/>
    <mergeCell ref="B1:D1"/>
    <mergeCell ref="E1"/>
    <mergeCell ref="F1"/>
    <mergeCell ref="H1"/>
    <mergeCell ref="I1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0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6"/>
  <sheetViews>
    <sheetView workbookViewId="0">
      <selection activeCell="E5" sqref="E5:F5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139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102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103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26.64</v>
      </c>
      <c r="F21" s="101"/>
      <c r="G21" s="101">
        <f>ROUND(G20*POWER(100,COUNT(H6:H19))/PRODUCT(H6:H19),2)</f>
        <v>23.91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22.92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估价对象比较价值=(26.64+23.91+22.92)/3=24.49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24.49</v>
      </c>
      <c r="E24">
        <f>ROUND(E21/E20,4)</f>
        <v>0.91139999999999999</v>
      </c>
      <c r="G24">
        <f>ROUND(G21/G20,4)</f>
        <v>0.88029999999999997</v>
      </c>
      <c r="K24">
        <f>ROUND(K21/K20,4)</f>
        <v>0.87180000000000002</v>
      </c>
    </row>
    <row r="26" spans="1:14">
      <c r="E26">
        <f>E20*E24</f>
        <v>26.640222000000001</v>
      </c>
      <c r="G26">
        <f>G20*G24</f>
        <v>23.908947999999999</v>
      </c>
      <c r="K26" s="61">
        <f>K20*K24</f>
        <v>22.919622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6"/>
  <sheetViews>
    <sheetView topLeftCell="A16" workbookViewId="0">
      <selection activeCell="K20" sqref="K20:L20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149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150</v>
      </c>
      <c r="D19" s="55">
        <v>100</v>
      </c>
      <c r="E19" s="56" t="s">
        <v>142</v>
      </c>
      <c r="F19" s="55">
        <v>101</v>
      </c>
      <c r="G19" s="56" t="str">
        <f>E19</f>
        <v>使用品牌家具、家电；虽然使用较长时间，但功能正常，一般</v>
      </c>
      <c r="H19" s="55">
        <v>101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29.23</v>
      </c>
      <c r="F21" s="101"/>
      <c r="G21" s="101">
        <f>ROUND(G20*POWER(100,COUNT(H6:H19))/PRODUCT(H6:H19),2)</f>
        <v>26.24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25.15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估价对象比较价值=(29.23+26.24+25.15)/3=26.87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26.87</v>
      </c>
      <c r="E24" s="79">
        <f>ROUND(E21/E20,4)</f>
        <v>1</v>
      </c>
      <c r="G24">
        <f>ROUND(G21/G20,4)</f>
        <v>0.96609999999999996</v>
      </c>
      <c r="K24">
        <f>ROUND(K21/K20,4)</f>
        <v>0.95660000000000001</v>
      </c>
    </row>
    <row r="26" spans="1:14">
      <c r="E26">
        <f>E20*E24</f>
        <v>29.23</v>
      </c>
      <c r="G26">
        <f>G20*G24</f>
        <v>26.239276</v>
      </c>
      <c r="K26" s="61">
        <f>K20*K24</f>
        <v>25.149014000000001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6"/>
  <sheetViews>
    <sheetView topLeftCell="A19" workbookViewId="0">
      <selection activeCell="K20" sqref="K20:L20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89" t="s">
        <v>78</v>
      </c>
      <c r="B4" s="89"/>
      <c r="C4" s="90" t="s">
        <v>152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102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103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28.95</v>
      </c>
      <c r="F21" s="101"/>
      <c r="G21" s="101">
        <f>ROUND(G20*POWER(100,COUNT(H6:H19))/PRODUCT(H6:H19),2)</f>
        <v>25.99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24.91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估价对象比较价值=(28.95+25.99+24.91)/3=26.62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26.62</v>
      </c>
      <c r="E24">
        <f>ROUND(E21/E20,4)</f>
        <v>0.99039999999999995</v>
      </c>
      <c r="G24">
        <f>ROUND(G21/G20,4)</f>
        <v>0.95689999999999997</v>
      </c>
      <c r="K24">
        <f>ROUND(K21/K20,4)</f>
        <v>0.94750000000000001</v>
      </c>
    </row>
    <row r="26" spans="1:14">
      <c r="E26">
        <f>E20*E24</f>
        <v>28.949392</v>
      </c>
      <c r="G26">
        <f>G20*G24</f>
        <v>25.989404</v>
      </c>
      <c r="K26" s="61">
        <f>K20*K24</f>
        <v>24.909775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U26"/>
  <sheetViews>
    <sheetView topLeftCell="B4" workbookViewId="0">
      <selection activeCell="T11" sqref="T11:U11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87" t="s">
        <v>71</v>
      </c>
      <c r="B3" s="88"/>
      <c r="C3" s="89" t="s">
        <v>72</v>
      </c>
      <c r="D3" s="89"/>
      <c r="E3" s="89" t="s">
        <v>73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21">
      <c r="A4" s="89" t="s">
        <v>78</v>
      </c>
      <c r="B4" s="89"/>
      <c r="C4" s="90" t="s">
        <v>151</v>
      </c>
      <c r="D4" s="88"/>
      <c r="E4" s="87" t="str">
        <f>中指数据及报告案例表!B75</f>
        <v>紫贵庄园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21" ht="30" customHeight="1">
      <c r="A5" s="89" t="s">
        <v>79</v>
      </c>
      <c r="B5" s="89"/>
      <c r="C5" s="87" t="s">
        <v>80</v>
      </c>
      <c r="D5" s="88"/>
      <c r="E5" s="96">
        <f>中指数据及报告案例表!G72</f>
        <v>29.23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21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1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2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2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2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24.49</v>
      </c>
      <c r="S11" s="77">
        <v>656</v>
      </c>
      <c r="T11" s="78">
        <f>AVERAGE(R11:R14)</f>
        <v>25.475000000000001</v>
      </c>
      <c r="U11" s="77">
        <f>ROUND(R11*S11/S15+R12*S12/S15+R13*S13/S15+R14*S14/S15,2)</f>
        <v>25.34</v>
      </c>
    </row>
    <row r="12" spans="1:21" ht="60">
      <c r="A12" s="93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26.87</v>
      </c>
      <c r="S12" s="77">
        <v>113</v>
      </c>
      <c r="T12" s="77"/>
      <c r="U12" s="77"/>
    </row>
    <row r="13" spans="1:21" ht="36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26.62</v>
      </c>
      <c r="S13" s="77">
        <v>393</v>
      </c>
      <c r="T13" s="77"/>
      <c r="U13" s="77"/>
    </row>
    <row r="14" spans="1:21" ht="48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  <c r="Q14" s="77" t="s">
        <v>158</v>
      </c>
      <c r="R14" s="77">
        <f>C24</f>
        <v>23.92</v>
      </c>
      <c r="S14" s="77">
        <v>86</v>
      </c>
      <c r="T14" s="77"/>
      <c r="U14" s="77"/>
    </row>
    <row r="15" spans="1:21" ht="48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2" t="s">
        <v>161</v>
      </c>
      <c r="R15" s="103"/>
      <c r="S15" s="77">
        <f>SUM(S11:S14)</f>
        <v>1248</v>
      </c>
      <c r="T15" s="77"/>
      <c r="U15" s="77"/>
    </row>
    <row r="16" spans="1:21" ht="60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5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5"/>
      <c r="B19" s="56" t="s">
        <v>119</v>
      </c>
      <c r="C19" s="56" t="s">
        <v>155</v>
      </c>
      <c r="D19" s="55">
        <v>100</v>
      </c>
      <c r="E19" s="56" t="s">
        <v>142</v>
      </c>
      <c r="F19" s="55">
        <v>99</v>
      </c>
      <c r="G19" s="56" t="str">
        <f>E19</f>
        <v>使用品牌家具、家电；虽然使用较长时间，但功能正常，一般</v>
      </c>
      <c r="H19" s="55">
        <v>99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29.23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26.02</v>
      </c>
      <c r="F21" s="101"/>
      <c r="G21" s="101">
        <f>ROUND(G20*POWER(100,COUNT(H6:H19))/PRODUCT(H6:H19),2)</f>
        <v>23.36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22.39</v>
      </c>
      <c r="L21" s="101"/>
      <c r="M21" s="101">
        <f>ROUND(M20*POWER(100,COUNT(N6:N19))/PRODUCT(N6:N19),2)</f>
        <v>89.64</v>
      </c>
      <c r="N21" s="101"/>
    </row>
    <row r="22" spans="1:14" ht="14.25">
      <c r="A22" s="98" t="str">
        <f>CONCATENATE("估价对象比较价值=(",TEXT(E21,"G/通用格式"),"+",TEXT(G21,"G/通用格式"),"+",TEXT(K21,"G/通用格式"),")","/",3,"=",ROUND((E21+G21+K21)/3,2))</f>
        <v>估价对象比较价值=(26.02+23.36+22.39)/3=23.92</v>
      </c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C24">
        <f>ROUND((E21+G21+K21)/3,2)</f>
        <v>23.92</v>
      </c>
      <c r="E24">
        <f>ROUND(E21/E20,4)</f>
        <v>0.89019999999999999</v>
      </c>
      <c r="G24">
        <f>ROUND(G21/G20,4)</f>
        <v>0.86009999999999998</v>
      </c>
      <c r="K24">
        <f>ROUND(K21/K20,4)</f>
        <v>0.85170000000000001</v>
      </c>
    </row>
    <row r="26" spans="1:14">
      <c r="E26">
        <f>E20*E24</f>
        <v>26.020546</v>
      </c>
      <c r="G26">
        <f>G20*G24</f>
        <v>23.360316000000001</v>
      </c>
      <c r="K26" s="61">
        <f>K20*K24</f>
        <v>22.391193000000001</v>
      </c>
    </row>
  </sheetData>
  <mergeCells count="42"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6"/>
  <sheetViews>
    <sheetView workbookViewId="0">
      <selection activeCell="R24" sqref="R24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7" t="s">
        <v>71</v>
      </c>
      <c r="B3" s="88"/>
      <c r="C3" s="104" t="s">
        <v>163</v>
      </c>
      <c r="D3" s="89"/>
      <c r="E3" s="89" t="s">
        <v>165</v>
      </c>
      <c r="F3" s="89"/>
      <c r="G3" s="89" t="s">
        <v>74</v>
      </c>
      <c r="H3" s="89"/>
      <c r="I3" s="89" t="s">
        <v>75</v>
      </c>
      <c r="J3" s="89"/>
      <c r="K3" s="89" t="s">
        <v>76</v>
      </c>
      <c r="L3" s="89"/>
      <c r="M3" s="89" t="s">
        <v>77</v>
      </c>
      <c r="N3" s="89"/>
    </row>
    <row r="4" spans="1:15">
      <c r="A4" s="104" t="s">
        <v>164</v>
      </c>
      <c r="B4" s="89"/>
      <c r="C4" s="90" t="s">
        <v>166</v>
      </c>
      <c r="D4" s="88"/>
      <c r="E4" s="105" t="s">
        <v>167</v>
      </c>
      <c r="F4" s="88"/>
      <c r="G4" s="87" t="str">
        <f>中指数据及报告案例表!F75</f>
        <v>都丽豪廷</v>
      </c>
      <c r="H4" s="88"/>
      <c r="I4" s="87" t="str">
        <f>[1]清枫华景园数据!C2</f>
        <v>清枫华景园</v>
      </c>
      <c r="J4" s="88"/>
      <c r="K4" s="87" t="str">
        <f>中指数据及报告案例表!J75</f>
        <v>渔阳花园</v>
      </c>
      <c r="L4" s="88"/>
      <c r="M4" s="87" t="str">
        <f>[1]清林苑数据!C2</f>
        <v>清林苑</v>
      </c>
      <c r="N4" s="88"/>
    </row>
    <row r="5" spans="1:15" ht="30" customHeight="1">
      <c r="A5" s="89" t="s">
        <v>79</v>
      </c>
      <c r="B5" s="89"/>
      <c r="C5" s="87" t="s">
        <v>80</v>
      </c>
      <c r="D5" s="88"/>
      <c r="E5" s="96">
        <f>ROUNDDOWN(洳苑家园及平谷新城平均数!T11,0)</f>
        <v>25</v>
      </c>
      <c r="F5" s="97"/>
      <c r="G5" s="96">
        <f>中指数据及报告案例表!D72</f>
        <v>27.16</v>
      </c>
      <c r="H5" s="97"/>
      <c r="I5" s="96">
        <f>[1]清枫华景园数据!I6</f>
        <v>97.111735724259049</v>
      </c>
      <c r="J5" s="97"/>
      <c r="K5" s="96">
        <f>中指数据及报告案例表!H72</f>
        <v>26.29</v>
      </c>
      <c r="L5" s="97"/>
      <c r="M5" s="87">
        <f>[1]清林苑数据!I6</f>
        <v>86.965939736464648</v>
      </c>
      <c r="N5" s="88"/>
    </row>
    <row r="6" spans="1:15" ht="24.75">
      <c r="A6" s="89" t="s">
        <v>81</v>
      </c>
      <c r="B6" s="89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9" t="s">
        <v>83</v>
      </c>
      <c r="B7" s="89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1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106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2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2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2"/>
      <c r="B11" s="56" t="s">
        <v>94</v>
      </c>
      <c r="C11" s="56" t="s">
        <v>153</v>
      </c>
      <c r="D11" s="55">
        <v>100</v>
      </c>
      <c r="E11" s="55" t="s">
        <v>87</v>
      </c>
      <c r="F11" s="55">
        <v>102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3"/>
      <c r="B12" s="56" t="s">
        <v>95</v>
      </c>
      <c r="C12" s="56" t="s">
        <v>169</v>
      </c>
      <c r="D12" s="55">
        <v>100</v>
      </c>
      <c r="E12" s="55" t="s">
        <v>97</v>
      </c>
      <c r="F12" s="55">
        <v>102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4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5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103.5</v>
      </c>
      <c r="I14" s="55" t="s">
        <v>105</v>
      </c>
      <c r="J14" s="55">
        <v>98</v>
      </c>
      <c r="K14" s="55" t="s">
        <v>144</v>
      </c>
      <c r="L14" s="55">
        <f>H14</f>
        <v>103.5</v>
      </c>
      <c r="M14" s="56" t="s">
        <v>106</v>
      </c>
      <c r="N14" s="55">
        <v>98</v>
      </c>
      <c r="O14" s="57"/>
    </row>
    <row r="15" spans="1:15" ht="48" hidden="1">
      <c r="A15" s="95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5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5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5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5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100" t="s">
        <v>122</v>
      </c>
      <c r="B20" s="100"/>
      <c r="C20" s="89" t="s">
        <v>123</v>
      </c>
      <c r="D20" s="89"/>
      <c r="E20" s="99">
        <f>E5</f>
        <v>25</v>
      </c>
      <c r="F20" s="99"/>
      <c r="G20" s="99">
        <f>G5</f>
        <v>27.16</v>
      </c>
      <c r="H20" s="99"/>
      <c r="I20" s="99">
        <f t="shared" ref="I20" si="0">I5</f>
        <v>97.111735724259049</v>
      </c>
      <c r="J20" s="99"/>
      <c r="K20" s="99">
        <f t="shared" ref="K20" si="1">K5</f>
        <v>26.29</v>
      </c>
      <c r="L20" s="99"/>
      <c r="M20" s="89">
        <f t="shared" ref="M20" si="2">M5</f>
        <v>86.965939736464648</v>
      </c>
      <c r="N20" s="89"/>
    </row>
    <row r="21" spans="1:14">
      <c r="A21" s="100" t="s">
        <v>124</v>
      </c>
      <c r="B21" s="100"/>
      <c r="C21" s="89" t="s">
        <v>123</v>
      </c>
      <c r="D21" s="89"/>
      <c r="E21" s="101">
        <f>ROUND(E20*POWER(100,COUNT(F6:F19))/PRODUCT(F6:F19),2)</f>
        <v>21.19</v>
      </c>
      <c r="F21" s="101"/>
      <c r="G21" s="101">
        <f>ROUND(G20*POWER(100,COUNT(H6:H19))/PRODUCT(H6:H19),2)</f>
        <v>25.99</v>
      </c>
      <c r="H21" s="101"/>
      <c r="I21" s="101">
        <f>ROUND(I20*POWER(100,COUNT(J6:J19))/PRODUCT(J6:J19),2)</f>
        <v>99.09</v>
      </c>
      <c r="J21" s="101"/>
      <c r="K21" s="101">
        <f>ROUND(K20*POWER(100,COUNT(L6:L19))/PRODUCT(L6:L19),2)</f>
        <v>25.15</v>
      </c>
      <c r="L21" s="101"/>
      <c r="M21" s="101">
        <f>ROUND(M20*POWER(100,COUNT(N6:N19))/PRODUCT(N6:N19),2)</f>
        <v>89.64</v>
      </c>
      <c r="N21" s="101"/>
    </row>
    <row r="22" spans="1:14" ht="14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60"/>
      <c r="L22" s="60"/>
    </row>
    <row r="24" spans="1:14">
      <c r="E24">
        <f>ROUND(E21/E20,4)</f>
        <v>0.84760000000000002</v>
      </c>
      <c r="G24">
        <f>ROUND(G21/G20,4)</f>
        <v>0.95689999999999997</v>
      </c>
      <c r="K24">
        <f>ROUND(K21/K20,4)</f>
        <v>0.95660000000000001</v>
      </c>
    </row>
    <row r="26" spans="1:14">
      <c r="E26">
        <f>E20*E24</f>
        <v>21.19</v>
      </c>
      <c r="G26">
        <f>G20*G24</f>
        <v>25.989404</v>
      </c>
      <c r="K26" s="61">
        <f>K20*K24</f>
        <v>25.149014000000001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I23"/>
  <sheetViews>
    <sheetView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sqref="A1:F9"/>
    </sheetView>
  </sheetViews>
  <sheetFormatPr defaultRowHeight="13.5"/>
  <cols>
    <col min="1" max="1" width="5.625" customWidth="1"/>
    <col min="2" max="2" width="11.25" customWidth="1"/>
    <col min="6" max="6" width="8.875" customWidth="1"/>
  </cols>
  <sheetData>
    <row r="1" spans="1:6">
      <c r="A1" s="106" t="s">
        <v>170</v>
      </c>
      <c r="B1" s="106"/>
      <c r="C1" s="106"/>
      <c r="D1" s="106"/>
      <c r="E1" s="106"/>
      <c r="F1" s="106"/>
    </row>
    <row r="2" spans="1:6">
      <c r="A2" s="77" t="s">
        <v>171</v>
      </c>
      <c r="B2" s="77" t="s">
        <v>172</v>
      </c>
      <c r="C2" s="77" t="s">
        <v>173</v>
      </c>
      <c r="D2" s="77" t="s">
        <v>174</v>
      </c>
      <c r="E2" s="77" t="s">
        <v>182</v>
      </c>
      <c r="F2" s="77" t="s">
        <v>183</v>
      </c>
    </row>
    <row r="3" spans="1:6">
      <c r="A3" s="77">
        <v>1</v>
      </c>
      <c r="B3" s="77" t="s">
        <v>175</v>
      </c>
      <c r="C3" s="77" t="s">
        <v>184</v>
      </c>
      <c r="D3" s="77" t="s">
        <v>189</v>
      </c>
      <c r="E3" s="77">
        <f>中指数据及报告案例表!B63</f>
        <v>24.27</v>
      </c>
      <c r="F3" s="77">
        <v>1.3</v>
      </c>
    </row>
    <row r="4" spans="1:6">
      <c r="A4" s="77">
        <v>2</v>
      </c>
      <c r="B4" s="77" t="s">
        <v>176</v>
      </c>
      <c r="C4" s="77" t="s">
        <v>184</v>
      </c>
      <c r="D4" s="77" t="s">
        <v>185</v>
      </c>
      <c r="E4" s="77">
        <f>中指数据及报告案例表!C63</f>
        <v>25.47</v>
      </c>
      <c r="F4" s="77">
        <v>2.5</v>
      </c>
    </row>
    <row r="5" spans="1:6">
      <c r="A5" s="77">
        <v>3</v>
      </c>
      <c r="B5" s="77" t="s">
        <v>177</v>
      </c>
      <c r="C5" s="77" t="s">
        <v>184</v>
      </c>
      <c r="D5" s="77" t="s">
        <v>188</v>
      </c>
      <c r="E5" s="77">
        <f>远山嘉园!G5</f>
        <v>27.16</v>
      </c>
      <c r="F5" s="77">
        <v>0.8</v>
      </c>
    </row>
    <row r="6" spans="1:6">
      <c r="A6" s="77">
        <v>4</v>
      </c>
      <c r="B6" s="77" t="s">
        <v>178</v>
      </c>
      <c r="C6" s="77" t="s">
        <v>184</v>
      </c>
      <c r="D6" s="77" t="s">
        <v>190</v>
      </c>
      <c r="E6" s="77">
        <f>中指数据及报告案例表!F63</f>
        <v>31.75</v>
      </c>
      <c r="F6" s="77">
        <v>2.7</v>
      </c>
    </row>
    <row r="7" spans="1:6">
      <c r="A7" s="77">
        <v>5</v>
      </c>
      <c r="B7" s="77" t="s">
        <v>179</v>
      </c>
      <c r="C7" s="77" t="s">
        <v>184</v>
      </c>
      <c r="D7" s="77" t="s">
        <v>186</v>
      </c>
      <c r="E7" s="77">
        <f>远山嘉园!E5</f>
        <v>29.23</v>
      </c>
      <c r="F7" s="77">
        <v>1</v>
      </c>
    </row>
    <row r="8" spans="1:6">
      <c r="A8" s="77">
        <v>6</v>
      </c>
      <c r="B8" s="77" t="s">
        <v>180</v>
      </c>
      <c r="C8" s="77" t="s">
        <v>184</v>
      </c>
      <c r="D8" s="77" t="s">
        <v>189</v>
      </c>
      <c r="E8" s="77">
        <f>远山嘉园!K5</f>
        <v>26.29</v>
      </c>
      <c r="F8" s="77">
        <v>3.8</v>
      </c>
    </row>
    <row r="9" spans="1:6">
      <c r="A9" s="77">
        <v>7</v>
      </c>
      <c r="B9" s="77" t="s">
        <v>181</v>
      </c>
      <c r="C9" s="77" t="s">
        <v>184</v>
      </c>
      <c r="D9" s="77" t="s">
        <v>187</v>
      </c>
      <c r="E9" s="77">
        <f>中指数据及报告案例表!I63</f>
        <v>23.79</v>
      </c>
      <c r="F9" s="77">
        <v>0.75</v>
      </c>
    </row>
    <row r="13" spans="1:6">
      <c r="F13">
        <f>AVERAGE(F3:F9)</f>
        <v>1.8357142857142859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  <vt:lpstr>报告用表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陈颖</cp:lastModifiedBy>
  <dcterms:created xsi:type="dcterms:W3CDTF">2020-08-25T00:37:22Z</dcterms:created>
  <dcterms:modified xsi:type="dcterms:W3CDTF">2020-11-12T14:55:04Z</dcterms:modified>
</cp:coreProperties>
</file>