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比较法-住宅" sheetId="21"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土地案例" sheetId="79"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2" i="39" l="1"/>
  <c r="C11" i="39" l="1"/>
  <c r="E4" i="77"/>
  <c r="E5" i="77"/>
  <c r="E6" i="77"/>
  <c r="E7" i="77"/>
  <c r="E8" i="77"/>
  <c r="E9" i="77"/>
  <c r="E3" i="77"/>
  <c r="E14" i="77" s="1"/>
  <c r="D14" i="77"/>
  <c r="G6" i="21"/>
  <c r="I6" i="21"/>
  <c r="G5" i="21"/>
  <c r="I5" i="21"/>
  <c r="E6" i="21"/>
  <c r="E5" i="21"/>
  <c r="C6" i="21"/>
  <c r="C5" i="21"/>
  <c r="C11" i="21"/>
  <c r="I11" i="21"/>
  <c r="G11" i="21"/>
  <c r="E11" i="21"/>
  <c r="I38" i="39"/>
  <c r="G38" i="39"/>
  <c r="E38" i="39"/>
  <c r="I5" i="39"/>
  <c r="G5" i="39"/>
  <c r="E5" i="39"/>
  <c r="J4" i="79"/>
  <c r="G4" i="79"/>
  <c r="J3" i="79"/>
  <c r="G3" i="79"/>
  <c r="J2" i="79"/>
  <c r="G2" i="79"/>
  <c r="C48" i="69" l="1"/>
  <c r="C30" i="69"/>
  <c r="D5" i="9" l="1"/>
  <c r="K59" i="21" l="1"/>
  <c r="E59" i="21"/>
  <c r="G59" i="21" s="1"/>
  <c r="D59" i="21"/>
  <c r="B2" i="74" l="1"/>
  <c r="C14" i="74" s="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s="1"/>
  <c r="P7" i="71"/>
  <c r="P8" i="71"/>
  <c r="P9" i="71"/>
  <c r="P10" i="71"/>
  <c r="P11" i="71"/>
  <c r="P12" i="71"/>
  <c r="E13" i="71" s="1"/>
  <c r="E14" i="71" s="1"/>
  <c r="E15" i="71" s="1"/>
  <c r="P13" i="71"/>
  <c r="P14" i="71"/>
  <c r="P15" i="71"/>
  <c r="P16" i="71"/>
  <c r="E17" i="71" s="1"/>
  <c r="E18" i="71" s="1"/>
  <c r="E19" i="71" s="1"/>
  <c r="P17" i="71"/>
  <c r="P18" i="71"/>
  <c r="P19" i="71"/>
  <c r="P20" i="71"/>
  <c r="E21" i="71" s="1"/>
  <c r="E22" i="71" s="1"/>
  <c r="E23" i="71" s="1"/>
  <c r="P21" i="71"/>
  <c r="P22" i="71"/>
  <c r="O6" i="71"/>
  <c r="O5" i="71"/>
  <c r="O7" i="71"/>
  <c r="O8" i="71"/>
  <c r="O9" i="71"/>
  <c r="O10" i="71"/>
  <c r="O11" i="71"/>
  <c r="C11" i="71" s="1"/>
  <c r="O12" i="71"/>
  <c r="O13" i="71"/>
  <c r="O14" i="71"/>
  <c r="O15" i="71"/>
  <c r="O16" i="71"/>
  <c r="O17" i="71"/>
  <c r="O18" i="71"/>
  <c r="O19" i="71"/>
  <c r="O20" i="71"/>
  <c r="O21" i="71"/>
  <c r="O22" i="71"/>
  <c r="Y5" i="71"/>
  <c r="Z5" i="71" s="1"/>
  <c r="F7" i="71"/>
  <c r="F6" i="71" s="1"/>
  <c r="F5" i="71" s="1"/>
  <c r="E7" i="71"/>
  <c r="E6" i="71"/>
  <c r="E5" i="71" s="1"/>
  <c r="C7" i="71"/>
  <c r="C6" i="71" s="1"/>
  <c r="B7" i="71"/>
  <c r="B6" i="71" s="1"/>
  <c r="B5" i="71" s="1"/>
  <c r="B2" i="1"/>
  <c r="G19" i="43" s="1"/>
  <c r="D7" i="71"/>
  <c r="D8" i="71"/>
  <c r="B11" i="71"/>
  <c r="B10" i="71" s="1"/>
  <c r="B9" i="71" s="1"/>
  <c r="E11" i="71"/>
  <c r="E10" i="71"/>
  <c r="E9" i="71" s="1"/>
  <c r="F11" i="71"/>
  <c r="F10" i="71" s="1"/>
  <c r="F9" i="71" s="1"/>
  <c r="D12" i="71"/>
  <c r="B13" i="71"/>
  <c r="B14" i="71" s="1"/>
  <c r="B15" i="71" s="1"/>
  <c r="C13" i="71"/>
  <c r="D13" i="71"/>
  <c r="F13" i="71"/>
  <c r="F14" i="71" s="1"/>
  <c r="F15" i="71" s="1"/>
  <c r="C14" i="71"/>
  <c r="D14" i="71" s="1"/>
  <c r="D16" i="71"/>
  <c r="B17" i="71"/>
  <c r="B18" i="71" s="1"/>
  <c r="B19" i="71" s="1"/>
  <c r="C17" i="71"/>
  <c r="D17" i="71"/>
  <c r="F17" i="71"/>
  <c r="F18" i="71" s="1"/>
  <c r="F19" i="71" s="1"/>
  <c r="C18" i="71"/>
  <c r="D18" i="71" s="1"/>
  <c r="D20" i="71"/>
  <c r="B21" i="71"/>
  <c r="B22" i="71" s="1"/>
  <c r="B23" i="71" s="1"/>
  <c r="C21" i="71"/>
  <c r="D21" i="71"/>
  <c r="F21" i="71"/>
  <c r="F22" i="71" s="1"/>
  <c r="F23" i="71" s="1"/>
  <c r="C22" i="71"/>
  <c r="D22" i="71" s="1"/>
  <c r="M19" i="43"/>
  <c r="G2" i="43"/>
  <c r="C6" i="43" s="1"/>
  <c r="G17" i="43"/>
  <c r="I17" i="43"/>
  <c r="C17" i="43"/>
  <c r="G20" i="43"/>
  <c r="J20" i="43"/>
  <c r="I20" i="43"/>
  <c r="C20" i="43" s="1"/>
  <c r="C24" i="43"/>
  <c r="F39" i="43"/>
  <c r="F38" i="43"/>
  <c r="F37" i="43"/>
  <c r="D5" i="43"/>
  <c r="F36" i="43"/>
  <c r="F35" i="43"/>
  <c r="F34" i="43"/>
  <c r="M47" i="67"/>
  <c r="J53" i="67" s="1"/>
  <c r="M47" i="15"/>
  <c r="J53" i="15" s="1"/>
  <c r="C18" i="43"/>
  <c r="AD5" i="3"/>
  <c r="AH5" i="3"/>
  <c r="AL5" i="3"/>
  <c r="AP5" i="3"/>
  <c r="I5" i="3"/>
  <c r="F33" i="43"/>
  <c r="H33" i="43"/>
  <c r="D1" i="43"/>
  <c r="C10" i="43"/>
  <c r="C11" i="43" s="1"/>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L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s="1"/>
  <c r="BB143" i="3"/>
  <c r="BC143" i="3"/>
  <c r="BD143" i="3"/>
  <c r="BE143" i="3"/>
  <c r="BF143" i="3"/>
  <c r="BG143" i="3"/>
  <c r="BH143" i="3"/>
  <c r="BI143" i="3"/>
  <c r="BJ143" i="3"/>
  <c r="BK143" i="3"/>
  <c r="BA143" i="3"/>
  <c r="BM143" i="3"/>
  <c r="BN143" i="3"/>
  <c r="BO143" i="3"/>
  <c r="BP143" i="3"/>
  <c r="BQ143" i="3"/>
  <c r="BR143" i="3"/>
  <c r="BS143" i="3"/>
  <c r="BT143" i="3"/>
  <c r="BL143" i="3"/>
  <c r="AZ143" i="3" s="1"/>
  <c r="BB144" i="3"/>
  <c r="BC144" i="3"/>
  <c r="BD144" i="3"/>
  <c r="BE144" i="3"/>
  <c r="BF144" i="3"/>
  <c r="BG144" i="3"/>
  <c r="BH144" i="3"/>
  <c r="BI144" i="3"/>
  <c r="BJ144" i="3"/>
  <c r="BK144" i="3"/>
  <c r="BA144" i="3"/>
  <c r="BM144" i="3"/>
  <c r="BN144" i="3"/>
  <c r="BO144" i="3"/>
  <c r="BP144" i="3"/>
  <c r="BQ144" i="3"/>
  <c r="BR144" i="3"/>
  <c r="BS144" i="3"/>
  <c r="BT144" i="3"/>
  <c r="BL144" i="3" s="1"/>
  <c r="AZ144" i="3" s="1"/>
  <c r="BB145" i="3"/>
  <c r="BC145" i="3"/>
  <c r="BD145" i="3"/>
  <c r="BE145" i="3"/>
  <c r="BF145" i="3"/>
  <c r="BG145" i="3"/>
  <c r="BH145" i="3"/>
  <c r="BI145" i="3"/>
  <c r="BJ145" i="3"/>
  <c r="BK145" i="3"/>
  <c r="BA145" i="3"/>
  <c r="BM145" i="3"/>
  <c r="BN145" i="3"/>
  <c r="BO145" i="3"/>
  <c r="BP145" i="3"/>
  <c r="BQ145" i="3"/>
  <c r="BR145" i="3"/>
  <c r="BS145" i="3"/>
  <c r="BT145" i="3"/>
  <c r="BL145" i="3" s="1"/>
  <c r="AZ145" i="3" s="1"/>
  <c r="BB146" i="3"/>
  <c r="BC146" i="3"/>
  <c r="BD146" i="3"/>
  <c r="BE146" i="3"/>
  <c r="BF146" i="3"/>
  <c r="BG146" i="3"/>
  <c r="BH146" i="3"/>
  <c r="BI146" i="3"/>
  <c r="BJ146" i="3"/>
  <c r="BK146" i="3"/>
  <c r="BA146" i="3"/>
  <c r="BM146" i="3"/>
  <c r="BN146" i="3"/>
  <c r="BO146" i="3"/>
  <c r="BP146" i="3"/>
  <c r="BQ146" i="3"/>
  <c r="BR146" i="3"/>
  <c r="BS146" i="3"/>
  <c r="BT146" i="3"/>
  <c r="BL146" i="3" s="1"/>
  <c r="AZ146" i="3" s="1"/>
  <c r="BB147" i="3"/>
  <c r="BC147" i="3"/>
  <c r="BD147" i="3"/>
  <c r="BE147" i="3"/>
  <c r="BF147" i="3"/>
  <c r="BG147" i="3"/>
  <c r="BH147" i="3"/>
  <c r="BI147" i="3"/>
  <c r="BJ147" i="3"/>
  <c r="BK147" i="3"/>
  <c r="BA147" i="3"/>
  <c r="BM147" i="3"/>
  <c r="BN147" i="3"/>
  <c r="BO147" i="3"/>
  <c r="BP147" i="3"/>
  <c r="BQ147" i="3"/>
  <c r="BR147" i="3"/>
  <c r="BS147" i="3"/>
  <c r="BT147" i="3"/>
  <c r="BL147" i="3" s="1"/>
  <c r="AZ147" i="3" s="1"/>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L149" i="3" s="1"/>
  <c r="AZ149" i="3" s="1"/>
  <c r="BB150" i="3"/>
  <c r="BC150" i="3"/>
  <c r="BD150" i="3"/>
  <c r="BE150" i="3"/>
  <c r="BF150" i="3"/>
  <c r="BG150" i="3"/>
  <c r="BH150" i="3"/>
  <c r="BI150" i="3"/>
  <c r="BJ150" i="3"/>
  <c r="BK150" i="3"/>
  <c r="BA150" i="3"/>
  <c r="BM150" i="3"/>
  <c r="BN150" i="3"/>
  <c r="BO150" i="3"/>
  <c r="BP150" i="3"/>
  <c r="BQ150" i="3"/>
  <c r="BR150" i="3"/>
  <c r="BS150" i="3"/>
  <c r="BT150" i="3"/>
  <c r="BL150" i="3" s="1"/>
  <c r="AZ150" i="3" s="1"/>
  <c r="BB151" i="3"/>
  <c r="BC151" i="3"/>
  <c r="BD151" i="3"/>
  <c r="BE151" i="3"/>
  <c r="BF151" i="3"/>
  <c r="BG151" i="3"/>
  <c r="BH151" i="3"/>
  <c r="BI151" i="3"/>
  <c r="BJ151" i="3"/>
  <c r="BK151" i="3"/>
  <c r="BA151" i="3"/>
  <c r="BM151" i="3"/>
  <c r="BN151" i="3"/>
  <c r="BO151" i="3"/>
  <c r="BP151" i="3"/>
  <c r="BQ151" i="3"/>
  <c r="BR151" i="3"/>
  <c r="BS151" i="3"/>
  <c r="BT151" i="3"/>
  <c r="BL151" i="3"/>
  <c r="AZ151" i="3" s="1"/>
  <c r="BB152" i="3"/>
  <c r="BC152" i="3"/>
  <c r="BD152" i="3"/>
  <c r="BE152" i="3"/>
  <c r="BF152" i="3"/>
  <c r="BG152" i="3"/>
  <c r="BH152" i="3"/>
  <c r="BI152" i="3"/>
  <c r="BJ152" i="3"/>
  <c r="BK152" i="3"/>
  <c r="BA152" i="3"/>
  <c r="BM152" i="3"/>
  <c r="BN152" i="3"/>
  <c r="BO152" i="3"/>
  <c r="BP152" i="3"/>
  <c r="BQ152" i="3"/>
  <c r="BR152" i="3"/>
  <c r="BL152" i="3" s="1"/>
  <c r="AZ152" i="3" s="1"/>
  <c r="BS152" i="3"/>
  <c r="BT152" i="3"/>
  <c r="BB153" i="3"/>
  <c r="BC153" i="3"/>
  <c r="BD153" i="3"/>
  <c r="BE153" i="3"/>
  <c r="BF153" i="3"/>
  <c r="BG153" i="3"/>
  <c r="BH153" i="3"/>
  <c r="BI153" i="3"/>
  <c r="BJ153" i="3"/>
  <c r="BK153" i="3"/>
  <c r="BA153" i="3"/>
  <c r="BM153" i="3"/>
  <c r="BN153" i="3"/>
  <c r="BO153" i="3"/>
  <c r="BP153" i="3"/>
  <c r="BL153" i="3" s="1"/>
  <c r="AZ153" i="3" s="1"/>
  <c r="BQ153" i="3"/>
  <c r="BR153" i="3"/>
  <c r="BS153" i="3"/>
  <c r="BT153" i="3"/>
  <c r="BB154" i="3"/>
  <c r="BC154" i="3"/>
  <c r="BD154" i="3"/>
  <c r="BE154" i="3"/>
  <c r="BF154" i="3"/>
  <c r="BG154" i="3"/>
  <c r="BH154" i="3"/>
  <c r="BI154" i="3"/>
  <c r="BA154" i="3" s="1"/>
  <c r="AZ154" i="3" s="1"/>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D156" i="3"/>
  <c r="BE156" i="3"/>
  <c r="BF156" i="3"/>
  <c r="BG156" i="3"/>
  <c r="BA156" i="3" s="1"/>
  <c r="AZ156" i="3" s="1"/>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D158" i="3"/>
  <c r="BE158" i="3"/>
  <c r="BA158" i="3" s="1"/>
  <c r="AZ158" i="3" s="1"/>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D180" i="3"/>
  <c r="BE180" i="3"/>
  <c r="BA180" i="3" s="1"/>
  <c r="AZ180" i="3" s="1"/>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A247" i="3" s="1"/>
  <c r="AZ247" i="3" s="1"/>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c r="X6" i="71"/>
  <c r="AB6" i="71"/>
  <c r="AA6" i="71"/>
  <c r="Y6" i="71"/>
  <c r="Z6" i="71" s="1"/>
  <c r="T7" i="71"/>
  <c r="S7" i="71"/>
  <c r="V7" i="71"/>
  <c r="U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9" i="72"/>
  <c r="B58" i="72"/>
  <c r="B67" i="72"/>
  <c r="B66"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F38" i="71" s="1"/>
  <c r="F39" i="71" s="1"/>
  <c r="V39" i="71" s="1"/>
  <c r="P36" i="71"/>
  <c r="E37" i="7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V23" i="71"/>
  <c r="AB19" i="71"/>
  <c r="Y19" i="71"/>
  <c r="Z19" i="71" s="1"/>
  <c r="AB18" i="71"/>
  <c r="Y18" i="71"/>
  <c r="Z18" i="71"/>
  <c r="AB17" i="71"/>
  <c r="Y17" i="71"/>
  <c r="Z17" i="71" s="1"/>
  <c r="V19" i="71"/>
  <c r="AB15" i="71"/>
  <c r="Y15" i="71"/>
  <c r="Z15" i="71" s="1"/>
  <c r="AB14" i="71"/>
  <c r="Y14" i="71"/>
  <c r="Z14" i="71"/>
  <c r="AB13" i="71"/>
  <c r="Y13" i="71"/>
  <c r="Z13" i="71" s="1"/>
  <c r="V15" i="71"/>
  <c r="S15" i="71"/>
  <c r="X12" i="71"/>
  <c r="U15" i="71"/>
  <c r="AA12" i="71"/>
  <c r="S19" i="71"/>
  <c r="X16" i="71"/>
  <c r="S23" i="71"/>
  <c r="X20" i="71"/>
  <c r="U23" i="71"/>
  <c r="AA20" i="71"/>
  <c r="N51" i="71"/>
  <c r="U19"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4" i="71"/>
  <c r="F35" i="71"/>
  <c r="V35" i="71" s="1"/>
  <c r="Y3" i="71"/>
  <c r="Z3" i="71" s="1"/>
  <c r="Y8" i="71"/>
  <c r="Z8" i="71" s="1"/>
  <c r="Y9" i="71"/>
  <c r="Z9" i="71" s="1"/>
  <c r="Y10" i="71"/>
  <c r="Z10" i="71" s="1"/>
  <c r="Y11" i="71"/>
  <c r="Z11" i="71" s="1"/>
  <c r="X8" i="71"/>
  <c r="X9" i="71"/>
  <c r="X10" i="71"/>
  <c r="X3" i="71"/>
  <c r="X11" i="71"/>
  <c r="E38" i="71"/>
  <c r="E39" i="71" s="1"/>
  <c r="U39" i="71" s="1"/>
  <c r="E46" i="71"/>
  <c r="E47" i="71" s="1"/>
  <c r="U47" i="71" s="1"/>
  <c r="U51" i="71"/>
  <c r="E50" i="71"/>
  <c r="C46" i="71"/>
  <c r="D46" i="71" s="1"/>
  <c r="D45" i="71"/>
  <c r="N50" i="71"/>
  <c r="B49"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S11" i="71"/>
  <c r="AB3" i="71"/>
  <c r="AB8" i="71"/>
  <c r="AB9" i="71"/>
  <c r="AB10" i="71"/>
  <c r="AB11" i="71"/>
  <c r="AA3" i="71"/>
  <c r="AA8" i="71"/>
  <c r="AA9" i="71"/>
  <c r="AA10" i="71"/>
  <c r="AA11" i="71"/>
  <c r="O50" i="71"/>
  <c r="C47" i="71"/>
  <c r="D47" i="71" s="1"/>
  <c r="D66" i="71"/>
  <c r="C57" i="71"/>
  <c r="D57" i="71" s="1"/>
  <c r="N48" i="71"/>
  <c r="N49" i="71"/>
  <c r="D70" i="71"/>
  <c r="C69" i="71"/>
  <c r="D69" i="71"/>
  <c r="C61" i="71"/>
  <c r="D61" i="71" s="1"/>
  <c r="D54" i="71"/>
  <c r="P50" i="71"/>
  <c r="E49" i="71"/>
  <c r="P49" i="71" s="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s="1"/>
  <c r="C21" i="34"/>
  <c r="Q21" i="33"/>
  <c r="Z21" i="33"/>
  <c r="D83" i="33"/>
  <c r="E83" i="33"/>
  <c r="C21" i="33"/>
  <c r="C21" i="21"/>
  <c r="Q21" i="21"/>
  <c r="Z21" i="21" s="1"/>
  <c r="D83" i="21"/>
  <c r="E83" i="21" s="1"/>
  <c r="D81" i="21"/>
  <c r="G20" i="20"/>
  <c r="B86" i="43"/>
  <c r="C22" i="20"/>
  <c r="B75" i="43" s="1"/>
  <c r="B55" i="43"/>
  <c r="C25" i="40"/>
  <c r="S25" i="40"/>
  <c r="S18" i="36"/>
  <c r="U18" i="36"/>
  <c r="S21" i="34"/>
  <c r="F94" i="40"/>
  <c r="H25" i="40"/>
  <c r="G94" i="40"/>
  <c r="J25" i="40"/>
  <c r="J18" i="36"/>
  <c r="F68" i="35"/>
  <c r="H18" i="35"/>
  <c r="U18" i="35" s="1"/>
  <c r="S18" i="35"/>
  <c r="G68" i="35"/>
  <c r="J18" i="35"/>
  <c r="H21" i="37"/>
  <c r="F21" i="37"/>
  <c r="S21" i="37" s="1"/>
  <c r="F84" i="34"/>
  <c r="H21" i="34"/>
  <c r="U21" i="34" s="1"/>
  <c r="F83" i="33"/>
  <c r="H21" i="33"/>
  <c r="AB21" i="33" s="1"/>
  <c r="F21" i="33"/>
  <c r="H1" i="69"/>
  <c r="AC25" i="40"/>
  <c r="W25" i="40"/>
  <c r="AB25" i="40"/>
  <c r="U25" i="40"/>
  <c r="AC18" i="36"/>
  <c r="W18" i="36"/>
  <c r="AB21" i="37"/>
  <c r="U21" i="37"/>
  <c r="AA21" i="37"/>
  <c r="AB21" i="34"/>
  <c r="U21" i="33"/>
  <c r="AA21" i="33"/>
  <c r="S21" i="33"/>
  <c r="AB18" i="35"/>
  <c r="AC18" i="35"/>
  <c r="W18" i="35"/>
  <c r="J21" i="37"/>
  <c r="G84" i="34"/>
  <c r="J21" i="34"/>
  <c r="G83" i="33"/>
  <c r="J21" i="33"/>
  <c r="F38" i="69"/>
  <c r="E37" i="69"/>
  <c r="F36" i="69"/>
  <c r="F35" i="69"/>
  <c r="F21" i="69"/>
  <c r="C21" i="69" s="1"/>
  <c r="F20" i="69"/>
  <c r="E10" i="69"/>
  <c r="E9" i="69"/>
  <c r="F7" i="69"/>
  <c r="AC21" i="37"/>
  <c r="W21" i="37"/>
  <c r="AC21" i="34"/>
  <c r="W21" i="34"/>
  <c r="AC21" i="33"/>
  <c r="W21" i="33"/>
  <c r="F38" i="68"/>
  <c r="E37" i="68"/>
  <c r="F36" i="68"/>
  <c r="F35" i="68"/>
  <c r="F21" i="68"/>
  <c r="C21" i="68" s="1"/>
  <c r="F20" i="68"/>
  <c r="E10" i="68"/>
  <c r="E9" i="68"/>
  <c r="F7" i="68"/>
  <c r="C7" i="68"/>
  <c r="Q72" i="67"/>
  <c r="Q59" i="67"/>
  <c r="Q58" i="67"/>
  <c r="Q51" i="67"/>
  <c r="J50"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M10" i="1"/>
  <c r="O10" i="1"/>
  <c r="B22" i="1"/>
  <c r="B23" i="1"/>
  <c r="B24" i="1"/>
  <c r="B43" i="1"/>
  <c r="D78" i="9" s="1"/>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B114" i="39"/>
  <c r="J37" i="39"/>
  <c r="D109" i="39"/>
  <c r="D107" i="39"/>
  <c r="E107" i="39" s="1"/>
  <c r="D105" i="39"/>
  <c r="E105" i="39" s="1"/>
  <c r="D101" i="39"/>
  <c r="D99" i="39"/>
  <c r="E99" i="39" s="1"/>
  <c r="Q39" i="39"/>
  <c r="Z39" i="39"/>
  <c r="Q40" i="39"/>
  <c r="Z40" i="39"/>
  <c r="Q41" i="39"/>
  <c r="Z41" i="39"/>
  <c r="Q42" i="39"/>
  <c r="Z42" i="39"/>
  <c r="Q43" i="39"/>
  <c r="Z43" i="39"/>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s="1"/>
  <c r="AC23" i="39" s="1"/>
  <c r="D95" i="39"/>
  <c r="E95" i="39" s="1"/>
  <c r="F95" i="39" s="1"/>
  <c r="D93" i="39"/>
  <c r="E93" i="39"/>
  <c r="F93" i="39" s="1"/>
  <c r="G93" i="39" s="1"/>
  <c r="D91" i="39"/>
  <c r="E91" i="39"/>
  <c r="F91" i="39" s="1"/>
  <c r="G91" i="39" s="1"/>
  <c r="D89" i="39"/>
  <c r="E89" i="39" s="1"/>
  <c r="B86" i="39"/>
  <c r="B84" i="39"/>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F39"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1" i="21"/>
  <c r="H19" i="21" s="1"/>
  <c r="AB19" i="21" s="1"/>
  <c r="D77" i="21"/>
  <c r="E77" i="21"/>
  <c r="B130" i="21"/>
  <c r="B128" i="21"/>
  <c r="J45" i="21" s="1"/>
  <c r="W45" i="21" s="1"/>
  <c r="B126" i="21"/>
  <c r="B98" i="21"/>
  <c r="H31" i="21" s="1"/>
  <c r="B96" i="21"/>
  <c r="B94" i="21"/>
  <c r="J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c r="J44" i="39"/>
  <c r="AC44" i="39"/>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U40" i="40"/>
  <c r="F41" i="39"/>
  <c r="S41" i="39" s="1"/>
  <c r="H40" i="39"/>
  <c r="AB40" i="39" s="1"/>
  <c r="E109" i="39"/>
  <c r="F34" i="39" s="1"/>
  <c r="E101" i="39"/>
  <c r="H19" i="39"/>
  <c r="AB19" i="39"/>
  <c r="F19" i="39"/>
  <c r="AA19" i="39"/>
  <c r="H17" i="39"/>
  <c r="AB17" i="39"/>
  <c r="F17" i="39"/>
  <c r="AA17" i="39" s="1"/>
  <c r="J23" i="40"/>
  <c r="AC23" i="40" s="1"/>
  <c r="F21" i="40"/>
  <c r="AA21" i="40" s="1"/>
  <c r="J21" i="40"/>
  <c r="W21" i="40" s="1"/>
  <c r="J34" i="39"/>
  <c r="AC34" i="39" s="1"/>
  <c r="F101" i="39"/>
  <c r="H27" i="39"/>
  <c r="U27" i="39" s="1"/>
  <c r="J19" i="39"/>
  <c r="AC19" i="39"/>
  <c r="J17" i="39"/>
  <c r="J27" i="39"/>
  <c r="AC27" i="39" s="1"/>
  <c r="F27" i="39"/>
  <c r="U34" i="21"/>
  <c r="C21" i="39"/>
  <c r="H11" i="39"/>
  <c r="S40" i="39"/>
  <c r="H32" i="33"/>
  <c r="AB32" i="33"/>
  <c r="H37" i="40"/>
  <c r="U37" i="40"/>
  <c r="H36" i="40"/>
  <c r="AB36" i="40"/>
  <c r="F35" i="40"/>
  <c r="AA35" i="40"/>
  <c r="H23" i="40"/>
  <c r="AB23" i="40"/>
  <c r="H17" i="40"/>
  <c r="U17" i="40"/>
  <c r="J15" i="40"/>
  <c r="W15" i="40" s="1"/>
  <c r="J11" i="40"/>
  <c r="W11" i="40" s="1"/>
  <c r="AB8" i="39"/>
  <c r="AB12" i="33"/>
  <c r="AC12" i="34"/>
  <c r="AB12" i="35"/>
  <c r="AB12" i="36"/>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5" i="21"/>
  <c r="S15" i="21" s="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H21" i="40"/>
  <c r="AB21" i="40" s="1"/>
  <c r="AC12"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s="1"/>
  <c r="AC37" i="39"/>
  <c r="W37" i="39"/>
  <c r="H41" i="39"/>
  <c r="AB41" i="39" s="1"/>
  <c r="U40"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G4" i="4"/>
  <c r="I4" i="4"/>
  <c r="K5" i="4"/>
  <c r="B47" i="48" s="1"/>
  <c r="A2" i="9"/>
  <c r="N2" i="43"/>
  <c r="F59" i="43"/>
  <c r="BO5" i="3"/>
  <c r="BM5" i="3"/>
  <c r="F29" i="6" s="1"/>
  <c r="BJ5" i="3"/>
  <c r="BH5" i="3"/>
  <c r="BF5" i="3"/>
  <c r="BD5" i="3"/>
  <c r="BQ5" i="3"/>
  <c r="AC5" i="3"/>
  <c r="BS5" i="3"/>
  <c r="BP5" i="3"/>
  <c r="BN5" i="3"/>
  <c r="BK5" i="3"/>
  <c r="BI5" i="3"/>
  <c r="BG5" i="3"/>
  <c r="BE5" i="3"/>
  <c r="BC5" i="3"/>
  <c r="BT5" i="3"/>
  <c r="BB5" i="3"/>
  <c r="BR5" i="3"/>
  <c r="G28" i="6" s="1"/>
  <c r="E8" i="6"/>
  <c r="F27" i="6" s="1"/>
  <c r="U36" i="40"/>
  <c r="N4" i="43"/>
  <c r="F81" i="43"/>
  <c r="H83" i="43" s="1"/>
  <c r="F48" i="43"/>
  <c r="H52" i="43" s="1"/>
  <c r="N7" i="43"/>
  <c r="F70" i="43"/>
  <c r="H73" i="43"/>
  <c r="M6" i="43"/>
  <c r="M11" i="43"/>
  <c r="E17" i="43"/>
  <c r="F6" i="1"/>
  <c r="U17" i="39"/>
  <c r="S14" i="35"/>
  <c r="AC35" i="21"/>
  <c r="U10" i="21"/>
  <c r="G8" i="1"/>
  <c r="G9" i="1"/>
  <c r="G10" i="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s="1"/>
  <c r="G97" i="39" s="1"/>
  <c r="C40" i="11"/>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c r="O9" i="1"/>
  <c r="P9" i="1"/>
  <c r="AE9" i="1"/>
  <c r="D93" i="9"/>
  <c r="E12" i="6"/>
  <c r="E15" i="6"/>
  <c r="E60" i="40" s="1"/>
  <c r="K6" i="1"/>
  <c r="M6" i="1" s="1"/>
  <c r="E13" i="6"/>
  <c r="E58" i="40"/>
  <c r="G29" i="6"/>
  <c r="AC26" i="33"/>
  <c r="W26" i="33"/>
  <c r="W27" i="34"/>
  <c r="AC27" i="34"/>
  <c r="AB34" i="36"/>
  <c r="U34" i="36"/>
  <c r="AB33" i="36"/>
  <c r="U33" i="36"/>
  <c r="AC12" i="39"/>
  <c r="AC39" i="40"/>
  <c r="W39" i="40"/>
  <c r="W12" i="33"/>
  <c r="AC12" i="33"/>
  <c r="AA32" i="36"/>
  <c r="S32" i="36"/>
  <c r="AA39" i="34"/>
  <c r="F28" i="6"/>
  <c r="U30" i="33"/>
  <c r="AC13" i="34"/>
  <c r="AA47" i="34"/>
  <c r="W28" i="37"/>
  <c r="S19" i="39"/>
  <c r="F12" i="33"/>
  <c r="H12" i="39"/>
  <c r="AB12" i="39" s="1"/>
  <c r="F39" i="40"/>
  <c r="S12" i="1"/>
  <c r="R12" i="1"/>
  <c r="B12" i="1"/>
  <c r="E12" i="1"/>
  <c r="S10" i="1"/>
  <c r="AQ10" i="1"/>
  <c r="R10" i="1"/>
  <c r="B10" i="1"/>
  <c r="E10" i="1" s="1"/>
  <c r="D1" i="66"/>
  <c r="E10" i="66" s="1"/>
  <c r="K12" i="1"/>
  <c r="M12" i="1" s="1"/>
  <c r="O12" i="1"/>
  <c r="P12" i="1"/>
  <c r="S13" i="1"/>
  <c r="AR13" i="1" s="1"/>
  <c r="R13" i="1"/>
  <c r="S11" i="1"/>
  <c r="AQ11" i="1"/>
  <c r="R11" i="1"/>
  <c r="S9" i="1"/>
  <c r="AR9" i="1" s="1"/>
  <c r="R9" i="1"/>
  <c r="J51" i="67"/>
  <c r="C42" i="1"/>
  <c r="C77" i="9" s="1"/>
  <c r="C74" i="9" s="1"/>
  <c r="H100" i="43"/>
  <c r="C30" i="66"/>
  <c r="E26" i="66" s="1"/>
  <c r="AC34" i="33"/>
  <c r="AA34" i="33"/>
  <c r="B41" i="1"/>
  <c r="F53" i="9" s="1"/>
  <c r="S22" i="31"/>
  <c r="J100" i="43"/>
  <c r="AB37" i="40"/>
  <c r="S35" i="40"/>
  <c r="U35" i="40"/>
  <c r="AC36" i="40"/>
  <c r="W38" i="40"/>
  <c r="AA32" i="40"/>
  <c r="S17" i="40"/>
  <c r="S23" i="40"/>
  <c r="AC17" i="40"/>
  <c r="AC15" i="40"/>
  <c r="AB27" i="40"/>
  <c r="AA19" i="40"/>
  <c r="S28" i="40"/>
  <c r="AA27" i="40"/>
  <c r="U21" i="40"/>
  <c r="AB19" i="40"/>
  <c r="U37" i="39"/>
  <c r="S43" i="39"/>
  <c r="S37" i="39"/>
  <c r="U35" i="39"/>
  <c r="AB27" i="39"/>
  <c r="J21" i="39"/>
  <c r="W21" i="39" s="1"/>
  <c r="F21" i="39"/>
  <c r="S21" i="39" s="1"/>
  <c r="G95" i="39"/>
  <c r="H21" i="39"/>
  <c r="U21" i="39" s="1"/>
  <c r="W19" i="39"/>
  <c r="U19" i="39"/>
  <c r="S17"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J15" i="21"/>
  <c r="W15" i="21" s="1"/>
  <c r="F77" i="21"/>
  <c r="G77" i="21" s="1"/>
  <c r="E85" i="21"/>
  <c r="AA14" i="21"/>
  <c r="AB8" i="21"/>
  <c r="S8" i="21"/>
  <c r="M3" i="43"/>
  <c r="N10" i="43"/>
  <c r="M1" i="43"/>
  <c r="M8" i="43"/>
  <c r="N8" i="43"/>
  <c r="N9" i="43"/>
  <c r="D120" i="9"/>
  <c r="C18" i="9"/>
  <c r="D18" i="9" s="1"/>
  <c r="F34" i="67"/>
  <c r="F62" i="67" s="1"/>
  <c r="M20" i="67"/>
  <c r="F34" i="15"/>
  <c r="F62" i="15"/>
  <c r="E10" i="6"/>
  <c r="E11" i="6"/>
  <c r="E61" i="39" s="1"/>
  <c r="E66" i="39" s="1"/>
  <c r="E65" i="39"/>
  <c r="J56" i="9"/>
  <c r="J57" i="9"/>
  <c r="A24" i="51"/>
  <c r="B18" i="72" s="1"/>
  <c r="U29" i="34"/>
  <c r="E14" i="6"/>
  <c r="E64" i="39" s="1"/>
  <c r="E5" i="6"/>
  <c r="D9" i="11" s="1"/>
  <c r="C9" i="11" s="1"/>
  <c r="P10" i="1"/>
  <c r="E32" i="6"/>
  <c r="G1" i="68"/>
  <c r="K1" i="12"/>
  <c r="E57" i="40"/>
  <c r="E56" i="40"/>
  <c r="AR12" i="1"/>
  <c r="AQ12" i="1"/>
  <c r="T12" i="1"/>
  <c r="AR10" i="1"/>
  <c r="T10" i="1"/>
  <c r="E19" i="69"/>
  <c r="E19" i="68"/>
  <c r="E19" i="11"/>
  <c r="E1" i="73"/>
  <c r="K1" i="73"/>
  <c r="G41" i="69"/>
  <c r="G22" i="69"/>
  <c r="G41" i="68"/>
  <c r="G22" i="68"/>
  <c r="G27" i="12"/>
  <c r="G26" i="12"/>
  <c r="G41" i="11"/>
  <c r="G22" i="11"/>
  <c r="G25" i="12"/>
  <c r="E81" i="43"/>
  <c r="B79" i="43" s="1"/>
  <c r="E48" i="43"/>
  <c r="B46" i="43"/>
  <c r="E70" i="43"/>
  <c r="B68" i="43"/>
  <c r="F100" i="43"/>
  <c r="D9" i="53"/>
  <c r="B25" i="72" s="1"/>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C7" i="35"/>
  <c r="C48" i="35" s="1"/>
  <c r="C7" i="33"/>
  <c r="C58" i="33"/>
  <c r="D58" i="33" s="1"/>
  <c r="E58" i="33" s="1"/>
  <c r="F58" i="33" s="1"/>
  <c r="G58" i="33" s="1"/>
  <c r="H58" i="33" s="1"/>
  <c r="I58" i="33" s="1"/>
  <c r="J58" i="33" s="1"/>
  <c r="K58" i="33" s="1"/>
  <c r="L58" i="33" s="1"/>
  <c r="M58" i="33" s="1"/>
  <c r="N58" i="33" s="1"/>
  <c r="O58" i="33" s="1"/>
  <c r="C7" i="21"/>
  <c r="C7" i="40"/>
  <c r="C63" i="40" s="1"/>
  <c r="M47" i="9"/>
  <c r="T35" i="4"/>
  <c r="A19" i="51"/>
  <c r="B14" i="72" s="1"/>
  <c r="C46" i="36"/>
  <c r="D46" i="36" s="1"/>
  <c r="C59" i="34"/>
  <c r="D59" i="34"/>
  <c r="E59" i="34" s="1"/>
  <c r="F59" i="34" s="1"/>
  <c r="G59" i="34" s="1"/>
  <c r="H59" i="34" s="1"/>
  <c r="C52" i="37"/>
  <c r="D52" i="37"/>
  <c r="E52" i="37" s="1"/>
  <c r="F52" i="37" s="1"/>
  <c r="G52" i="37" s="1"/>
  <c r="A4" i="51"/>
  <c r="B6" i="72" s="1"/>
  <c r="C58" i="21"/>
  <c r="D58" i="21" s="1"/>
  <c r="E58" i="21" s="1"/>
  <c r="F58" i="21" s="1"/>
  <c r="G58" i="21" s="1"/>
  <c r="H58" i="21" s="1"/>
  <c r="I58" i="21" s="1"/>
  <c r="J58" i="21" s="1"/>
  <c r="K58" i="21" s="1"/>
  <c r="L58" i="21" s="1"/>
  <c r="M58" i="21" s="1"/>
  <c r="N58" i="21" s="1"/>
  <c r="O58" i="21" s="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U13" i="39"/>
  <c r="AB13" i="39"/>
  <c r="AA13" i="39"/>
  <c r="S13" i="39"/>
  <c r="S14" i="39"/>
  <c r="AA14" i="39"/>
  <c r="U43" i="39"/>
  <c r="AB43" i="39"/>
  <c r="AB11" i="39"/>
  <c r="U11"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W33" i="21" s="1"/>
  <c r="H33" i="21"/>
  <c r="AB33" i="21"/>
  <c r="F37" i="21"/>
  <c r="AA37" i="21" s="1"/>
  <c r="AA26" i="21"/>
  <c r="AB14" i="21"/>
  <c r="AB46" i="21"/>
  <c r="U40" i="21"/>
  <c r="AB31" i="21"/>
  <c r="U31" i="21"/>
  <c r="W8" i="21"/>
  <c r="AB37" i="21"/>
  <c r="J37" i="21"/>
  <c r="W37" i="21" s="1"/>
  <c r="H15" i="21"/>
  <c r="U15" i="21" s="1"/>
  <c r="AC19" i="21"/>
  <c r="AC14" i="21"/>
  <c r="W30" i="21"/>
  <c r="S46" i="21"/>
  <c r="H45" i="21"/>
  <c r="U45" i="21" s="1"/>
  <c r="F29" i="21"/>
  <c r="S29" i="21" s="1"/>
  <c r="F13" i="21"/>
  <c r="AA13" i="21" s="1"/>
  <c r="AC38" i="21"/>
  <c r="H32" i="21"/>
  <c r="AB32" i="21" s="1"/>
  <c r="H9" i="21"/>
  <c r="U9" i="21" s="1"/>
  <c r="J9" i="21"/>
  <c r="AC9" i="21" s="1"/>
  <c r="J32" i="21"/>
  <c r="AC32" i="21" s="1"/>
  <c r="F32" i="21"/>
  <c r="S32" i="21" s="1"/>
  <c r="AA31" i="21"/>
  <c r="S9" i="21"/>
  <c r="AA9" i="21"/>
  <c r="K141" i="21"/>
  <c r="K144" i="21"/>
  <c r="K143" i="21"/>
  <c r="U27" i="21"/>
  <c r="AB25" i="21"/>
  <c r="AB44" i="21"/>
  <c r="AA30" i="21"/>
  <c r="W13" i="21"/>
  <c r="W42" i="21"/>
  <c r="AC45" i="21"/>
  <c r="F10" i="21"/>
  <c r="S10" i="21" s="1"/>
  <c r="K145" i="21"/>
  <c r="W25" i="21"/>
  <c r="W31" i="21"/>
  <c r="S27" i="21"/>
  <c r="AA15" i="21"/>
  <c r="AC26" i="21"/>
  <c r="AB29" i="21"/>
  <c r="S28" i="21"/>
  <c r="AC34" i="21"/>
  <c r="W10" i="21"/>
  <c r="W12" i="21"/>
  <c r="AB36" i="21"/>
  <c r="W30" i="40"/>
  <c r="C19" i="39"/>
  <c r="C15" i="40"/>
  <c r="C17" i="40"/>
  <c r="C23" i="40"/>
  <c r="C21" i="40"/>
  <c r="U30" i="40"/>
  <c r="B52" i="43"/>
  <c r="B67" i="43"/>
  <c r="D23" i="15"/>
  <c r="D22" i="15"/>
  <c r="AQ13" i="1"/>
  <c r="O6" i="1"/>
  <c r="O16" i="1" s="1"/>
  <c r="P6" i="1"/>
  <c r="F30" i="68"/>
  <c r="F30" i="11"/>
  <c r="C48" i="11" s="1"/>
  <c r="F28" i="67"/>
  <c r="F31" i="12"/>
  <c r="F52" i="9"/>
  <c r="M18" i="67"/>
  <c r="F32" i="67"/>
  <c r="F60" i="67" s="1"/>
  <c r="F30" i="69"/>
  <c r="F32" i="15"/>
  <c r="F60" i="15" s="1"/>
  <c r="M18" i="15"/>
  <c r="F28" i="15"/>
  <c r="C28" i="15" s="1"/>
  <c r="E63" i="39"/>
  <c r="T11" i="1"/>
  <c r="D19" i="12"/>
  <c r="C19" i="12" s="1"/>
  <c r="AQ9" i="1"/>
  <c r="AR11" i="1"/>
  <c r="T9" i="1"/>
  <c r="T13" i="1"/>
  <c r="D9" i="68"/>
  <c r="C9" i="68" s="1"/>
  <c r="S7" i="1"/>
  <c r="AQ7" i="1" s="1"/>
  <c r="E7" i="70"/>
  <c r="AA39" i="40"/>
  <c r="S39" i="40"/>
  <c r="S12" i="33"/>
  <c r="AA12" i="33"/>
  <c r="D68" i="9"/>
  <c r="F54" i="9"/>
  <c r="AC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S37" i="21"/>
  <c r="S13" i="21"/>
  <c r="D6" i="52"/>
  <c r="D121" i="9"/>
  <c r="D7" i="52" s="1"/>
  <c r="K120" i="9"/>
  <c r="O14" i="1"/>
  <c r="P14" i="1"/>
  <c r="J59" i="9"/>
  <c r="J61" i="9" s="1"/>
  <c r="AR8" i="1"/>
  <c r="AQ8" i="1"/>
  <c r="T8" i="1"/>
  <c r="R22" i="31"/>
  <c r="B21" i="31" s="1"/>
  <c r="O19" i="43"/>
  <c r="AP7" i="1"/>
  <c r="M7" i="1"/>
  <c r="O7" i="1"/>
  <c r="Q16" i="1"/>
  <c r="F28" i="12" s="1"/>
  <c r="AC33" i="21"/>
  <c r="S33" i="21"/>
  <c r="AA33" i="21"/>
  <c r="W9" i="21"/>
  <c r="U32" i="21"/>
  <c r="AA10" i="21"/>
  <c r="F31" i="15"/>
  <c r="M17" i="15"/>
  <c r="F59" i="67"/>
  <c r="F59" i="15"/>
  <c r="F31" i="67"/>
  <c r="M17" i="67"/>
  <c r="T7" i="1"/>
  <c r="A18" i="62"/>
  <c r="B64" i="72"/>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F27" i="68"/>
  <c r="C29" i="68" s="1"/>
  <c r="D27" i="68" s="1"/>
  <c r="P7" i="1"/>
  <c r="F1" i="15"/>
  <c r="Q52" i="15"/>
  <c r="C5" i="68"/>
  <c r="F1" i="67"/>
  <c r="Q52" i="67"/>
  <c r="AC11" i="37"/>
  <c r="W11" i="37"/>
  <c r="AC11" i="34"/>
  <c r="R7" i="1"/>
  <c r="F34" i="11"/>
  <c r="C36" i="11" s="1"/>
  <c r="F11" i="12"/>
  <c r="C23" i="12" s="1"/>
  <c r="F34" i="68"/>
  <c r="C36" i="68" s="1"/>
  <c r="R8" i="1"/>
  <c r="AE7" i="1"/>
  <c r="AE8" i="1"/>
  <c r="AG6" i="1"/>
  <c r="H109" i="9"/>
  <c r="M49" i="9"/>
  <c r="H110" i="9"/>
  <c r="D18" i="53"/>
  <c r="B35" i="72" s="1"/>
  <c r="D124" i="9"/>
  <c r="H14" i="74" s="1"/>
  <c r="B7" i="74" s="1"/>
  <c r="D16" i="53"/>
  <c r="B34" i="72"/>
  <c r="D17" i="53"/>
  <c r="B36" i="72" s="1"/>
  <c r="J7" i="33"/>
  <c r="F7" i="33"/>
  <c r="S7" i="33" s="1"/>
  <c r="H7" i="33"/>
  <c r="AB7" i="33" s="1"/>
  <c r="T48" i="33" s="1"/>
  <c r="G48" i="33" s="1"/>
  <c r="AA7" i="33"/>
  <c r="R48" i="33" s="1"/>
  <c r="E48" i="33" s="1"/>
  <c r="R49" i="33"/>
  <c r="C49" i="33" s="1"/>
  <c r="E52" i="33"/>
  <c r="F52" i="33" s="1"/>
  <c r="C48" i="33"/>
  <c r="H112" i="9"/>
  <c r="D21" i="53" s="1"/>
  <c r="B39" i="72"/>
  <c r="H111" i="9"/>
  <c r="D126" i="9"/>
  <c r="D19" i="53"/>
  <c r="D59" i="9"/>
  <c r="M55" i="9" s="1"/>
  <c r="B38" i="72"/>
  <c r="D20" i="53"/>
  <c r="B40" i="72"/>
  <c r="AD3" i="71"/>
  <c r="P22" i="43"/>
  <c r="F20" i="31"/>
  <c r="E2" i="68"/>
  <c r="E7" i="76"/>
  <c r="C36" i="69"/>
  <c r="D2" i="33"/>
  <c r="L48" i="15"/>
  <c r="F9" i="15"/>
  <c r="J15" i="67"/>
  <c r="D2" i="35"/>
  <c r="F41" i="67"/>
  <c r="F42" i="67"/>
  <c r="F27" i="69"/>
  <c r="F42" i="15"/>
  <c r="C14" i="15"/>
  <c r="F13" i="67"/>
  <c r="F43" i="67"/>
  <c r="M23" i="67"/>
  <c r="M23" i="15"/>
  <c r="F37" i="67"/>
  <c r="D35" i="9"/>
  <c r="F7" i="73"/>
  <c r="F7" i="15"/>
  <c r="L48" i="67"/>
  <c r="C76" i="15"/>
  <c r="L47" i="67"/>
  <c r="AO10" i="1"/>
  <c r="E12" i="76"/>
  <c r="M21" i="67"/>
  <c r="M22" i="15"/>
  <c r="F35" i="15"/>
  <c r="C76" i="67"/>
  <c r="AO11" i="1"/>
  <c r="F4" i="73"/>
  <c r="L47" i="15"/>
  <c r="E13" i="76"/>
  <c r="F6" i="73"/>
  <c r="M6" i="15"/>
  <c r="M28" i="15"/>
  <c r="F8" i="67"/>
  <c r="J15" i="15"/>
  <c r="F6" i="67"/>
  <c r="D34" i="9"/>
  <c r="M26" i="15"/>
  <c r="E11" i="76"/>
  <c r="F26" i="15"/>
  <c r="F8" i="15"/>
  <c r="F5" i="73"/>
  <c r="F36" i="15"/>
  <c r="B9" i="76"/>
  <c r="M27" i="15"/>
  <c r="E9" i="76"/>
  <c r="B10" i="76"/>
  <c r="M28" i="67"/>
  <c r="D9" i="69"/>
  <c r="F41" i="15"/>
  <c r="F3" i="73"/>
  <c r="F16" i="15"/>
  <c r="M9" i="67"/>
  <c r="F26" i="67"/>
  <c r="M26" i="67"/>
  <c r="M29" i="67"/>
  <c r="M8" i="15"/>
  <c r="E10" i="76"/>
  <c r="B7" i="76"/>
  <c r="M6" i="67"/>
  <c r="E8" i="76"/>
  <c r="F9" i="67"/>
  <c r="F40" i="67"/>
  <c r="F7" i="67"/>
  <c r="F37" i="15"/>
  <c r="F38" i="67"/>
  <c r="M8" i="67"/>
  <c r="F40" i="15"/>
  <c r="F35" i="67"/>
  <c r="M22" i="67"/>
  <c r="F38" i="15"/>
  <c r="M27" i="67"/>
  <c r="B11" i="76"/>
  <c r="B13" i="76"/>
  <c r="F43" i="15"/>
  <c r="M21" i="15"/>
  <c r="F16" i="67"/>
  <c r="F36" i="67"/>
  <c r="F13" i="15"/>
  <c r="M9" i="15"/>
  <c r="B12" i="76"/>
  <c r="D2" i="21"/>
  <c r="D2" i="37"/>
  <c r="D2" i="36"/>
  <c r="AO13" i="1"/>
  <c r="M24" i="67"/>
  <c r="M24" i="15"/>
  <c r="D2" i="34"/>
  <c r="B8" i="76"/>
  <c r="AO9" i="1"/>
  <c r="AO12" i="1"/>
  <c r="AO7" i="1"/>
  <c r="AO8" i="1"/>
  <c r="M29" i="15"/>
  <c r="F6" i="15"/>
  <c r="E2" i="69"/>
  <c r="H39" i="21" l="1"/>
  <c r="U39" i="21" s="1"/>
  <c r="B63" i="43"/>
  <c r="C29" i="39"/>
  <c r="B66" i="43"/>
  <c r="B65" i="43"/>
  <c r="B60" i="43"/>
  <c r="J1" i="73"/>
  <c r="C31" i="12"/>
  <c r="C13" i="12"/>
  <c r="G16" i="1"/>
  <c r="AA32" i="21"/>
  <c r="F85" i="21"/>
  <c r="F23" i="21" s="1"/>
  <c r="S23" i="21" s="1"/>
  <c r="U19" i="21"/>
  <c r="W27" i="39"/>
  <c r="AA21" i="39"/>
  <c r="F89" i="39"/>
  <c r="G89" i="39" s="1"/>
  <c r="H15" i="39"/>
  <c r="F15" i="39"/>
  <c r="J15" i="39"/>
  <c r="F14" i="77"/>
  <c r="A3" i="3" s="1"/>
  <c r="I4" i="6" s="1"/>
  <c r="G3" i="43" s="1"/>
  <c r="B14" i="74"/>
  <c r="AA39" i="21"/>
  <c r="S39" i="21"/>
  <c r="W39" i="21"/>
  <c r="AB39" i="21"/>
  <c r="F109" i="39"/>
  <c r="G109" i="39" s="1"/>
  <c r="H109" i="39" s="1"/>
  <c r="I109" i="39" s="1"/>
  <c r="J109" i="39" s="1"/>
  <c r="K109" i="39" s="1"/>
  <c r="L109" i="39" s="1"/>
  <c r="M109" i="39" s="1"/>
  <c r="H34" i="39"/>
  <c r="F32" i="39"/>
  <c r="F107" i="39"/>
  <c r="H32" i="39"/>
  <c r="C70" i="39"/>
  <c r="D68" i="39"/>
  <c r="H10" i="40"/>
  <c r="J10" i="39"/>
  <c r="F10" i="39"/>
  <c r="S10" i="39" s="1"/>
  <c r="F10" i="40"/>
  <c r="C29" i="12"/>
  <c r="D28" i="12" s="1"/>
  <c r="C24" i="12"/>
  <c r="C28" i="67"/>
  <c r="C30" i="68"/>
  <c r="J42" i="39"/>
  <c r="H42" i="39"/>
  <c r="F42" i="39"/>
  <c r="S35" i="21"/>
  <c r="AC29" i="21"/>
  <c r="W29" i="21"/>
  <c r="AB13" i="21"/>
  <c r="U13" i="21"/>
  <c r="AB15" i="21"/>
  <c r="AA29" i="21"/>
  <c r="P16" i="1"/>
  <c r="C11" i="12" s="1"/>
  <c r="C15" i="12" s="1"/>
  <c r="C30" i="11"/>
  <c r="F99" i="39"/>
  <c r="G99" i="39" s="1"/>
  <c r="F79" i="21"/>
  <c r="G79" i="21" s="1"/>
  <c r="F17" i="21"/>
  <c r="J17" i="21"/>
  <c r="H17" i="21"/>
  <c r="AB21" i="39"/>
  <c r="B56" i="43"/>
  <c r="C25" i="39"/>
  <c r="C15" i="39"/>
  <c r="B54" i="43"/>
  <c r="C27" i="39"/>
  <c r="B49" i="43"/>
  <c r="B13" i="49"/>
  <c r="W44" i="21"/>
  <c r="U43" i="21"/>
  <c r="S40" i="21"/>
  <c r="AB9" i="21"/>
  <c r="U12" i="21"/>
  <c r="AA12" i="21"/>
  <c r="U35" i="21"/>
  <c r="AC37" i="21"/>
  <c r="AC27" i="21"/>
  <c r="S34" i="21"/>
  <c r="W32" i="21"/>
  <c r="U26" i="21"/>
  <c r="AA25" i="21"/>
  <c r="F21" i="21"/>
  <c r="S21" i="21" s="1"/>
  <c r="H21" i="21"/>
  <c r="J21" i="21"/>
  <c r="W21" i="21" s="1"/>
  <c r="F83" i="21"/>
  <c r="G83" i="21" s="1"/>
  <c r="AC21" i="21"/>
  <c r="F69" i="21"/>
  <c r="G69" i="21" s="1"/>
  <c r="H69" i="21" s="1"/>
  <c r="I69" i="21" s="1"/>
  <c r="J69" i="21" s="1"/>
  <c r="K69" i="21" s="1"/>
  <c r="L69" i="21" s="1"/>
  <c r="M69" i="21" s="1"/>
  <c r="F11" i="21"/>
  <c r="H11" i="21"/>
  <c r="J11" i="21"/>
  <c r="B6" i="49"/>
  <c r="C4" i="4" s="1"/>
  <c r="B4" i="62" s="1"/>
  <c r="B71" i="72" s="1"/>
  <c r="B7" i="49"/>
  <c r="C40" i="69"/>
  <c r="E53" i="33"/>
  <c r="F53" i="33" s="1"/>
  <c r="G52" i="33"/>
  <c r="H52" i="33" s="1"/>
  <c r="U7" i="33"/>
  <c r="P21" i="43"/>
  <c r="P23" i="43"/>
  <c r="B71" i="39" s="1"/>
  <c r="P24" i="43"/>
  <c r="B66" i="40" s="1"/>
  <c r="P25" i="43"/>
  <c r="D125" i="9"/>
  <c r="D11" i="52" s="1"/>
  <c r="D10" i="52"/>
  <c r="L68" i="9"/>
  <c r="M68" i="9" s="1"/>
  <c r="L65" i="9"/>
  <c r="M65" i="9" s="1"/>
  <c r="L66" i="9"/>
  <c r="M66" i="9" s="1"/>
  <c r="L64" i="9"/>
  <c r="M64" i="9" s="1"/>
  <c r="L63" i="9"/>
  <c r="M63" i="9" s="1"/>
  <c r="M69" i="9" s="1"/>
  <c r="N69" i="9" s="1"/>
  <c r="L67" i="9"/>
  <c r="M67" i="9" s="1"/>
  <c r="U10" i="40"/>
  <c r="AB10" i="40"/>
  <c r="H52" i="37"/>
  <c r="I52" i="37" s="1"/>
  <c r="J52" i="37" s="1"/>
  <c r="K52" i="37" s="1"/>
  <c r="L52" i="37" s="1"/>
  <c r="M52" i="37" s="1"/>
  <c r="N52" i="37" s="1"/>
  <c r="O52" i="37" s="1"/>
  <c r="E29" i="6"/>
  <c r="F30" i="6"/>
  <c r="F31" i="6" s="1"/>
  <c r="I14" i="74"/>
  <c r="B8" i="74" s="1"/>
  <c r="D127" i="9"/>
  <c r="D13" i="52" s="1"/>
  <c r="D12" i="52"/>
  <c r="W7" i="33"/>
  <c r="AC7" i="33"/>
  <c r="V48" i="33" s="1"/>
  <c r="I48" i="33" s="1"/>
  <c r="I59" i="34"/>
  <c r="J59" i="34" s="1"/>
  <c r="K59" i="34" s="1"/>
  <c r="L59" i="34" s="1"/>
  <c r="M59" i="34" s="1"/>
  <c r="N59" i="34" s="1"/>
  <c r="O59" i="34" s="1"/>
  <c r="J7" i="34"/>
  <c r="F7" i="34"/>
  <c r="H7" i="34"/>
  <c r="E46" i="36"/>
  <c r="F46" i="36" s="1"/>
  <c r="G46" i="36" s="1"/>
  <c r="H46" i="36" s="1"/>
  <c r="I46" i="36" s="1"/>
  <c r="J46" i="36" s="1"/>
  <c r="K46" i="36" s="1"/>
  <c r="L46" i="36" s="1"/>
  <c r="M46" i="36" s="1"/>
  <c r="N46" i="36" s="1"/>
  <c r="O46" i="36" s="1"/>
  <c r="F7" i="36"/>
  <c r="J7" i="36"/>
  <c r="H7" i="36"/>
  <c r="D63" i="40"/>
  <c r="C65" i="40"/>
  <c r="D48" i="35"/>
  <c r="E48" i="35" s="1"/>
  <c r="F48" i="35" s="1"/>
  <c r="G48" i="35" s="1"/>
  <c r="H48" i="35" s="1"/>
  <c r="I48" i="35" s="1"/>
  <c r="J48" i="35" s="1"/>
  <c r="K48" i="35" s="1"/>
  <c r="L48" i="35" s="1"/>
  <c r="M48" i="35" s="1"/>
  <c r="N48" i="35" s="1"/>
  <c r="O48" i="35" s="1"/>
  <c r="J7" i="35"/>
  <c r="H7" i="35"/>
  <c r="F7" i="35"/>
  <c r="E28" i="6"/>
  <c r="G30" i="6"/>
  <c r="G31" i="6" s="1"/>
  <c r="AB7" i="21"/>
  <c r="F7" i="21"/>
  <c r="S7" i="21" s="1"/>
  <c r="J7" i="21"/>
  <c r="AC7" i="21" s="1"/>
  <c r="AA10" i="39"/>
  <c r="F27" i="11"/>
  <c r="H10" i="39"/>
  <c r="J10" i="40"/>
  <c r="J7" i="37"/>
  <c r="AR7" i="1"/>
  <c r="AB45" i="21"/>
  <c r="H16" i="1"/>
  <c r="C48" i="68"/>
  <c r="E16" i="6"/>
  <c r="E59" i="40"/>
  <c r="AC15" i="21"/>
  <c r="AA11" i="37"/>
  <c r="S32" i="37"/>
  <c r="S27" i="36"/>
  <c r="S30" i="40"/>
  <c r="S15" i="37"/>
  <c r="AA34" i="39"/>
  <c r="S34" i="39"/>
  <c r="AA12" i="34"/>
  <c r="S12" i="34"/>
  <c r="AB14" i="37"/>
  <c r="U14" i="37"/>
  <c r="S38" i="40"/>
  <c r="AA38" i="40"/>
  <c r="F103" i="39"/>
  <c r="G103" i="39" s="1"/>
  <c r="F29" i="39"/>
  <c r="H29" i="39"/>
  <c r="J29" i="39"/>
  <c r="D25" i="71"/>
  <c r="C26" i="71"/>
  <c r="C30" i="71"/>
  <c r="D30" i="71" s="1"/>
  <c r="D29" i="71"/>
  <c r="C34" i="71"/>
  <c r="D33" i="71"/>
  <c r="C42" i="71"/>
  <c r="D41" i="71"/>
  <c r="AC9" i="34"/>
  <c r="W9" i="34"/>
  <c r="W34" i="35"/>
  <c r="AC34" i="35"/>
  <c r="AC32" i="40"/>
  <c r="W32" i="40"/>
  <c r="O49" i="71"/>
  <c r="O48" i="71"/>
  <c r="D49" i="71"/>
  <c r="C38" i="71"/>
  <c r="D37" i="71"/>
  <c r="G5" i="3"/>
  <c r="B3" i="3" s="1"/>
  <c r="F19" i="21"/>
  <c r="D23" i="67"/>
  <c r="C40" i="68"/>
  <c r="D50" i="71"/>
  <c r="F50" i="71"/>
  <c r="P74" i="67"/>
  <c r="F81" i="21"/>
  <c r="G81" i="21" s="1"/>
  <c r="H9" i="34"/>
  <c r="F34" i="35"/>
  <c r="H34" i="35"/>
  <c r="J36" i="35"/>
  <c r="BL532" i="3"/>
  <c r="AZ532" i="3" s="1"/>
  <c r="BA531" i="3"/>
  <c r="AZ531" i="3" s="1"/>
  <c r="BA533" i="3"/>
  <c r="AZ533" i="3" s="1"/>
  <c r="BL530" i="3"/>
  <c r="AZ530" i="3" s="1"/>
  <c r="BA307" i="3"/>
  <c r="AZ307" i="3" s="1"/>
  <c r="BL306" i="3"/>
  <c r="AZ306" i="3" s="1"/>
  <c r="BA305" i="3"/>
  <c r="AZ305"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BL5" i="3" s="1"/>
  <c r="BA13" i="3"/>
  <c r="E8" i="43"/>
  <c r="E10" i="43"/>
  <c r="E9" i="43"/>
  <c r="E11" i="43"/>
  <c r="F22" i="43"/>
  <c r="C5" i="71"/>
  <c r="D5" i="71" s="1"/>
  <c r="D6" i="71"/>
  <c r="C10" i="71"/>
  <c r="D11" i="71"/>
  <c r="U11" i="71" s="1"/>
  <c r="J17" i="43"/>
  <c r="H17" i="43"/>
  <c r="C16" i="43" s="1"/>
  <c r="C5" i="43" s="1"/>
  <c r="C23" i="71"/>
  <c r="C19" i="71"/>
  <c r="C15" i="71"/>
  <c r="E21" i="49"/>
  <c r="E22" i="49"/>
  <c r="AC11" i="39"/>
  <c r="E4" i="49"/>
  <c r="E9" i="49"/>
  <c r="B11" i="49"/>
  <c r="B5" i="49"/>
  <c r="B14" i="49"/>
  <c r="B22" i="49"/>
  <c r="F120" i="39"/>
  <c r="H39" i="39" s="1"/>
  <c r="E11" i="49"/>
  <c r="B8" i="49"/>
  <c r="B4" i="49"/>
  <c r="E5" i="49"/>
  <c r="E10" i="49"/>
  <c r="E8" i="49"/>
  <c r="E16" i="49"/>
  <c r="B9" i="49"/>
  <c r="E6" i="49"/>
  <c r="E7" i="49"/>
  <c r="B16" i="49"/>
  <c r="B10" i="49"/>
  <c r="E4" i="4" s="1"/>
  <c r="B5" i="62" s="1"/>
  <c r="B73" i="72" s="1"/>
  <c r="U7" i="21"/>
  <c r="F105" i="39"/>
  <c r="G105" i="39" s="1"/>
  <c r="H105" i="39" s="1"/>
  <c r="I105" i="39" s="1"/>
  <c r="J105" i="39" s="1"/>
  <c r="K105" i="39" s="1"/>
  <c r="L105" i="39" s="1"/>
  <c r="M105" i="39" s="1"/>
  <c r="J31" i="39"/>
  <c r="H31" i="39"/>
  <c r="F31" i="39"/>
  <c r="U41" i="39"/>
  <c r="AC41" i="39"/>
  <c r="S11" i="39"/>
  <c r="U9" i="39"/>
  <c r="C47" i="68"/>
  <c r="D45" i="68" s="1"/>
  <c r="B20" i="31"/>
  <c r="C15" i="15"/>
  <c r="C18" i="15"/>
  <c r="J20" i="67"/>
  <c r="B8" i="70"/>
  <c r="C34" i="15"/>
  <c r="F63" i="15"/>
  <c r="C62" i="15" s="1"/>
  <c r="B7" i="70"/>
  <c r="F69" i="67"/>
  <c r="F69" i="15"/>
  <c r="J20" i="15"/>
  <c r="F63" i="67"/>
  <c r="C62" i="67" s="1"/>
  <c r="C34" i="67"/>
  <c r="C9" i="69"/>
  <c r="F68" i="67"/>
  <c r="F66" i="67"/>
  <c r="C27" i="15"/>
  <c r="N59" i="67"/>
  <c r="M59" i="67"/>
  <c r="L58" i="67"/>
  <c r="L59" i="67"/>
  <c r="F51" i="15"/>
  <c r="F68" i="15"/>
  <c r="L58" i="15"/>
  <c r="L59" i="15"/>
  <c r="M59" i="15"/>
  <c r="N59" i="15"/>
  <c r="F64" i="15"/>
  <c r="F65" i="15"/>
  <c r="I54" i="67"/>
  <c r="J57" i="67"/>
  <c r="J55" i="67" s="1"/>
  <c r="J58" i="67" s="1"/>
  <c r="Q50" i="67" s="1"/>
  <c r="L56" i="67"/>
  <c r="C6" i="15"/>
  <c r="C27" i="67"/>
  <c r="Q71" i="67"/>
  <c r="B10" i="70"/>
  <c r="B11" i="70"/>
  <c r="C47" i="69"/>
  <c r="D45" i="69" s="1"/>
  <c r="C29" i="69"/>
  <c r="D27" i="69" s="1"/>
  <c r="F70" i="67"/>
  <c r="F71" i="15"/>
  <c r="F64" i="67"/>
  <c r="F65" i="67"/>
  <c r="I54" i="15"/>
  <c r="L56" i="15"/>
  <c r="J57" i="15"/>
  <c r="J55" i="15" s="1"/>
  <c r="J58" i="15" s="1"/>
  <c r="Q50" i="15" s="1"/>
  <c r="Q71" i="15"/>
  <c r="F71" i="67"/>
  <c r="M7" i="67"/>
  <c r="J6" i="67" s="1"/>
  <c r="F50" i="67"/>
  <c r="F66" i="15"/>
  <c r="F51" i="67"/>
  <c r="C49" i="67" s="1"/>
  <c r="C6" i="67"/>
  <c r="M7" i="15"/>
  <c r="J6" i="15" s="1"/>
  <c r="F50" i="15"/>
  <c r="B12" i="70"/>
  <c r="B13" i="70"/>
  <c r="B9" i="70"/>
  <c r="I1" i="73"/>
  <c r="B39" i="1" s="1"/>
  <c r="D4" i="73"/>
  <c r="D5" i="73"/>
  <c r="C17" i="15"/>
  <c r="D3" i="73"/>
  <c r="D7" i="73"/>
  <c r="C16" i="15"/>
  <c r="D6" i="73"/>
  <c r="C16" i="67"/>
  <c r="C14" i="67"/>
  <c r="G1" i="73"/>
  <c r="AE6" i="1"/>
  <c r="C17" i="67"/>
  <c r="E20" i="43" l="1"/>
  <c r="M17" i="43" s="1"/>
  <c r="AA23" i="21"/>
  <c r="G85" i="21"/>
  <c r="J23" i="21"/>
  <c r="H23" i="21"/>
  <c r="AA21" i="21"/>
  <c r="F25" i="39"/>
  <c r="S25" i="39" s="1"/>
  <c r="J25" i="39"/>
  <c r="AC25" i="39" s="1"/>
  <c r="H25" i="39"/>
  <c r="U25" i="39" s="1"/>
  <c r="W15" i="39"/>
  <c r="AC15" i="39"/>
  <c r="U15" i="39"/>
  <c r="AB15" i="39"/>
  <c r="AA15" i="39"/>
  <c r="S15" i="39"/>
  <c r="C101" i="43"/>
  <c r="H22" i="43"/>
  <c r="G22" i="43"/>
  <c r="H38" i="39"/>
  <c r="J38" i="39"/>
  <c r="F38" i="39"/>
  <c r="D101" i="43"/>
  <c r="D109" i="43" s="1"/>
  <c r="E22" i="43"/>
  <c r="B113" i="43"/>
  <c r="F101" i="43"/>
  <c r="G101" i="43"/>
  <c r="N104" i="46"/>
  <c r="L101" i="43"/>
  <c r="M101" i="43"/>
  <c r="E101" i="43"/>
  <c r="J22" i="43"/>
  <c r="K101" i="43"/>
  <c r="N101" i="43"/>
  <c r="J101" i="43"/>
  <c r="H101" i="43"/>
  <c r="I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U34" i="39"/>
  <c r="AB34" i="39"/>
  <c r="G107" i="39"/>
  <c r="H107" i="39" s="1"/>
  <c r="I107" i="39" s="1"/>
  <c r="J107" i="39" s="1"/>
  <c r="K107" i="39" s="1"/>
  <c r="L107" i="39" s="1"/>
  <c r="M107" i="39" s="1"/>
  <c r="J32" i="39"/>
  <c r="AB32" i="39"/>
  <c r="U32" i="39"/>
  <c r="S32" i="39"/>
  <c r="AA32" i="39"/>
  <c r="F7" i="37"/>
  <c r="AA10" i="40"/>
  <c r="S10" i="40"/>
  <c r="W10" i="39"/>
  <c r="AC10" i="39"/>
  <c r="D70" i="39"/>
  <c r="E68" i="39"/>
  <c r="AB42" i="39"/>
  <c r="U42" i="39"/>
  <c r="AA42" i="39"/>
  <c r="S42" i="39"/>
  <c r="AC42" i="39"/>
  <c r="W42" i="39"/>
  <c r="C12" i="12"/>
  <c r="B40" i="1"/>
  <c r="F25" i="12" s="1"/>
  <c r="AA25" i="39"/>
  <c r="AB17" i="21"/>
  <c r="U17" i="21"/>
  <c r="AA17" i="21"/>
  <c r="S17" i="21"/>
  <c r="AC17" i="21"/>
  <c r="W17" i="21"/>
  <c r="U21" i="21"/>
  <c r="AB21" i="21"/>
  <c r="W11" i="21"/>
  <c r="AC11" i="21"/>
  <c r="S11" i="21"/>
  <c r="AA11" i="21"/>
  <c r="U11" i="21"/>
  <c r="AB11" i="21"/>
  <c r="W7" i="21"/>
  <c r="AA7" i="21"/>
  <c r="D19" i="71"/>
  <c r="T19" i="71"/>
  <c r="C103" i="43"/>
  <c r="C105" i="43"/>
  <c r="C107" i="43"/>
  <c r="C102" i="43"/>
  <c r="C106" i="43"/>
  <c r="C104" i="43"/>
  <c r="C7" i="43"/>
  <c r="AZ14" i="3"/>
  <c r="U34" i="35"/>
  <c r="AB34" i="35"/>
  <c r="AB9" i="34"/>
  <c r="U9" i="34"/>
  <c r="E69" i="3"/>
  <c r="E237" i="3"/>
  <c r="E114" i="3"/>
  <c r="E261" i="3"/>
  <c r="E278" i="3"/>
  <c r="E304" i="3"/>
  <c r="E415" i="3"/>
  <c r="E528" i="3"/>
  <c r="E563" i="3"/>
  <c r="E565" i="3"/>
  <c r="E395" i="3"/>
  <c r="E183" i="3"/>
  <c r="E172" i="3"/>
  <c r="E213" i="3"/>
  <c r="E260" i="3"/>
  <c r="E361" i="3"/>
  <c r="E445" i="3"/>
  <c r="E17" i="3"/>
  <c r="E550" i="3"/>
  <c r="E503" i="3"/>
  <c r="E535" i="3"/>
  <c r="E302" i="3"/>
  <c r="E359" i="3"/>
  <c r="E229" i="3"/>
  <c r="E97" i="3"/>
  <c r="E353" i="3"/>
  <c r="E385" i="3"/>
  <c r="E495" i="3"/>
  <c r="E518" i="3"/>
  <c r="E16" i="3"/>
  <c r="E586" i="3"/>
  <c r="E549" i="3"/>
  <c r="E434" i="3"/>
  <c r="E350" i="3"/>
  <c r="E382" i="3"/>
  <c r="E303" i="3"/>
  <c r="E263" i="3"/>
  <c r="E301" i="3"/>
  <c r="E196" i="3"/>
  <c r="E136" i="3"/>
  <c r="E156" i="3"/>
  <c r="E188" i="3"/>
  <c r="E228" i="3"/>
  <c r="E181" i="3"/>
  <c r="E157" i="3"/>
  <c r="E140" i="3"/>
  <c r="E120" i="3"/>
  <c r="E85" i="3"/>
  <c r="E45" i="3"/>
  <c r="E223" i="3"/>
  <c r="E277" i="3"/>
  <c r="E238" i="3"/>
  <c r="E224" i="3"/>
  <c r="E197" i="3"/>
  <c r="E177" i="3"/>
  <c r="E116" i="3"/>
  <c r="E193" i="3"/>
  <c r="E173" i="3"/>
  <c r="E105" i="3"/>
  <c r="E313" i="3"/>
  <c r="E369" i="3"/>
  <c r="E393" i="3"/>
  <c r="E519" i="3"/>
  <c r="K6" i="3"/>
  <c r="E493" i="3"/>
  <c r="Q6" i="3"/>
  <c r="E564" i="3"/>
  <c r="T6" i="3"/>
  <c r="E543" i="3"/>
  <c r="E405" i="3"/>
  <c r="E427" i="3"/>
  <c r="E472" i="3"/>
  <c r="E474" i="3"/>
  <c r="E481" i="3"/>
  <c r="E527" i="3"/>
  <c r="E406" i="3"/>
  <c r="E422" i="3"/>
  <c r="E408" i="3"/>
  <c r="E440" i="3"/>
  <c r="E465" i="3"/>
  <c r="E288" i="3"/>
  <c r="E344" i="3"/>
  <c r="E556" i="3"/>
  <c r="AH6" i="3"/>
  <c r="W6" i="3"/>
  <c r="E497" i="3"/>
  <c r="J6" i="3"/>
  <c r="E13" i="3"/>
  <c r="E537" i="3"/>
  <c r="E429" i="3"/>
  <c r="E450" i="3"/>
  <c r="E468" i="3"/>
  <c r="E471" i="3"/>
  <c r="E496" i="3"/>
  <c r="E433" i="3"/>
  <c r="E454" i="3"/>
  <c r="E475" i="3"/>
  <c r="E55" i="3"/>
  <c r="E72" i="3"/>
  <c r="E106" i="3"/>
  <c r="E54" i="3"/>
  <c r="E73" i="3"/>
  <c r="E111" i="3"/>
  <c r="E146" i="3"/>
  <c r="E198" i="3"/>
  <c r="E119" i="3"/>
  <c r="E171" i="3"/>
  <c r="E202" i="3"/>
  <c r="E256" i="3"/>
  <c r="E279" i="3"/>
  <c r="E214" i="3"/>
  <c r="E257" i="3"/>
  <c r="E274" i="3"/>
  <c r="E351" i="3"/>
  <c r="E315" i="3"/>
  <c r="E357" i="3"/>
  <c r="E394" i="3"/>
  <c r="E356" i="3"/>
  <c r="E372" i="3"/>
  <c r="AL6" i="3"/>
  <c r="E580" i="3"/>
  <c r="E31" i="3"/>
  <c r="E74" i="3"/>
  <c r="E94" i="3"/>
  <c r="E43" i="3"/>
  <c r="E75" i="3"/>
  <c r="E428" i="3"/>
  <c r="E482" i="3"/>
  <c r="E412" i="3"/>
  <c r="E18" i="3"/>
  <c r="E96" i="3"/>
  <c r="E78" i="3"/>
  <c r="E129" i="3"/>
  <c r="E190" i="3"/>
  <c r="E174" i="3"/>
  <c r="E220" i="3"/>
  <c r="E275" i="3"/>
  <c r="E299" i="3"/>
  <c r="E339" i="3"/>
  <c r="E342" i="3"/>
  <c r="E522" i="3"/>
  <c r="E35" i="3"/>
  <c r="E86" i="3"/>
  <c r="E112" i="3"/>
  <c r="E123" i="3"/>
  <c r="E147" i="3"/>
  <c r="E289" i="3"/>
  <c r="E340" i="3"/>
  <c r="E364" i="3"/>
  <c r="E102" i="3"/>
  <c r="E20" i="3"/>
  <c r="E62" i="3"/>
  <c r="E176" i="3"/>
  <c r="E218" i="3"/>
  <c r="E265" i="3"/>
  <c r="E365" i="3"/>
  <c r="E524" i="3"/>
  <c r="E1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W10" i="40"/>
  <c r="AC10" i="40"/>
  <c r="C47" i="11"/>
  <c r="D45" i="11" s="1"/>
  <c r="C29" i="11"/>
  <c r="D27" i="11" s="1"/>
  <c r="E30" i="6"/>
  <c r="K14" i="1"/>
  <c r="AB7" i="35"/>
  <c r="T38" i="35" s="1"/>
  <c r="G38" i="35" s="1"/>
  <c r="U7" i="35"/>
  <c r="E63" i="40"/>
  <c r="D65" i="40"/>
  <c r="AC7" i="36"/>
  <c r="V36" i="36" s="1"/>
  <c r="I36" i="36" s="1"/>
  <c r="W7" i="36"/>
  <c r="AA7" i="34"/>
  <c r="R49" i="34" s="1"/>
  <c r="S7" i="34"/>
  <c r="I53" i="33"/>
  <c r="J53" i="33" s="1"/>
  <c r="I52" i="33"/>
  <c r="J52" i="33" s="1"/>
  <c r="K15" i="1"/>
  <c r="L19" i="6"/>
  <c r="L27" i="6" s="1"/>
  <c r="H7" i="37"/>
  <c r="D15" i="71"/>
  <c r="T15" i="71"/>
  <c r="D23" i="71"/>
  <c r="T23" i="71"/>
  <c r="C9" i="71"/>
  <c r="D9" i="71" s="1"/>
  <c r="D10" i="71"/>
  <c r="D103" i="43"/>
  <c r="D105" i="43"/>
  <c r="D107" i="43"/>
  <c r="D102" i="43"/>
  <c r="D106" i="43"/>
  <c r="D104" i="43"/>
  <c r="D22" i="43"/>
  <c r="C109" i="43"/>
  <c r="AZ13" i="3"/>
  <c r="AZ5" i="3" s="1"/>
  <c r="BA5" i="3"/>
  <c r="E27" i="6" s="1"/>
  <c r="E31" i="6" s="1"/>
  <c r="AC36" i="35"/>
  <c r="W36" i="35"/>
  <c r="AA34" i="35"/>
  <c r="S34" i="35"/>
  <c r="F49" i="71"/>
  <c r="Q50" i="71"/>
  <c r="AA19" i="21"/>
  <c r="S19" i="21"/>
  <c r="D42" i="71"/>
  <c r="C43" i="71"/>
  <c r="D34" i="71"/>
  <c r="C35" i="71"/>
  <c r="AB29" i="39"/>
  <c r="U29" i="39"/>
  <c r="W7" i="37"/>
  <c r="AC7" i="37"/>
  <c r="V42" i="37" s="1"/>
  <c r="I42" i="37" s="1"/>
  <c r="U10" i="39"/>
  <c r="AB10" i="39"/>
  <c r="AA7" i="35"/>
  <c r="R38" i="35" s="1"/>
  <c r="S7" i="35"/>
  <c r="W7" i="35"/>
  <c r="AC7" i="35"/>
  <c r="V38" i="35" s="1"/>
  <c r="I38" i="35" s="1"/>
  <c r="U7" i="36"/>
  <c r="AB7" i="36"/>
  <c r="T36" i="36" s="1"/>
  <c r="G36" i="36" s="1"/>
  <c r="S7" i="36"/>
  <c r="AA7" i="36"/>
  <c r="R36" i="36" s="1"/>
  <c r="U7" i="34"/>
  <c r="AB7" i="34"/>
  <c r="T49" i="34" s="1"/>
  <c r="G49" i="34" s="1"/>
  <c r="W7" i="34"/>
  <c r="AC7" i="34"/>
  <c r="V49" i="34" s="1"/>
  <c r="I49" i="34" s="1"/>
  <c r="S7" i="37"/>
  <c r="AA7" i="37"/>
  <c r="R42" i="37" s="1"/>
  <c r="G53" i="33"/>
  <c r="H53" i="33" s="1"/>
  <c r="G120" i="39"/>
  <c r="H120" i="39" s="1"/>
  <c r="I120" i="39" s="1"/>
  <c r="J120" i="39" s="1"/>
  <c r="K120" i="39" s="1"/>
  <c r="L120" i="39" s="1"/>
  <c r="M120" i="39" s="1"/>
  <c r="J39" i="39"/>
  <c r="F39" i="39"/>
  <c r="U39" i="39"/>
  <c r="AB39" i="39"/>
  <c r="K4" i="4"/>
  <c r="B46" i="48" s="1"/>
  <c r="B4" i="72" s="1"/>
  <c r="AA31" i="39"/>
  <c r="S31" i="39"/>
  <c r="AC31" i="39"/>
  <c r="W31" i="39"/>
  <c r="AB31" i="39"/>
  <c r="U31" i="39"/>
  <c r="C15" i="67"/>
  <c r="C18" i="67"/>
  <c r="C19" i="15"/>
  <c r="O17" i="43"/>
  <c r="Q61" i="15"/>
  <c r="Q74" i="15"/>
  <c r="Q61" i="67"/>
  <c r="Q74" i="67"/>
  <c r="F11" i="67"/>
  <c r="M11" i="15"/>
  <c r="J10" i="15" s="1"/>
  <c r="J5" i="15" s="1"/>
  <c r="M11" i="67"/>
  <c r="J10" i="67" s="1"/>
  <c r="J5" i="67" s="1"/>
  <c r="F11" i="15"/>
  <c r="Q60" i="15"/>
  <c r="Q73" i="15"/>
  <c r="C49" i="15"/>
  <c r="Q73" i="67"/>
  <c r="Q60" i="67"/>
  <c r="P17" i="43" l="1"/>
  <c r="N17" i="43"/>
  <c r="U23" i="21"/>
  <c r="AB23" i="21"/>
  <c r="AC23" i="21"/>
  <c r="V48" i="21" s="1"/>
  <c r="I48" i="21" s="1"/>
  <c r="I52" i="21" s="1"/>
  <c r="J52" i="21" s="1"/>
  <c r="W23" i="21"/>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C23" i="43" s="1"/>
  <c r="C21" i="43" s="1"/>
  <c r="E107" i="43"/>
  <c r="E104" i="43"/>
  <c r="E106" i="43"/>
  <c r="E105" i="43"/>
  <c r="E109" i="43"/>
  <c r="E103" i="43"/>
  <c r="L109" i="43"/>
  <c r="L107" i="43"/>
  <c r="L103" i="43"/>
  <c r="L105" i="43"/>
  <c r="L106" i="43"/>
  <c r="L104" i="43"/>
  <c r="L102" i="43"/>
  <c r="G105" i="43"/>
  <c r="G102" i="43"/>
  <c r="G107" i="43"/>
  <c r="G104" i="43"/>
  <c r="G106" i="43"/>
  <c r="G103" i="43"/>
  <c r="G109" i="43"/>
  <c r="D115" i="43"/>
  <c r="E115" i="43" s="1"/>
  <c r="F115" i="43" s="1"/>
  <c r="G115" i="43" s="1"/>
  <c r="H115" i="43" s="1"/>
  <c r="B115" i="43"/>
  <c r="C115" i="43" s="1"/>
  <c r="B117" i="43"/>
  <c r="C117" i="43" s="1"/>
  <c r="I115" i="43"/>
  <c r="J115" i="43" s="1"/>
  <c r="K115" i="43" s="1"/>
  <c r="L115" i="43" s="1"/>
  <c r="M115" i="43" s="1"/>
  <c r="D117" i="43"/>
  <c r="E117" i="43" s="1"/>
  <c r="F117" i="43" s="1"/>
  <c r="G117" i="43" s="1"/>
  <c r="H117" i="43" s="1"/>
  <c r="I118" i="43"/>
  <c r="J118" i="43" s="1"/>
  <c r="K118" i="43" s="1"/>
  <c r="L118" i="43" s="1"/>
  <c r="M118" i="43" s="1"/>
  <c r="D116" i="43"/>
  <c r="E116" i="43" s="1"/>
  <c r="F116" i="43" s="1"/>
  <c r="G116" i="43" s="1"/>
  <c r="H116" i="43" s="1"/>
  <c r="G118" i="43"/>
  <c r="H118" i="43" s="1"/>
  <c r="B116" i="43"/>
  <c r="C116" i="43" s="1"/>
  <c r="B118" i="43"/>
  <c r="C118" i="43" s="1"/>
  <c r="I116" i="43"/>
  <c r="J116" i="43" s="1"/>
  <c r="K116" i="43" s="1"/>
  <c r="L116" i="43" s="1"/>
  <c r="M116" i="43" s="1"/>
  <c r="I117" i="43"/>
  <c r="J117" i="43" s="1"/>
  <c r="K117" i="43" s="1"/>
  <c r="L117" i="43" s="1"/>
  <c r="M117" i="43" s="1"/>
  <c r="D118" i="43"/>
  <c r="E118" i="43" s="1"/>
  <c r="F118" i="43" s="1"/>
  <c r="W38" i="39"/>
  <c r="AC38" i="39"/>
  <c r="H6" i="3"/>
  <c r="W32" i="39"/>
  <c r="AC32" i="39"/>
  <c r="F68" i="39"/>
  <c r="E70" i="39"/>
  <c r="F22" i="11"/>
  <c r="C44" i="11" s="1"/>
  <c r="D41" i="11" s="1"/>
  <c r="F22" i="69"/>
  <c r="C44" i="69" s="1"/>
  <c r="D41" i="69" s="1"/>
  <c r="F24" i="67"/>
  <c r="C24" i="67" s="1"/>
  <c r="F24" i="15"/>
  <c r="C24" i="15" s="1"/>
  <c r="F22" i="68"/>
  <c r="C23" i="68" s="1"/>
  <c r="R48" i="21"/>
  <c r="T48" i="21"/>
  <c r="G48" i="21" s="1"/>
  <c r="G52" i="21" s="1"/>
  <c r="H52" i="21" s="1"/>
  <c r="I42" i="35"/>
  <c r="J42" i="35" s="1"/>
  <c r="I46" i="37"/>
  <c r="J46" i="37" s="1"/>
  <c r="T35" i="71"/>
  <c r="D35" i="71"/>
  <c r="T43" i="71"/>
  <c r="D43" i="71"/>
  <c r="AB7" i="37"/>
  <c r="T42" i="37" s="1"/>
  <c r="G42" i="37" s="1"/>
  <c r="U7" i="37"/>
  <c r="R50" i="34"/>
  <c r="E49" i="34"/>
  <c r="I40" i="36"/>
  <c r="J40" i="36" s="1"/>
  <c r="F63" i="40"/>
  <c r="E65" i="40"/>
  <c r="G42" i="35"/>
  <c r="H42" i="35" s="1"/>
  <c r="G43" i="35"/>
  <c r="H43" i="35" s="1"/>
  <c r="K19" i="6"/>
  <c r="K16" i="1"/>
  <c r="M14" i="1"/>
  <c r="K20" i="6"/>
  <c r="M20" i="6" s="1"/>
  <c r="I20" i="6" s="1"/>
  <c r="S20" i="6" s="1"/>
  <c r="K23" i="6"/>
  <c r="M23" i="6" s="1"/>
  <c r="I23" i="6" s="1"/>
  <c r="S23" i="6" s="1"/>
  <c r="K21" i="6"/>
  <c r="M21" i="6" s="1"/>
  <c r="I21" i="6" s="1"/>
  <c r="S21" i="6" s="1"/>
  <c r="R43" i="37"/>
  <c r="E42" i="37"/>
  <c r="I53" i="34"/>
  <c r="J53" i="34" s="1"/>
  <c r="G54" i="34"/>
  <c r="H54" i="34" s="1"/>
  <c r="G53" i="34"/>
  <c r="H53" i="34" s="1"/>
  <c r="E36" i="36"/>
  <c r="R37" i="36"/>
  <c r="G40" i="36"/>
  <c r="H40" i="36" s="1"/>
  <c r="G41" i="36"/>
  <c r="H41" i="36" s="1"/>
  <c r="R39" i="35"/>
  <c r="E38" i="35"/>
  <c r="I43" i="35" s="1"/>
  <c r="J43" i="35" s="1"/>
  <c r="Q49" i="71"/>
  <c r="Q48" i="71"/>
  <c r="E3" i="6"/>
  <c r="AY6" i="3"/>
  <c r="K22" i="6"/>
  <c r="M22" i="6" s="1"/>
  <c r="I22" i="6" s="1"/>
  <c r="S22" i="6" s="1"/>
  <c r="K26" i="6"/>
  <c r="M26" i="6" s="1"/>
  <c r="I26" i="6" s="1"/>
  <c r="S26" i="6" s="1"/>
  <c r="K24" i="6"/>
  <c r="M24" i="6" s="1"/>
  <c r="I24" i="6" s="1"/>
  <c r="S24" i="6" s="1"/>
  <c r="K25" i="6"/>
  <c r="M25" i="6" s="1"/>
  <c r="I25" i="6" s="1"/>
  <c r="S25" i="6" s="1"/>
  <c r="T27" i="71"/>
  <c r="D27" i="71"/>
  <c r="T39" i="71"/>
  <c r="D39" i="71"/>
  <c r="AC6" i="3"/>
  <c r="M20" i="43"/>
  <c r="C19" i="43" s="1"/>
  <c r="W39" i="39"/>
  <c r="AC39" i="39"/>
  <c r="S39" i="39"/>
  <c r="AA39" i="39"/>
  <c r="C19" i="67"/>
  <c r="C20" i="67" s="1"/>
  <c r="C26" i="67" s="1"/>
  <c r="J18" i="67"/>
  <c r="J26" i="67"/>
  <c r="J29" i="67" s="1"/>
  <c r="J24" i="67"/>
  <c r="J18" i="15"/>
  <c r="J26" i="15"/>
  <c r="J29" i="15" s="1"/>
  <c r="J24" i="15"/>
  <c r="C53" i="67"/>
  <c r="C48" i="67" s="1"/>
  <c r="C10" i="67"/>
  <c r="C5" i="67" s="1"/>
  <c r="C20" i="15"/>
  <c r="C53" i="15"/>
  <c r="C48" i="15" s="1"/>
  <c r="C10" i="15"/>
  <c r="C5" i="15" s="1"/>
  <c r="C26" i="12"/>
  <c r="D25" i="12" s="1"/>
  <c r="E6" i="3" l="1"/>
  <c r="S6" i="43"/>
  <c r="S7" i="43"/>
  <c r="S4" i="43"/>
  <c r="S3" i="43"/>
  <c r="S5" i="43"/>
  <c r="S2" i="43"/>
  <c r="D113" i="43"/>
  <c r="C23" i="11"/>
  <c r="G68" i="39"/>
  <c r="F70" i="39"/>
  <c r="C26" i="69"/>
  <c r="D22" i="69" s="1"/>
  <c r="C26" i="68"/>
  <c r="D22" i="68" s="1"/>
  <c r="C26" i="11"/>
  <c r="D22" i="11" s="1"/>
  <c r="C23" i="15"/>
  <c r="C44" i="68"/>
  <c r="D41" i="68" s="1"/>
  <c r="G53" i="21"/>
  <c r="H53" i="21" s="1"/>
  <c r="R49" i="21"/>
  <c r="E48" i="21"/>
  <c r="C36" i="43"/>
  <c r="C34" i="43"/>
  <c r="C33" i="43"/>
  <c r="C35" i="43"/>
  <c r="C39" i="43"/>
  <c r="C29" i="43"/>
  <c r="T16" i="43"/>
  <c r="V16" i="43" s="1"/>
  <c r="T12" i="43"/>
  <c r="V12" i="43" s="1"/>
  <c r="T3" i="43"/>
  <c r="V3" i="43" s="1"/>
  <c r="T2" i="43"/>
  <c r="V2" i="43" s="1"/>
  <c r="T15" i="43"/>
  <c r="V15" i="43" s="1"/>
  <c r="T10" i="43"/>
  <c r="V10" i="43" s="1"/>
  <c r="T6" i="43"/>
  <c r="V6" i="43" s="1"/>
  <c r="C38" i="43"/>
  <c r="C37" i="43"/>
  <c r="T11" i="43"/>
  <c r="V11" i="43" s="1"/>
  <c r="T14" i="43"/>
  <c r="V14" i="43" s="1"/>
  <c r="T9" i="43"/>
  <c r="V9" i="43" s="1"/>
  <c r="T7" i="43"/>
  <c r="V7" i="43" s="1"/>
  <c r="T8" i="43"/>
  <c r="V8" i="43" s="1"/>
  <c r="T13" i="43"/>
  <c r="V13" i="43" s="1"/>
  <c r="T5" i="43"/>
  <c r="V5" i="43" s="1"/>
  <c r="T4" i="43"/>
  <c r="V4" i="43" s="1"/>
  <c r="M18" i="9"/>
  <c r="B118" i="9" s="1"/>
  <c r="D3" i="34"/>
  <c r="D3" i="33"/>
  <c r="B2" i="33" s="1"/>
  <c r="B3" i="33" s="1"/>
  <c r="E6" i="6"/>
  <c r="C17" i="4"/>
  <c r="B4" i="52" s="1"/>
  <c r="B43" i="72" s="1"/>
  <c r="L18" i="9"/>
  <c r="D3" i="37"/>
  <c r="D3" i="21"/>
  <c r="D19" i="11"/>
  <c r="C19" i="11" s="1"/>
  <c r="D37" i="11"/>
  <c r="C37" i="11" s="1"/>
  <c r="D14" i="12"/>
  <c r="C39" i="35"/>
  <c r="B2" i="35" s="1"/>
  <c r="B3" i="35" s="1"/>
  <c r="C38" i="35"/>
  <c r="E40" i="36"/>
  <c r="F40" i="36" s="1"/>
  <c r="E41" i="36"/>
  <c r="F41" i="36" s="1"/>
  <c r="C43" i="37"/>
  <c r="B2" i="37" s="1"/>
  <c r="B3" i="37" s="1"/>
  <c r="C42" i="37"/>
  <c r="E54" i="34"/>
  <c r="F54" i="34" s="1"/>
  <c r="E53" i="34"/>
  <c r="F53" i="34"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43" i="35"/>
  <c r="F43" i="35" s="1"/>
  <c r="E42" i="35"/>
  <c r="F42" i="35" s="1"/>
  <c r="C37" i="36"/>
  <c r="B2" i="36" s="1"/>
  <c r="B3" i="36" s="1"/>
  <c r="C36" i="36"/>
  <c r="I54" i="34"/>
  <c r="J54" i="34" s="1"/>
  <c r="E47" i="37"/>
  <c r="F47" i="37" s="1"/>
  <c r="E46" i="37"/>
  <c r="F46" i="37" s="1"/>
  <c r="M16" i="1"/>
  <c r="K27" i="6"/>
  <c r="M19" i="6"/>
  <c r="S6" i="1"/>
  <c r="G63" i="40"/>
  <c r="F65" i="40"/>
  <c r="I41" i="36"/>
  <c r="J41" i="36" s="1"/>
  <c r="C49" i="34"/>
  <c r="C50" i="34"/>
  <c r="G46" i="37"/>
  <c r="H46" i="37" s="1"/>
  <c r="G47" i="37"/>
  <c r="H47" i="37" s="1"/>
  <c r="I47" i="37"/>
  <c r="J47" i="37" s="1"/>
  <c r="C26" i="15"/>
  <c r="C29" i="15" s="1"/>
  <c r="C23" i="67"/>
  <c r="C29" i="67" s="1"/>
  <c r="C60" i="15"/>
  <c r="C66" i="15"/>
  <c r="C32" i="67"/>
  <c r="C38" i="67"/>
  <c r="C32" i="15"/>
  <c r="C38" i="15"/>
  <c r="C60" i="67"/>
  <c r="C66" i="67"/>
  <c r="D10" i="69"/>
  <c r="C34" i="69"/>
  <c r="H68" i="39" l="1"/>
  <c r="G70" i="39"/>
  <c r="C49" i="21"/>
  <c r="C48" i="21"/>
  <c r="I53" i="21"/>
  <c r="J53" i="21" s="1"/>
  <c r="E53" i="21"/>
  <c r="F53" i="21" s="1"/>
  <c r="E52" i="21"/>
  <c r="F52" i="21" s="1"/>
  <c r="C10" i="69"/>
  <c r="C8" i="69" s="1"/>
  <c r="D19" i="69"/>
  <c r="C35" i="69"/>
  <c r="C38" i="69"/>
  <c r="AQ6" i="1"/>
  <c r="AR6" i="1"/>
  <c r="E6" i="70"/>
  <c r="E2" i="70" s="1"/>
  <c r="T6" i="1"/>
  <c r="T16" i="1" s="1"/>
  <c r="S16" i="1"/>
  <c r="D10" i="68"/>
  <c r="D10" i="11"/>
  <c r="C10" i="11" s="1"/>
  <c r="D20" i="12"/>
  <c r="C20" i="12" s="1"/>
  <c r="C18" i="12" s="1"/>
  <c r="G37" i="43"/>
  <c r="I37" i="43" s="1"/>
  <c r="E37" i="43"/>
  <c r="G39" i="43"/>
  <c r="I39" i="43" s="1"/>
  <c r="E39" i="43"/>
  <c r="G33" i="43"/>
  <c r="I33" i="43" s="1"/>
  <c r="E33" i="43"/>
  <c r="G36" i="43"/>
  <c r="I36" i="43" s="1"/>
  <c r="E36" i="43"/>
  <c r="B2" i="34"/>
  <c r="B3" i="34" s="1"/>
  <c r="H63" i="40"/>
  <c r="G65" i="40"/>
  <c r="M27" i="6"/>
  <c r="I19" i="6"/>
  <c r="N16" i="1"/>
  <c r="C34" i="11"/>
  <c r="L16" i="1"/>
  <c r="C34" i="68"/>
  <c r="D19" i="6"/>
  <c r="M19" i="9" s="1"/>
  <c r="C118" i="9" s="1"/>
  <c r="D26" i="6"/>
  <c r="C18" i="4"/>
  <c r="D8" i="6"/>
  <c r="D23" i="6"/>
  <c r="D14" i="6"/>
  <c r="D5" i="6"/>
  <c r="D12" i="6"/>
  <c r="D11" i="6"/>
  <c r="D13" i="6"/>
  <c r="D28" i="6"/>
  <c r="E61" i="40"/>
  <c r="H23" i="6"/>
  <c r="H26" i="6"/>
  <c r="H20" i="6"/>
  <c r="D25" i="6"/>
  <c r="D15" i="6"/>
  <c r="D22" i="6"/>
  <c r="D21" i="6"/>
  <c r="D24" i="6"/>
  <c r="D20" i="6"/>
  <c r="R20" i="6" s="1"/>
  <c r="D6" i="6"/>
  <c r="D9" i="6"/>
  <c r="D10" i="6"/>
  <c r="D29" i="6"/>
  <c r="H25" i="6"/>
  <c r="H22" i="6"/>
  <c r="H21" i="6"/>
  <c r="H24" i="6"/>
  <c r="H19" i="6"/>
  <c r="D17" i="12"/>
  <c r="C17" i="12" s="1"/>
  <c r="C14" i="12"/>
  <c r="C16" i="12" s="1"/>
  <c r="C20" i="11"/>
  <c r="C25" i="11" s="1"/>
  <c r="C28" i="11"/>
  <c r="C27" i="11" s="1"/>
  <c r="C24" i="11"/>
  <c r="C7" i="74"/>
  <c r="C8" i="74"/>
  <c r="G38" i="43"/>
  <c r="I38" i="43" s="1"/>
  <c r="E38" i="43"/>
  <c r="C30" i="43"/>
  <c r="E30" i="43" s="1"/>
  <c r="C27" i="43" s="1"/>
  <c r="E29" i="43"/>
  <c r="C26" i="43" s="1"/>
  <c r="G35" i="43"/>
  <c r="I35" i="43" s="1"/>
  <c r="E35" i="43"/>
  <c r="G34" i="43"/>
  <c r="I34" i="43" s="1"/>
  <c r="E34" i="43"/>
  <c r="Q49" i="67"/>
  <c r="J59" i="67"/>
  <c r="J60" i="67" s="1"/>
  <c r="L46" i="67" s="1"/>
  <c r="C57" i="67"/>
  <c r="C64" i="67" s="1"/>
  <c r="C57" i="15"/>
  <c r="C61" i="15" s="1"/>
  <c r="C59" i="15" s="1"/>
  <c r="C13" i="15"/>
  <c r="C56" i="15" s="1"/>
  <c r="C65" i="15" s="1"/>
  <c r="Q49" i="15"/>
  <c r="J19" i="15"/>
  <c r="J17" i="15" s="1"/>
  <c r="C33" i="15"/>
  <c r="C31" i="15" s="1"/>
  <c r="C36" i="15"/>
  <c r="J14" i="15"/>
  <c r="J22" i="15" s="1"/>
  <c r="J59" i="15"/>
  <c r="J60" i="15" s="1"/>
  <c r="L46" i="15" s="1"/>
  <c r="C36" i="67"/>
  <c r="J14" i="67"/>
  <c r="J22" i="67" s="1"/>
  <c r="C33" i="67"/>
  <c r="C31" i="67" s="1"/>
  <c r="C13" i="67"/>
  <c r="C56" i="67" s="1"/>
  <c r="C65" i="67" s="1"/>
  <c r="J19" i="67"/>
  <c r="J17" i="67" s="1"/>
  <c r="E6" i="76"/>
  <c r="H27" i="6" l="1"/>
  <c r="L19" i="9"/>
  <c r="I68" i="39"/>
  <c r="H70" i="39"/>
  <c r="D20" i="9"/>
  <c r="B2" i="21"/>
  <c r="C64" i="15"/>
  <c r="C58" i="15" s="1"/>
  <c r="C67" i="15" s="1"/>
  <c r="C68" i="15" s="1"/>
  <c r="C71" i="15" s="1"/>
  <c r="C61" i="67"/>
  <c r="C59" i="67" s="1"/>
  <c r="D103" i="9"/>
  <c r="C22" i="11"/>
  <c r="C31" i="11" s="1"/>
  <c r="C21" i="12"/>
  <c r="C22" i="12" s="1"/>
  <c r="C30" i="12" s="1"/>
  <c r="C28" i="12" s="1"/>
  <c r="E2" i="76"/>
  <c r="R21" i="6"/>
  <c r="D30" i="6"/>
  <c r="R23" i="6"/>
  <c r="A7" i="51"/>
  <c r="B7" i="72" s="1"/>
  <c r="A10" i="51"/>
  <c r="B9" i="72" s="1"/>
  <c r="C4" i="52"/>
  <c r="B45" i="72" s="1"/>
  <c r="R19" i="6"/>
  <c r="D27" i="6"/>
  <c r="D31" i="6" s="1"/>
  <c r="C38" i="68"/>
  <c r="C35" i="68"/>
  <c r="C38" i="11"/>
  <c r="C35" i="11"/>
  <c r="I27" i="6"/>
  <c r="S19" i="6"/>
  <c r="S27" i="6" s="1"/>
  <c r="C19" i="69"/>
  <c r="C24" i="69" s="1"/>
  <c r="D37" i="69"/>
  <c r="C37" i="69" s="1"/>
  <c r="D48" i="69" s="1"/>
  <c r="B2" i="43"/>
  <c r="R24" i="6"/>
  <c r="R22" i="6"/>
  <c r="R25" i="6"/>
  <c r="D16" i="6"/>
  <c r="R26" i="6"/>
  <c r="D7" i="74"/>
  <c r="D8" i="74"/>
  <c r="F50" i="11"/>
  <c r="F50" i="68"/>
  <c r="F50" i="69"/>
  <c r="I63" i="40"/>
  <c r="H65" i="40"/>
  <c r="C10" i="68"/>
  <c r="D19" i="68"/>
  <c r="Q48" i="67"/>
  <c r="C37" i="15"/>
  <c r="C30" i="15" s="1"/>
  <c r="C39" i="15" s="1"/>
  <c r="Q69" i="15" s="1"/>
  <c r="Q48" i="15"/>
  <c r="C75" i="15"/>
  <c r="Q70" i="15"/>
  <c r="C37" i="67"/>
  <c r="C30" i="67" s="1"/>
  <c r="C39" i="67" s="1"/>
  <c r="Q69" i="67" s="1"/>
  <c r="Q70" i="67"/>
  <c r="C75" i="67"/>
  <c r="J13" i="15"/>
  <c r="J23" i="15" s="1"/>
  <c r="J16" i="15" s="1"/>
  <c r="J25" i="15" s="1"/>
  <c r="J13" i="67"/>
  <c r="J23" i="67" s="1"/>
  <c r="J16" i="67" s="1"/>
  <c r="J25" i="67" s="1"/>
  <c r="C58" i="67"/>
  <c r="C67" i="67" s="1"/>
  <c r="C68" i="67" s="1"/>
  <c r="C71" i="67" s="1"/>
  <c r="D19" i="9"/>
  <c r="B6" i="76"/>
  <c r="I70" i="39" l="1"/>
  <c r="J68" i="39"/>
  <c r="C33" i="69"/>
  <c r="D102" i="9"/>
  <c r="D21" i="9"/>
  <c r="B3" i="21"/>
  <c r="C27" i="12"/>
  <c r="C25" i="12" s="1"/>
  <c r="C32" i="12" s="1"/>
  <c r="B2" i="12" s="1"/>
  <c r="B3" i="12" s="1"/>
  <c r="C33" i="11"/>
  <c r="C42" i="11" s="1"/>
  <c r="B2" i="76"/>
  <c r="B3" i="76" s="1"/>
  <c r="C39" i="11"/>
  <c r="C43" i="11" s="1"/>
  <c r="D37" i="68"/>
  <c r="C37" i="68" s="1"/>
  <c r="C33" i="68" s="1"/>
  <c r="C19" i="68"/>
  <c r="B3" i="43"/>
  <c r="R6" i="1"/>
  <c r="R16" i="1" s="1"/>
  <c r="R27" i="6"/>
  <c r="J63" i="40"/>
  <c r="I65" i="40"/>
  <c r="I6" i="6"/>
  <c r="I5" i="6"/>
  <c r="Q68" i="67"/>
  <c r="Q68" i="15"/>
  <c r="C40" i="67"/>
  <c r="C45" i="67" s="1"/>
  <c r="C46" i="67" s="1"/>
  <c r="C80" i="15"/>
  <c r="C79" i="15" s="1"/>
  <c r="C40" i="15"/>
  <c r="C46" i="15" s="1"/>
  <c r="C80" i="67"/>
  <c r="C79" i="67" s="1"/>
  <c r="L51" i="67"/>
  <c r="L51" i="15"/>
  <c r="J70" i="39" l="1"/>
  <c r="K68" i="39"/>
  <c r="C42" i="69"/>
  <c r="C39" i="69"/>
  <c r="C43" i="69" s="1"/>
  <c r="C46" i="11"/>
  <c r="C45" i="11" s="1"/>
  <c r="Q67" i="67"/>
  <c r="L57" i="67"/>
  <c r="L60" i="67" s="1"/>
  <c r="Q66" i="67" s="1"/>
  <c r="C41" i="11"/>
  <c r="L57" i="15"/>
  <c r="L60" i="15" s="1"/>
  <c r="Q66" i="15" s="1"/>
  <c r="Q67" i="15"/>
  <c r="C39" i="68"/>
  <c r="C42" i="68"/>
  <c r="J65" i="40"/>
  <c r="K63" i="40"/>
  <c r="C20" i="68"/>
  <c r="C24" i="68"/>
  <c r="Q47" i="67"/>
  <c r="Q53" i="67" s="1"/>
  <c r="Q56" i="15"/>
  <c r="D2" i="67"/>
  <c r="B3" i="67" s="1"/>
  <c r="C43" i="67"/>
  <c r="C83" i="67"/>
  <c r="C82" i="67" s="1"/>
  <c r="Q56" i="67"/>
  <c r="Q65" i="67"/>
  <c r="C83" i="15"/>
  <c r="C82" i="15" s="1"/>
  <c r="Q65" i="15"/>
  <c r="B2" i="15"/>
  <c r="B3" i="15" s="1"/>
  <c r="Q47" i="15"/>
  <c r="Q53" i="15" s="1"/>
  <c r="C43" i="15"/>
  <c r="Q57" i="67" l="1"/>
  <c r="Q62" i="67" s="1"/>
  <c r="L68" i="39"/>
  <c r="K70" i="39"/>
  <c r="C41" i="69"/>
  <c r="C46" i="69"/>
  <c r="C45" i="69" s="1"/>
  <c r="C49" i="11"/>
  <c r="C51" i="11" s="1"/>
  <c r="C52" i="11" s="1"/>
  <c r="B2" i="11" s="1"/>
  <c r="B3" i="11" s="1"/>
  <c r="Q57" i="15"/>
  <c r="Q62" i="15" s="1"/>
  <c r="L63" i="40"/>
  <c r="K65" i="40"/>
  <c r="C28" i="68"/>
  <c r="C27" i="68" s="1"/>
  <c r="C25" i="68"/>
  <c r="C22" i="68" s="1"/>
  <c r="C46" i="68"/>
  <c r="C45" i="68" s="1"/>
  <c r="C43" i="68"/>
  <c r="C41" i="68" s="1"/>
  <c r="B2" i="67"/>
  <c r="Q75" i="67"/>
  <c r="Q75" i="15"/>
  <c r="L70" i="39" l="1"/>
  <c r="M68" i="39"/>
  <c r="C49" i="69"/>
  <c r="C51" i="69" s="1"/>
  <c r="C49" i="68"/>
  <c r="C51" i="68" s="1"/>
  <c r="C31" i="68"/>
  <c r="C56" i="11"/>
  <c r="C57" i="11" s="1"/>
  <c r="M63" i="40"/>
  <c r="L65" i="40"/>
  <c r="M70" i="39" l="1"/>
  <c r="N68" i="39"/>
  <c r="C52" i="68"/>
  <c r="B2" i="68" s="1"/>
  <c r="B3" i="68" s="1"/>
  <c r="M65" i="40"/>
  <c r="N63" i="40"/>
  <c r="O68" i="39" l="1"/>
  <c r="O70" i="39" s="1"/>
  <c r="N70" i="39"/>
  <c r="H7" i="39" s="1"/>
  <c r="F7" i="39"/>
  <c r="J7" i="39"/>
  <c r="C57" i="68"/>
  <c r="C56" i="68" s="1"/>
  <c r="N65" i="40"/>
  <c r="O63" i="40"/>
  <c r="O65" i="40" s="1"/>
  <c r="W7" i="39" l="1"/>
  <c r="AC7" i="39"/>
  <c r="V47" i="39" s="1"/>
  <c r="I47" i="39" s="1"/>
  <c r="U7" i="39"/>
  <c r="AB7" i="39"/>
  <c r="T47" i="39" s="1"/>
  <c r="G47" i="39" s="1"/>
  <c r="AA7" i="39"/>
  <c r="R47" i="39" s="1"/>
  <c r="S7" i="39"/>
  <c r="F7" i="40"/>
  <c r="J7" i="40"/>
  <c r="H7" i="40"/>
  <c r="G52" i="39" l="1"/>
  <c r="H52" i="39" s="1"/>
  <c r="G51" i="39"/>
  <c r="H51" i="39" s="1"/>
  <c r="I51" i="39"/>
  <c r="J51" i="39" s="1"/>
  <c r="E47" i="39"/>
  <c r="R48" i="39"/>
  <c r="U7" i="40"/>
  <c r="AB7" i="40"/>
  <c r="T42" i="40" s="1"/>
  <c r="G42" i="40" s="1"/>
  <c r="AC7" i="40"/>
  <c r="V42" i="40" s="1"/>
  <c r="I42" i="40" s="1"/>
  <c r="W7" i="40"/>
  <c r="AA7" i="40"/>
  <c r="R42" i="40" s="1"/>
  <c r="S7" i="40"/>
  <c r="C47" i="39" l="1"/>
  <c r="C48" i="39"/>
  <c r="E52" i="39"/>
  <c r="F52" i="39" s="1"/>
  <c r="E51" i="39"/>
  <c r="F51" i="39" s="1"/>
  <c r="I52" i="39"/>
  <c r="J52" i="39" s="1"/>
  <c r="I46" i="40"/>
  <c r="J46" i="40" s="1"/>
  <c r="E42" i="40"/>
  <c r="R43" i="40"/>
  <c r="G47" i="40"/>
  <c r="H47" i="40" s="1"/>
  <c r="G46" i="40"/>
  <c r="H46" i="40" s="1"/>
  <c r="B61" i="39" l="1"/>
  <c r="F61" i="39" s="1"/>
  <c r="B63" i="39"/>
  <c r="F63" i="39" s="1"/>
  <c r="B64" i="39"/>
  <c r="F64" i="39" s="1"/>
  <c r="B56" i="39"/>
  <c r="F56" i="39" s="1"/>
  <c r="C6" i="69"/>
  <c r="B57" i="39"/>
  <c r="F57" i="39" s="1"/>
  <c r="B59" i="39"/>
  <c r="F59" i="39" s="1"/>
  <c r="B60" i="39"/>
  <c r="F60" i="39" s="1"/>
  <c r="B62" i="39"/>
  <c r="F62" i="39" s="1"/>
  <c r="B65" i="39"/>
  <c r="F65" i="39" s="1"/>
  <c r="B58" i="39"/>
  <c r="F58" i="39" s="1"/>
  <c r="E46" i="40"/>
  <c r="F46" i="40" s="1"/>
  <c r="E47" i="40"/>
  <c r="F47" i="40" s="1"/>
  <c r="C42" i="40"/>
  <c r="C43" i="40"/>
  <c r="I47" i="40"/>
  <c r="J47" i="40" s="1"/>
  <c r="F66" i="39" l="1"/>
  <c r="B2" i="39" s="1"/>
  <c r="B3" i="39" s="1"/>
  <c r="D30" i="69"/>
  <c r="C7" i="69"/>
  <c r="C5" i="69"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C20" i="69" l="1"/>
  <c r="C25" i="69" s="1"/>
  <c r="C23" i="69"/>
  <c r="C28" i="69" l="1"/>
  <c r="C27" i="69" s="1"/>
  <c r="C22" i="69"/>
  <c r="C31" i="69" l="1"/>
  <c r="C52" i="69" s="1"/>
  <c r="B2" i="69" s="1"/>
  <c r="AO6" i="1"/>
  <c r="C19" i="9"/>
  <c r="B3" i="69"/>
  <c r="C57" i="69" l="1"/>
  <c r="C56" i="69" s="1"/>
  <c r="C20" i="9"/>
  <c r="C103" i="9" s="1"/>
  <c r="B6" i="70"/>
  <c r="B2" i="70" s="1"/>
  <c r="B3" i="70" s="1"/>
  <c r="C21" i="9"/>
  <c r="G19" i="9"/>
  <c r="D22" i="9"/>
  <c r="C102" i="9"/>
  <c r="G20" i="9"/>
  <c r="E14" i="74" s="1"/>
  <c r="D14" i="74" s="1"/>
  <c r="G21" i="9" l="1"/>
  <c r="C32" i="9"/>
  <c r="B5" i="74"/>
  <c r="F14" i="74"/>
  <c r="H118" i="9" l="1"/>
  <c r="C35" i="9"/>
  <c r="D5" i="74"/>
  <c r="C5" i="74"/>
  <c r="F118" i="9" l="1"/>
  <c r="C34" i="9"/>
  <c r="D118" i="9" s="1"/>
  <c r="H119" i="9"/>
  <c r="H5" i="52" s="1"/>
  <c r="I118" i="9"/>
  <c r="H101" i="9"/>
  <c r="C104" i="9"/>
  <c r="H4" i="52"/>
  <c r="C105" i="9" l="1"/>
  <c r="H102" i="9"/>
  <c r="D7" i="53" s="1"/>
  <c r="B21" i="72" s="1"/>
  <c r="I4" i="52"/>
  <c r="D119" i="9"/>
  <c r="D5" i="52" s="1"/>
  <c r="B49" i="72" s="1"/>
  <c r="D4" i="52"/>
  <c r="B47" i="72" s="1"/>
  <c r="D5" i="53"/>
  <c r="H107" i="9"/>
  <c r="M48" i="9"/>
  <c r="D45" i="9"/>
  <c r="G118" i="9"/>
  <c r="G4" i="52" s="1"/>
  <c r="B52" i="72" s="1"/>
  <c r="F4" i="52"/>
  <c r="B51" i="72" s="1"/>
  <c r="F119" i="9"/>
  <c r="F5" i="52" s="1"/>
  <c r="B53" i="72" s="1"/>
  <c r="C78" i="9" l="1"/>
  <c r="C73" i="9" s="1"/>
  <c r="D52" i="9"/>
  <c r="C64" i="9"/>
  <c r="C63" i="9" s="1"/>
  <c r="C67" i="9" s="1"/>
  <c r="C68" i="9" s="1"/>
  <c r="D54" i="9" s="1"/>
  <c r="C72" i="9"/>
  <c r="D53" i="9"/>
  <c r="C85" i="9"/>
  <c r="C93" i="9"/>
  <c r="C86" i="9" s="1"/>
  <c r="D55" i="9"/>
  <c r="M53" i="9" s="1"/>
  <c r="H108" i="9"/>
  <c r="D15" i="53" s="1"/>
  <c r="B31" i="72" s="1"/>
  <c r="D122" i="9"/>
  <c r="D13" i="53"/>
  <c r="D6" i="53"/>
  <c r="B22" i="72" s="1"/>
  <c r="B20" i="72"/>
  <c r="E118" i="9"/>
  <c r="E4" i="52" s="1"/>
  <c r="B48" i="72" s="1"/>
  <c r="G14" i="74" l="1"/>
  <c r="B6" i="74" s="1"/>
  <c r="D123" i="9"/>
  <c r="D9" i="52" s="1"/>
  <c r="D8" i="52"/>
  <c r="C95" i="9"/>
  <c r="C79" i="9"/>
  <c r="B30" i="72"/>
  <c r="D14" i="53"/>
  <c r="B32" i="72" s="1"/>
  <c r="C96" i="9" l="1"/>
  <c r="E96" i="9" s="1"/>
  <c r="E97" i="9" s="1"/>
  <c r="C97" i="9"/>
  <c r="D58" i="9" s="1"/>
  <c r="D56" i="9" s="1"/>
  <c r="M54" i="9" s="1"/>
  <c r="N57" i="9" s="1"/>
  <c r="C80" i="9"/>
  <c r="E80" i="9" s="1"/>
  <c r="E81" i="9" s="1"/>
  <c r="C81" i="9"/>
  <c r="C6" i="74"/>
  <c r="D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J3" authorId="0">
      <text>
        <r>
          <rPr>
            <b/>
            <sz val="9"/>
            <color indexed="81"/>
            <rFont val="宋体"/>
            <family val="3"/>
            <charset val="134"/>
          </rPr>
          <t>USER:</t>
        </r>
        <r>
          <rPr>
            <sz val="9"/>
            <color indexed="81"/>
            <rFont val="宋体"/>
            <family val="3"/>
            <charset val="134"/>
          </rPr>
          <t xml:space="preserve">
应用剥离后的26324
</t>
        </r>
      </text>
    </comment>
    <comment ref="J4" authorId="0">
      <text>
        <r>
          <rPr>
            <b/>
            <sz val="9"/>
            <color indexed="81"/>
            <rFont val="宋体"/>
            <family val="3"/>
            <charset val="134"/>
          </rPr>
          <t>USER:</t>
        </r>
        <r>
          <rPr>
            <sz val="9"/>
            <color indexed="81"/>
            <rFont val="宋体"/>
            <family val="3"/>
            <charset val="134"/>
          </rPr>
          <t xml:space="preserve">
应用剥离后楼面单价29003</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<sst xmlns="http://schemas.openxmlformats.org/spreadsheetml/2006/main" count="7558" uniqueCount="3257">
  <si>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</si>
  <si>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</si>
  <si>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</si>
  <si>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</si>
  <si>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</si>
  <si>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</si>
  <si>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</si>
  <si>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</si>
  <si>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</si>
  <si>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</si>
  <si>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</si>
  <si>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</si>
  <si>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</si>
  <si>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</si>
  <si>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</si>
  <si>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</si>
  <si>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</si>
  <si>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</si>
  <si>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</si>
  <si>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</si>
  <si>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</si>
  <si>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</si>
  <si>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</si>
  <si>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</si>
  <si>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</si>
  <si>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</si>
  <si>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</si>
  <si>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</si>
  <si>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</si>
  <si>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</si>
  <si>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</si>
  <si>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</si>
  <si>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</si>
  <si>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</si>
  <si>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</si>
  <si>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</si>
  <si>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</si>
  <si>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</si>
  <si>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</si>
  <si>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</si>
  <si>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</si>
  <si>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</si>
  <si>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</si>
  <si>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</si>
  <si>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</si>
  <si>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</si>
  <si>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</si>
  <si>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</si>
  <si>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</si>
  <si>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</si>
  <si>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</si>
  <si>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</si>
  <si>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</si>
  <si>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</si>
  <si>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</si>
  <si>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</si>
  <si>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</si>
  <si>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</si>
  <si>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</si>
  <si>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</si>
  <si>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</si>
  <si>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</si>
  <si>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</si>
  <si>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</si>
  <si>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</si>
  <si>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</si>
  <si>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</si>
  <si>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</si>
  <si>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</si>
  <si>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</si>
  <si>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</si>
  <si>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</si>
  <si>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</si>
  <si>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</si>
  <si>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</si>
  <si>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</si>
  <si>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</si>
  <si>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</si>
  <si>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</si>
  <si>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</si>
  <si>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</si>
  <si>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</si>
  <si>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</si>
  <si>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</si>
  <si>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</si>
  <si>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</si>
  <si>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</si>
  <si>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</si>
  <si>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</si>
  <si>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</si>
  <si>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</si>
  <si>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</si>
  <si>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</si>
  <si>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</si>
  <si>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</si>
  <si>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</si>
  <si>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</si>
  <si>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</si>
  <si>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</si>
  <si>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</si>
  <si>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</si>
  <si>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</si>
  <si>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</si>
  <si>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</si>
  <si>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</si>
  <si>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</si>
  <si>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</si>
  <si>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</si>
  <si>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</si>
  <si>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</si>
  <si>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</si>
  <si>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</si>
  <si>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</si>
  <si>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</si>
  <si>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</si>
  <si>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</si>
  <si>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</si>
  <si>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</si>
  <si>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</si>
  <si>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</si>
  <si>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</si>
  <si>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</si>
  <si>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</si>
  <si>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</si>
  <si>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</si>
  <si>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</si>
  <si>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</si>
  <si>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</si>
  <si>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</si>
  <si>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</si>
  <si>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</si>
  <si>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</si>
  <si>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</si>
  <si>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</si>
  <si>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</si>
  <si>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</si>
  <si>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</si>
  <si>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</si>
  <si>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</si>
  <si>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</si>
  <si>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</si>
  <si>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</si>
  <si>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</si>
  <si>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</si>
  <si>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</si>
  <si>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</si>
  <si>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</si>
  <si>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</si>
  <si>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</si>
  <si>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</si>
  <si>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</si>
  <si>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</si>
  <si>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</si>
  <si>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</si>
  <si>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</si>
  <si>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</si>
  <si>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</si>
  <si>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</si>
  <si>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</si>
  <si>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</si>
  <si>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</si>
  <si>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</si>
  <si>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</si>
  <si>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</si>
  <si>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</si>
  <si>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</si>
  <si>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</si>
  <si>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</si>
  <si>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</si>
  <si>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</si>
  <si>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</si>
  <si>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</si>
  <si>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</si>
  <si>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</si>
  <si>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</si>
  <si>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</si>
  <si>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</si>
  <si>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</si>
  <si>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</si>
  <si>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</si>
  <si>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</si>
  <si>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</si>
  <si>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</si>
  <si>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</si>
  <si>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</si>
  <si>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</si>
  <si>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</si>
  <si>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</si>
  <si>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</si>
  <si>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</si>
  <si>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</si>
  <si>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</si>
  <si>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</si>
  <si>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</si>
  <si>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</si>
  <si>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</si>
  <si>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</si>
  <si>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</si>
  <si>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</si>
  <si>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</si>
  <si>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</si>
  <si>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</si>
  <si>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</si>
  <si>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</si>
  <si>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</si>
  <si>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</si>
  <si>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</si>
  <si>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</si>
  <si>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</si>
  <si>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</si>
  <si>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</si>
  <si>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</si>
  <si>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</si>
  <si>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</si>
  <si>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</si>
  <si>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</si>
  <si>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</si>
  <si>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</si>
  <si>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</si>
  <si>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</si>
  <si>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</si>
  <si>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</si>
  <si>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</si>
  <si>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</si>
  <si>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</si>
  <si>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</si>
  <si>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</si>
  <si>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</si>
  <si>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</si>
  <si>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</si>
  <si>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</si>
  <si>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</si>
  <si>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</si>
  <si>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</si>
  <si>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</si>
  <si>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</si>
  <si>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</si>
  <si>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</si>
  <si>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</si>
  <si>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</si>
  <si>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</si>
  <si>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</si>
  <si>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</si>
  <si>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</si>
  <si>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</si>
  <si>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</si>
  <si>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</si>
  <si>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</si>
  <si>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</si>
  <si>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</si>
  <si>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</si>
  <si>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</si>
  <si>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</si>
  <si>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</si>
  <si>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</si>
  <si>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</si>
  <si>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</si>
  <si>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</si>
  <si>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</si>
  <si>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</si>
  <si>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</si>
  <si>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</si>
  <si>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</si>
  <si>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</si>
  <si>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</si>
  <si>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</si>
  <si>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</si>
  <si>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</si>
  <si>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</si>
  <si>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</si>
  <si>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</si>
  <si>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</si>
  <si>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</si>
  <si>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</si>
  <si>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</si>
  <si>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</si>
  <si>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</si>
  <si>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</si>
  <si>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</si>
  <si>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</si>
  <si>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</si>
  <si>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</si>
  <si>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</si>
  <si>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</si>
  <si>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</si>
  <si>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</si>
  <si>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</si>
  <si>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</si>
  <si>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</si>
  <si>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</si>
  <si>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</si>
  <si>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</si>
  <si>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</si>
  <si>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</si>
  <si>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</si>
  <si>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</si>
  <si>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</si>
  <si>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</si>
  <si>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</si>
  <si>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</si>
  <si>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</si>
  <si>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</si>
  <si>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</si>
  <si>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</si>
  <si>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</si>
  <si>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</si>
  <si>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</si>
  <si>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</si>
  <si>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</si>
  <si>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</si>
  <si>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</si>
  <si>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</si>
  <si>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</si>
  <si>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</si>
  <si>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</si>
  <si>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</si>
  <si>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</si>
  <si>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</si>
  <si>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</si>
  <si>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</si>
  <si>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</si>
  <si>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</si>
  <si>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</si>
  <si>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</si>
  <si>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</si>
  <si>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</si>
  <si>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</si>
  <si>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</si>
  <si>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</si>
  <si>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</si>
  <si>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</si>
  <si>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</si>
  <si>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</si>
  <si>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</si>
  <si>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</si>
  <si>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</si>
  <si>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</si>
  <si>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</si>
  <si>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</si>
  <si>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</si>
  <si>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</si>
  <si>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</si>
  <si>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</si>
  <si>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</si>
  <si>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</si>
  <si>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</si>
  <si>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</si>
  <si>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</si>
  <si>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</si>
  <si>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</si>
  <si>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</si>
  <si>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</si>
  <si>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</si>
  <si>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</si>
  <si>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</si>
  <si>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</si>
  <si>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</si>
  <si>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</si>
  <si>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</si>
  <si>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</si>
  <si>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</si>
  <si>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</si>
  <si>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</si>
  <si>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</si>
  <si>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</si>
  <si>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</si>
  <si>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</si>
  <si>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</si>
  <si>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</si>
  <si>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</si>
  <si>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</si>
  <si>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</si>
  <si>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</si>
  <si>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</si>
  <si>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</si>
  <si>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</si>
  <si>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</si>
  <si>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</si>
  <si>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</si>
  <si>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</si>
  <si>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</si>
  <si>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</si>
  <si>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</si>
  <si>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</si>
  <si>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</si>
  <si>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</si>
  <si>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</si>
  <si>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</si>
  <si>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</si>
  <si>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</si>
  <si>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</si>
  <si>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</si>
  <si>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</si>
  <si>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</si>
  <si>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</si>
  <si>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</si>
  <si>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</si>
  <si>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</si>
  <si>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</si>
  <si>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</si>
  <si>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</si>
  <si>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</si>
  <si>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</si>
  <si>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</si>
  <si>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</si>
  <si>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</si>
  <si>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</si>
  <si>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</si>
  <si>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</si>
  <si>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</si>
  <si>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</si>
  <si>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</si>
  <si>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</si>
  <si>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</si>
  <si>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</si>
  <si>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</si>
  <si>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</si>
  <si>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</si>
  <si>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</si>
  <si>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</si>
  <si>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</si>
  <si>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</si>
  <si>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</si>
  <si>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</si>
  <si>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</si>
  <si>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</si>
  <si>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</si>
  <si>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</si>
  <si>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</si>
  <si>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</si>
  <si>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</si>
  <si>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</si>
  <si>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</si>
  <si>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</si>
  <si>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</si>
  <si>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</si>
  <si>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</si>
  <si>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</si>
  <si>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</si>
  <si>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</si>
  <si>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</si>
  <si>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</si>
  <si>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</si>
  <si>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</si>
  <si>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</si>
  <si>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</si>
  <si>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</si>
  <si>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</si>
  <si>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</si>
  <si>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</si>
  <si>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</si>
  <si>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</si>
  <si>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</si>
  <si>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</si>
  <si>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</si>
  <si>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</si>
  <si>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</si>
  <si>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</si>
  <si>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</si>
  <si>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</si>
  <si>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</si>
  <si>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</si>
  <si>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</si>
  <si>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</si>
  <si>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</si>
  <si>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</si>
  <si>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</si>
  <si>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</si>
  <si>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</si>
  <si>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</si>
  <si>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</si>
  <si>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</si>
  <si>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</si>
  <si>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</si>
  <si>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</si>
  <si>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</si>
  <si>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</si>
  <si>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</si>
  <si>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</si>
  <si>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</si>
  <si>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</si>
  <si>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</si>
  <si>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</si>
  <si>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</si>
  <si>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</si>
  <si>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</si>
  <si>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</si>
  <si>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</si>
  <si>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</si>
  <si>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</si>
  <si>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</si>
  <si>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</si>
  <si>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</si>
  <si>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</si>
  <si>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</si>
  <si>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</si>
  <si>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</si>
  <si>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</si>
  <si>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</si>
  <si>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</si>
  <si>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</si>
  <si>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</si>
  <si>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</si>
  <si>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</si>
  <si>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</si>
  <si>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</si>
  <si>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</si>
  <si>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</si>
  <si>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</si>
  <si>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</si>
  <si>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</si>
  <si>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</si>
  <si>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</si>
  <si>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</si>
  <si>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</si>
  <si>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</si>
  <si>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</si>
  <si>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</si>
  <si>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</si>
  <si>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</si>
  <si>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</si>
  <si>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</si>
  <si>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</si>
  <si>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</si>
  <si>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</si>
  <si>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</si>
  <si>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</si>
  <si>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</si>
  <si>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</si>
  <si>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</si>
  <si>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</si>
  <si>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</si>
  <si>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</si>
  <si>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</si>
  <si>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</si>
  <si>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</si>
  <si>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</si>
  <si>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</si>
  <si>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</si>
  <si>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</si>
  <si>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</si>
  <si>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</si>
  <si>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</si>
  <si>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</si>
  <si>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</si>
  <si>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</si>
  <si>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</si>
  <si>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</si>
  <si>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</si>
  <si>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</si>
  <si>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</si>
  <si>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</si>
  <si>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</si>
  <si>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</si>
  <si>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</si>
  <si>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</si>
  <si>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</si>
  <si>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</si>
  <si>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</si>
  <si>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</si>
  <si>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</si>
  <si>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</si>
  <si>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</si>
  <si>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</si>
  <si>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</si>
  <si>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</si>
  <si>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</si>
  <si>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</si>
  <si>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</si>
  <si>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</si>
  <si>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</si>
  <si>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</si>
  <si>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</si>
  <si>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</si>
  <si>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</si>
  <si>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</si>
  <si>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</si>
  <si>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</si>
  <si>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</si>
  <si>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</si>
  <si>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</si>
  <si>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</si>
  <si>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</si>
  <si>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</si>
  <si>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</si>
  <si>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</si>
  <si>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</si>
  <si>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</si>
  <si>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</si>
  <si>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</si>
  <si>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</si>
  <si>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</si>
  <si>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</si>
  <si>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</si>
  <si>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</si>
  <si>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</si>
  <si>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</si>
  <si>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</si>
  <si>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</si>
  <si>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</si>
  <si>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</si>
  <si>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</si>
  <si>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</si>
  <si>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</si>
  <si>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</si>
  <si>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</si>
  <si>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</si>
  <si>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</si>
  <si>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</si>
  <si>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</si>
  <si>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</si>
  <si>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</si>
  <si>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</si>
  <si>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</si>
  <si>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</si>
  <si>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</si>
  <si>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</si>
  <si>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</si>
  <si>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</si>
  <si>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</si>
  <si>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</si>
  <si>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</si>
  <si>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</si>
  <si>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</si>
  <si>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</si>
  <si>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</si>
  <si>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</si>
  <si>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</si>
  <si>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</si>
  <si>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</si>
  <si>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</si>
  <si>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</si>
  <si>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</si>
  <si>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</si>
  <si>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</si>
  <si>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</si>
  <si>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</si>
  <si>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</si>
  <si>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</si>
  <si>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</si>
  <si>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</si>
  <si>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</si>
  <si>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</si>
  <si>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</si>
  <si>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</si>
  <si>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</si>
  <si>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</si>
  <si>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</si>
  <si>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</si>
  <si>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</si>
  <si>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</si>
  <si>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</si>
  <si>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</si>
  <si>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</si>
  <si>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</si>
  <si>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</si>
  <si>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</si>
  <si>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</si>
  <si>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</si>
  <si>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</si>
  <si>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</si>
  <si>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</si>
  <si>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</si>
  <si>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</si>
  <si>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</si>
  <si>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</si>
  <si>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</si>
  <si>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</si>
  <si>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</si>
  <si>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</si>
  <si>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</si>
  <si>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</si>
  <si>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</si>
  <si>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</si>
  <si>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</si>
  <si>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</si>
  <si>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</si>
  <si>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</si>
  <si>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</si>
  <si>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</si>
  <si>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</si>
  <si>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</si>
  <si>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</si>
  <si>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</si>
  <si>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</si>
  <si>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</si>
  <si>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</si>
  <si>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</si>
  <si>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</si>
  <si>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</si>
  <si>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</si>
  <si>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</si>
  <si>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</si>
  <si>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</si>
  <si>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</si>
  <si>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</si>
  <si>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</si>
  <si>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</si>
  <si>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</si>
  <si>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</si>
  <si>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</si>
  <si>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</si>
  <si>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</si>
  <si>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</si>
  <si>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</si>
  <si>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</si>
  <si>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</si>
  <si>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</si>
  <si>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</si>
  <si>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</si>
  <si>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</si>
  <si>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</si>
  <si>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</si>
  <si>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</si>
  <si>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</si>
  <si>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</si>
  <si>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</si>
  <si>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</si>
  <si>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</si>
  <si>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</si>
  <si>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</si>
  <si>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</si>
  <si>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</si>
  <si>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</si>
  <si>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</si>
  <si>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</si>
  <si>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</si>
  <si>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</si>
  <si>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</si>
  <si>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</si>
  <si>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</si>
  <si>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</si>
  <si>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</si>
  <si>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</si>
  <si>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</si>
  <si>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</si>
  <si>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</si>
  <si>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</si>
  <si>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</si>
  <si>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</si>
  <si>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</si>
  <si>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</si>
  <si>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</si>
  <si>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</si>
  <si>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</si>
  <si>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</si>
  <si>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</si>
  <si>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</si>
  <si>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</si>
  <si>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</si>
  <si>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</si>
  <si>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</si>
  <si>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</si>
  <si>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</si>
  <si>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</si>
  <si>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</si>
  <si>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</si>
  <si>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</si>
  <si>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</si>
  <si>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</si>
  <si>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</si>
  <si>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</si>
  <si>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</si>
  <si>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</si>
  <si>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</si>
  <si>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</si>
  <si>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</si>
  <si>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</si>
  <si>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</si>
  <si>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</si>
  <si>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</si>
  <si>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</si>
  <si>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</si>
  <si>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</si>
  <si>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</si>
  <si>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</si>
  <si>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</si>
  <si>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</si>
  <si>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</si>
  <si>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</si>
  <si>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</si>
  <si>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</si>
  <si>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</si>
  <si>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</si>
  <si>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</si>
  <si>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</si>
  <si>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</si>
  <si>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</si>
  <si>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</si>
  <si>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</si>
  <si>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</si>
  <si>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</si>
  <si>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</si>
  <si>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</si>
  <si>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</si>
  <si>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</si>
  <si>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</si>
  <si>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</si>
  <si>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</si>
  <si>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</si>
  <si>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</si>
  <si>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</si>
  <si>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</si>
  <si>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</si>
  <si>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</si>
  <si>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</si>
  <si>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</si>
  <si>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</si>
  <si>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</si>
  <si>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</si>
  <si>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</si>
  <si>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</si>
  <si>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</si>
  <si>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</si>
  <si>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</si>
  <si>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</si>
  <si>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</si>
  <si>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</si>
  <si>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</si>
  <si>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</si>
  <si>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</si>
  <si>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</si>
  <si>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</si>
  <si>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</si>
  <si>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</si>
  <si>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</si>
  <si>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</si>
  <si>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</si>
  <si>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</si>
  <si>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</si>
  <si>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</si>
  <si>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</si>
  <si>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</si>
  <si>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</si>
  <si>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</si>
  <si>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</si>
  <si>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</si>
  <si>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</si>
  <si>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</si>
  <si>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</si>
  <si>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</si>
  <si>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</si>
  <si>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</si>
  <si>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</si>
  <si>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</si>
  <si>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</si>
  <si>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</si>
  <si>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</si>
  <si>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</si>
  <si>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</si>
  <si>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</si>
  <si>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</si>
  <si>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</si>
  <si>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</si>
  <si>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</si>
  <si>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</si>
  <si>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</si>
  <si>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</si>
  <si>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</si>
  <si>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</si>
  <si>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</si>
  <si>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</si>
  <si>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</si>
  <si>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</si>
  <si>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</si>
  <si>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</si>
  <si>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</si>
  <si>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</si>
  <si>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</si>
  <si>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</si>
  <si>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</si>
  <si>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</si>
  <si>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</si>
  <si>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</si>
  <si>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</si>
  <si>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</si>
  <si>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</si>
  <si>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</si>
  <si>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</si>
  <si>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</si>
  <si>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</si>
  <si>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</si>
  <si>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</si>
  <si>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</si>
  <si>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</si>
  <si>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</si>
  <si>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</si>
  <si>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</si>
  <si>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</si>
  <si>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</si>
  <si>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</si>
  <si>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</si>
  <si>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</si>
  <si>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</si>
  <si>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</si>
  <si>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</si>
  <si>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</si>
  <si>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</si>
  <si>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</si>
  <si>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</si>
  <si>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</si>
  <si>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</si>
  <si>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</si>
  <si>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</si>
  <si>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</si>
  <si>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</si>
  <si>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</si>
  <si>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</si>
  <si>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</si>
  <si>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</si>
  <si>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</si>
  <si>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</si>
  <si>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</si>
  <si>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</si>
  <si>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</si>
  <si>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</si>
  <si>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</si>
  <si>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</si>
  <si>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</si>
  <si>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</si>
  <si>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</si>
  <si>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</si>
  <si>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</si>
  <si>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</si>
  <si>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</si>
  <si>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</si>
  <si>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</si>
  <si>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</si>
  <si>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</si>
  <si>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</si>
  <si>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</si>
  <si>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</si>
  <si>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</si>
  <si>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</si>
  <si>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</si>
  <si>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</si>
  <si>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</si>
  <si>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</si>
  <si>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</si>
  <si>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</si>
  <si>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</si>
  <si>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</si>
  <si>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</si>
  <si>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</si>
  <si>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</si>
  <si>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</si>
  <si>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</si>
  <si>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</si>
  <si>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</si>
  <si>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</si>
  <si>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</si>
  <si>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</si>
  <si>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</si>
  <si>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</si>
  <si>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</si>
  <si>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</si>
  <si>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</si>
  <si>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</si>
  <si>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</si>
  <si>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</si>
  <si>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</si>
  <si>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</si>
  <si>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</si>
  <si>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</si>
  <si>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</si>
  <si>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</si>
  <si>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</si>
  <si>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</si>
  <si>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</si>
  <si>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</si>
  <si>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</si>
  <si>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</si>
  <si>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</si>
  <si>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</si>
  <si>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</si>
  <si>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</si>
  <si>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</si>
  <si>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</si>
  <si>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</si>
  <si>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</si>
  <si>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</si>
  <si>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</si>
  <si>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</si>
  <si>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</si>
  <si>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</si>
  <si>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</si>
  <si>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</si>
  <si>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</si>
  <si>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</si>
  <si>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</si>
  <si>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</si>
  <si>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</si>
  <si>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</si>
  <si>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</si>
  <si>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</si>
  <si>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</si>
  <si>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</si>
  <si>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</si>
  <si>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</si>
  <si>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</si>
  <si>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</si>
  <si>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</si>
  <si>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</si>
  <si>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</si>
  <si>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</si>
  <si>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</si>
  <si>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</si>
  <si>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</si>
  <si>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</si>
  <si>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</si>
  <si>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</si>
  <si>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</si>
  <si>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</si>
  <si>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</si>
  <si>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</si>
  <si>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</si>
  <si>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</si>
  <si>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</si>
  <si>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</si>
  <si>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</si>
  <si>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</si>
  <si>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</si>
  <si>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</si>
  <si>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</si>
  <si>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</si>
  <si>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</si>
  <si>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</si>
  <si>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</si>
  <si>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</si>
  <si>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</si>
  <si>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</si>
  <si>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</si>
  <si>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</si>
  <si>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</si>
  <si>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</si>
  <si>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</si>
  <si>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</si>
  <si>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</si>
  <si>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</si>
  <si>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</si>
  <si>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</si>
  <si>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</si>
  <si>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</si>
  <si>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</si>
  <si>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</si>
  <si>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</si>
  <si>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</si>
  <si>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</si>
  <si>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</si>
  <si>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</si>
  <si>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</si>
  <si>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</si>
  <si>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</si>
  <si>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</si>
  <si>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</si>
  <si>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</si>
  <si>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</si>
  <si>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</si>
  <si>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</si>
  <si>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</si>
  <si>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</si>
  <si>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</si>
  <si>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</si>
  <si>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</si>
  <si>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</si>
  <si>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</si>
  <si>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</si>
  <si>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</si>
  <si>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</si>
  <si>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</si>
  <si>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</si>
  <si>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</si>
  <si>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</si>
  <si>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</si>
  <si>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</si>
  <si>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</si>
  <si>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</si>
  <si>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</si>
  <si>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</si>
  <si>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</si>
  <si>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</si>
  <si>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</si>
  <si>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</si>
  <si>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</si>
  <si>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</si>
  <si>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</si>
  <si>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</si>
  <si>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</si>
  <si>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</si>
  <si>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</si>
  <si>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</si>
  <si>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</si>
  <si>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</si>
  <si>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</si>
  <si>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</si>
  <si>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</si>
  <si>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</si>
  <si>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</si>
  <si>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</si>
  <si>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</si>
  <si>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</si>
  <si>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</si>
  <si>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</si>
  <si>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</si>
  <si>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</si>
  <si>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</si>
  <si>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</si>
  <si>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</si>
  <si>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</si>
  <si>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</si>
  <si>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</si>
  <si>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</si>
  <si>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</si>
  <si>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</si>
  <si>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</si>
  <si>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</si>
  <si>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</si>
  <si>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</si>
  <si>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</si>
  <si>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</si>
  <si>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</si>
  <si>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</si>
  <si>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</si>
  <si>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</si>
  <si>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</si>
  <si>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</si>
  <si>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</si>
  <si>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</si>
  <si>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</si>
  <si>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</si>
  <si>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</si>
  <si>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</si>
  <si>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</si>
  <si>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</si>
  <si>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</si>
  <si>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</si>
  <si>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</si>
  <si>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</si>
  <si>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</si>
  <si>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</si>
  <si>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</si>
  <si>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</si>
  <si>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</si>
  <si>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</si>
  <si>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</si>
  <si>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</si>
  <si>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</si>
  <si>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</si>
  <si>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</si>
  <si>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</si>
  <si>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</si>
  <si>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</si>
  <si>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</si>
  <si>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</si>
  <si>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</si>
  <si>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</si>
  <si>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</si>
  <si>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</si>
  <si>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</si>
  <si>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</si>
  <si>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</si>
  <si>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</si>
  <si>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</si>
  <si>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</si>
  <si>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</si>
  <si>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</si>
  <si>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</si>
  <si>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</si>
  <si>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</si>
  <si>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</si>
  <si>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</si>
  <si>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</si>
  <si>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</si>
  <si>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</si>
  <si>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</si>
  <si>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</si>
  <si>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</si>
  <si>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</si>
  <si>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</si>
  <si>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</si>
  <si>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</si>
  <si>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</si>
  <si>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</si>
  <si>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</si>
  <si>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</si>
  <si>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</si>
  <si>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</si>
  <si>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</si>
  <si>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</si>
  <si>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</si>
  <si>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</si>
  <si>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</si>
  <si>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</si>
  <si>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</si>
  <si>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</si>
  <si>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</si>
  <si>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</si>
  <si>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</si>
  <si>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</si>
  <si>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</si>
  <si>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</si>
  <si>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</si>
  <si>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</si>
  <si>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</si>
  <si>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</si>
  <si>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</si>
  <si>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</si>
  <si>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</si>
  <si>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</si>
  <si>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</si>
  <si>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</si>
  <si>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</si>
  <si>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</si>
  <si>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</si>
  <si>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</si>
  <si>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</si>
  <si>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</si>
  <si>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</si>
  <si>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</si>
  <si>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</si>
  <si>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</si>
  <si>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</si>
  <si>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</si>
  <si>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</si>
  <si>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</si>
  <si>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</si>
  <si>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</si>
  <si>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</si>
  <si>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</si>
  <si>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</si>
  <si>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</si>
  <si>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</si>
  <si>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</si>
  <si>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</si>
  <si>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</si>
  <si>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</si>
  <si>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</si>
  <si>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</si>
  <si>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</si>
  <si>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</si>
  <si>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</si>
  <si>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</si>
  <si>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</si>
  <si>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</si>
  <si>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</si>
  <si>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</si>
  <si>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</si>
  <si>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</si>
  <si>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</si>
  <si>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</si>
  <si>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</si>
  <si>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</si>
  <si>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</si>
  <si>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</si>
  <si>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</si>
  <si>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</si>
  <si>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</si>
  <si>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</si>
  <si>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</si>
  <si>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</si>
  <si>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</si>
  <si>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</si>
  <si>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</si>
  <si>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</si>
  <si>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</si>
  <si>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</si>
  <si>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</si>
  <si>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</si>
  <si>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</si>
  <si>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</si>
  <si>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</si>
  <si>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</si>
  <si>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</si>
  <si>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</si>
  <si>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</si>
  <si>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</si>
  <si>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</si>
  <si>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</si>
  <si>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</si>
  <si>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</si>
  <si>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</si>
  <si>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</si>
  <si>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</si>
  <si>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</si>
  <si>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</si>
  <si>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</si>
  <si>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</si>
  <si>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</si>
  <si>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</si>
  <si>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</si>
  <si>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</si>
  <si>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</si>
  <si>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</si>
  <si>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</si>
  <si>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</si>
  <si>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</si>
  <si>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</si>
  <si>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</si>
  <si>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</si>
  <si>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</si>
  <si>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</si>
  <si>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</si>
  <si>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</si>
  <si>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</si>
  <si>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</si>
  <si>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</si>
  <si>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</si>
  <si>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</si>
  <si>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</si>
  <si>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</si>
  <si>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</si>
  <si>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</si>
  <si>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</si>
  <si>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</si>
  <si>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</si>
  <si>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</si>
  <si>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</si>
  <si>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</si>
  <si>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</si>
  <si>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</si>
  <si>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</si>
  <si>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</si>
  <si>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</si>
  <si>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</si>
  <si>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</si>
  <si>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</si>
  <si>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</si>
  <si>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</si>
  <si>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</si>
  <si>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</si>
  <si>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</si>
  <si>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</si>
  <si>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</si>
  <si>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</si>
  <si>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</si>
  <si>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</si>
  <si>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</si>
  <si>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</si>
  <si>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</si>
  <si>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</si>
  <si>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</si>
  <si>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</si>
  <si>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</si>
  <si>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</si>
  <si>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</si>
  <si>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</si>
  <si>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</si>
  <si>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</si>
  <si>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</si>
  <si>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</si>
  <si>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</si>
  <si>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</si>
  <si>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</si>
  <si>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</si>
  <si>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</si>
  <si>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</si>
  <si>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</si>
  <si>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</si>
  <si>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</si>
  <si>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</si>
  <si>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</si>
  <si>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</si>
  <si>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</si>
  <si>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</si>
  <si>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</si>
  <si>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</si>
  <si>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</si>
  <si>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</si>
  <si>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</si>
  <si>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</si>
  <si>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</si>
  <si>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</si>
  <si>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</si>
  <si>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</si>
  <si>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</si>
  <si>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</si>
  <si>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</si>
  <si>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</si>
  <si>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</si>
  <si>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</si>
  <si>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</si>
  <si>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</si>
  <si>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</si>
  <si>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</si>
  <si>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</si>
  <si>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</si>
  <si>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</si>
  <si>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</si>
  <si>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</si>
  <si>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</si>
  <si>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</si>
  <si>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</si>
  <si>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</si>
  <si>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</si>
  <si>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</si>
  <si>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</si>
  <si>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</si>
  <si>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</si>
  <si>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</si>
  <si>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</si>
  <si>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</si>
  <si>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</si>
  <si>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</si>
  <si>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</si>
  <si>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</si>
  <si>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</si>
  <si>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</si>
  <si>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</si>
  <si>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</si>
  <si>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</si>
  <si>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</si>
  <si>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</si>
  <si>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</si>
  <si>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</si>
  <si>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</si>
  <si>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</si>
  <si>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</si>
  <si>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</si>
  <si>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</si>
  <si>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</si>
  <si>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</si>
  <si>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</si>
  <si>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</si>
  <si>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</si>
  <si>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</si>
  <si>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</si>
  <si>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</si>
  <si>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</si>
  <si>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</si>
  <si>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</si>
  <si>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</si>
  <si>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</si>
  <si>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</si>
  <si>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</si>
  <si>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</si>
  <si>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</si>
  <si>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</si>
  <si>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</si>
  <si>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</si>
  <si>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</si>
  <si>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</si>
  <si>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</si>
  <si>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</si>
  <si>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</si>
  <si>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</si>
  <si>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</si>
  <si>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</si>
  <si>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</si>
  <si>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</si>
  <si>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</si>
  <si>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</si>
  <si>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</si>
  <si>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</si>
  <si>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</si>
  <si>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</si>
  <si>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</si>
  <si>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</si>
  <si>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</si>
  <si>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</si>
  <si>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</si>
  <si>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</si>
  <si>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</si>
  <si>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</si>
  <si>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</si>
  <si>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</si>
  <si>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</si>
  <si>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</si>
  <si>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</si>
  <si>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</si>
  <si>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</si>
  <si>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</si>
  <si>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</si>
  <si>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</si>
  <si>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</si>
  <si>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</si>
  <si>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</si>
  <si>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</si>
  <si>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</si>
  <si>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</si>
  <si>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</si>
  <si>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</si>
  <si>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</si>
  <si>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</si>
  <si>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</si>
  <si>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</si>
  <si>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</si>
  <si>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</si>
  <si>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</si>
  <si>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</si>
  <si>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</si>
  <si>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</si>
  <si>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</si>
  <si>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</si>
  <si>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</si>
  <si>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</si>
  <si>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</si>
  <si>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</si>
  <si>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</si>
  <si>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</si>
  <si>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</si>
  <si>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</si>
  <si>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</si>
  <si>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</si>
  <si>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</si>
  <si>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</si>
  <si>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</si>
  <si>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</si>
  <si>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</si>
  <si>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</si>
  <si>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</si>
  <si>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</si>
  <si>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</si>
  <si>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</si>
  <si>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</si>
  <si>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</si>
  <si>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</si>
  <si>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</si>
  <si>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</si>
  <si>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</si>
  <si>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</si>
  <si>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</si>
  <si>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</si>
  <si>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</si>
  <si>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</si>
  <si>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</si>
  <si>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</si>
  <si>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</si>
  <si>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</si>
  <si>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</si>
  <si>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</si>
  <si>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</si>
  <si>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</si>
  <si>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</si>
  <si>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</si>
  <si>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</si>
  <si>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</si>
  <si>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</si>
  <si>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</si>
  <si>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</si>
  <si>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</si>
  <si>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</si>
  <si>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</si>
  <si>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</si>
  <si>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</si>
  <si>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</si>
  <si>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</si>
  <si>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</si>
  <si>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</si>
  <si>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</si>
  <si>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</si>
  <si>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</si>
  <si>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</si>
  <si>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</si>
  <si>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</si>
  <si>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</si>
  <si>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</si>
  <si>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</si>
  <si>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</si>
  <si>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</si>
  <si>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</si>
  <si>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</si>
  <si>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</si>
  <si>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</si>
  <si>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</si>
  <si>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</si>
  <si>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</si>
  <si>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</si>
  <si>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</si>
  <si>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</si>
  <si>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</si>
  <si>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</si>
  <si>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</si>
  <si>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</si>
  <si>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</si>
  <si>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</si>
  <si>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</si>
  <si>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</si>
  <si>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</si>
  <si>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</si>
  <si>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</si>
  <si>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</si>
  <si>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</si>
  <si>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</si>
  <si>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</si>
  <si>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</si>
  <si>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</si>
  <si>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</si>
  <si>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</si>
  <si>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</si>
  <si>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</si>
  <si>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</si>
  <si>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</si>
  <si>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</si>
  <si>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</si>
  <si>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</si>
  <si>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</si>
  <si>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</si>
  <si>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</si>
  <si>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</si>
  <si>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</si>
  <si>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</si>
  <si>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</si>
  <si>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</si>
  <si>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</si>
  <si>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</si>
  <si>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</si>
  <si>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</si>
  <si>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</si>
  <si>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</si>
  <si>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</si>
  <si>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</si>
  <si>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</si>
  <si>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</si>
  <si>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</si>
  <si>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</si>
  <si>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</si>
  <si>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</si>
  <si>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</si>
  <si>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</si>
  <si>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</si>
  <si>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</si>
  <si>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</si>
  <si>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</si>
  <si>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</si>
  <si>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</si>
  <si>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</si>
  <si>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</si>
  <si>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</si>
  <si>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</si>
  <si>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</si>
  <si>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</si>
  <si>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</si>
  <si>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</si>
  <si>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</si>
  <si>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</si>
  <si>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</si>
  <si>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</si>
  <si>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</si>
  <si>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</si>
  <si>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</si>
  <si>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</si>
  <si>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</si>
  <si>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</si>
  <si>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</si>
  <si>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</si>
  <si>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</si>
  <si>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</si>
  <si>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</si>
  <si>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</si>
  <si>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</si>
  <si>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</si>
  <si>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</si>
  <si>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</si>
  <si>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</si>
  <si>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</si>
  <si>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</si>
  <si>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</si>
  <si>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</si>
  <si>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</si>
  <si>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</si>
  <si>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</si>
  <si>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</si>
  <si>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</si>
  <si>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</si>
  <si>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</si>
  <si>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</si>
  <si>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</si>
  <si>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</si>
  <si>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</si>
  <si>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</si>
  <si>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</si>
  <si>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</si>
  <si>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</si>
  <si>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</si>
  <si>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</si>
  <si>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</si>
  <si>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</si>
  <si>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</si>
  <si>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</si>
  <si>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</si>
  <si>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</si>
  <si>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</si>
  <si>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</si>
  <si>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</si>
  <si>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</si>
  <si>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</si>
  <si>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</si>
  <si>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</si>
  <si>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</si>
  <si>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</si>
  <si>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</si>
  <si>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</si>
  <si>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</si>
  <si>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</si>
  <si>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</si>
  <si>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</si>
  <si>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</si>
  <si>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</si>
  <si>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</si>
  <si>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</si>
  <si>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</si>
  <si>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</si>
  <si>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</si>
  <si>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</si>
  <si>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</si>
  <si>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</si>
  <si>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</si>
  <si>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</si>
  <si>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</si>
  <si>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</si>
  <si>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</si>
  <si>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</si>
  <si>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</si>
  <si>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</si>
  <si>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</si>
  <si>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</si>
  <si>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</si>
  <si>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</si>
  <si>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</si>
  <si>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</si>
  <si>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</si>
  <si>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</si>
  <si>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</si>
  <si>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</si>
  <si>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</si>
  <si>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</si>
  <si>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</si>
  <si>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</si>
  <si>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</si>
  <si>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</si>
  <si>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</si>
  <si>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</si>
  <si>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</si>
  <si>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</si>
  <si>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</si>
  <si>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</si>
  <si>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</si>
  <si>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</si>
  <si>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</si>
  <si>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</si>
  <si>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</si>
  <si>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</si>
  <si>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</si>
  <si>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</si>
  <si>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</si>
  <si>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</si>
  <si>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</si>
  <si>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</si>
  <si>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</si>
  <si>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</si>
  <si>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</si>
  <si>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</si>
  <si>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</si>
  <si>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</si>
  <si>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</si>
  <si>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</si>
  <si>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</si>
  <si>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</si>
  <si>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</si>
  <si>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</si>
  <si>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</si>
  <si>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</si>
  <si>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</si>
  <si>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</si>
  <si>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</si>
  <si>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</si>
  <si>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</si>
  <si>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</si>
  <si>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</si>
  <si>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</si>
  <si>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</si>
  <si>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</si>
  <si>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</si>
  <si>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</si>
  <si>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</si>
  <si>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</si>
  <si>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</si>
  <si>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</si>
  <si>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</si>
  <si>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</si>
  <si>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</si>
  <si>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</si>
  <si>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</si>
  <si>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</si>
  <si>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</si>
  <si>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</si>
  <si>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</si>
  <si>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</si>
  <si>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</si>
  <si>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</si>
  <si>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</si>
  <si>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</si>
  <si>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</si>
  <si>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</si>
  <si>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</si>
  <si>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</si>
  <si>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</si>
  <si>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</si>
  <si>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</si>
  <si>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</si>
  <si>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</si>
  <si>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</si>
  <si>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</si>
  <si>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</si>
  <si>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</si>
  <si>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</si>
  <si>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</si>
  <si>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</si>
  <si>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</si>
  <si>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</si>
  <si>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</si>
  <si>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</si>
  <si>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</si>
  <si>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</si>
  <si>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</si>
  <si>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</si>
  <si>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</si>
  <si>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</si>
  <si>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</si>
  <si>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</si>
  <si>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</si>
  <si>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</si>
  <si>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</si>
  <si>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</si>
  <si>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</si>
  <si>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</si>
  <si>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</si>
  <si>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</si>
  <si>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</si>
  <si>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</si>
  <si>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</si>
  <si>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</si>
  <si>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</si>
  <si>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</si>
  <si>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</si>
  <si>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</si>
  <si>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</si>
  <si>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</si>
  <si>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</si>
  <si>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</si>
  <si>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</si>
  <si>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</si>
  <si>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</si>
  <si>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</si>
  <si>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</si>
  <si>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</si>
  <si>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</si>
  <si>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</si>
  <si>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</si>
  <si>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</si>
  <si>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</si>
  <si>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</si>
  <si>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</si>
  <si>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</si>
  <si>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</si>
  <si>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</si>
  <si>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</si>
  <si>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</si>
  <si>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</si>
  <si>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</si>
  <si>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</si>
  <si>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</si>
  <si>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</si>
  <si>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</si>
  <si>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</si>
  <si>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</si>
  <si>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</si>
  <si>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</si>
  <si>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</si>
  <si>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</si>
  <si>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</si>
  <si>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</si>
  <si>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</si>
  <si>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</si>
  <si>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</si>
  <si>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</si>
  <si>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</si>
  <si>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</si>
  <si>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</si>
  <si>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</si>
  <si>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</si>
  <si>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</si>
  <si>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</si>
  <si>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</si>
  <si>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</si>
  <si>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</si>
  <si>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</si>
  <si>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</si>
  <si>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</si>
  <si>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</si>
  <si>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</si>
  <si>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</si>
  <si>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</si>
  <si>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</si>
  <si>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</si>
  <si>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</si>
  <si>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</si>
  <si>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</si>
  <si>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</si>
  <si>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</si>
  <si>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</si>
  <si>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</si>
  <si>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</si>
  <si>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</si>
  <si>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</si>
  <si>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</si>
  <si>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</si>
  <si>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</si>
  <si>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</si>
  <si>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</si>
  <si>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</si>
  <si>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</si>
  <si>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</si>
  <si>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</si>
  <si>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</si>
  <si>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</si>
  <si>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</si>
  <si>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</si>
  <si>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</si>
  <si>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</si>
  <si>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</si>
  <si>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</si>
  <si>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</si>
  <si>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</si>
  <si>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</si>
  <si>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</si>
  <si>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</si>
  <si>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</si>
  <si>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</si>
  <si>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</si>
  <si>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</si>
  <si>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</si>
  <si>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</si>
  <si>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</si>
  <si>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</si>
  <si>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</si>
  <si>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</si>
  <si>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</si>
  <si>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</si>
  <si>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</si>
  <si>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</si>
  <si>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</si>
  <si>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</si>
  <si>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</si>
  <si>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</si>
  <si>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</si>
  <si>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</si>
  <si>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</si>
  <si>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</si>
  <si>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</si>
  <si>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</si>
  <si>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</si>
  <si>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</si>
  <si>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</si>
  <si>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</si>
  <si>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</si>
  <si>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</si>
  <si>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</si>
  <si>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</si>
  <si>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</si>
  <si>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</si>
  <si>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</si>
  <si>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</si>
  <si>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</si>
  <si>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</si>
  <si>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</si>
  <si>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</si>
  <si>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</si>
  <si>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</si>
  <si>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</si>
  <si>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</si>
  <si>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</si>
  <si>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</si>
  <si>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</si>
  <si>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</si>
  <si>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</si>
  <si>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</si>
  <si>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</si>
  <si>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</si>
  <si>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</si>
  <si>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</si>
  <si>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</si>
  <si>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</si>
  <si>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</si>
  <si>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</si>
  <si>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</si>
  <si>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</si>
  <si>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</si>
  <si>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</si>
  <si>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</si>
  <si>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</si>
  <si>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</si>
  <si>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</si>
  <si>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</si>
  <si>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</si>
  <si>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</si>
  <si>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</si>
  <si>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</si>
  <si>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</si>
  <si>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</si>
  <si>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</si>
  <si>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</si>
  <si>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</si>
  <si>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</si>
  <si>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</si>
  <si>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</si>
  <si>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</si>
  <si>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</si>
  <si>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</si>
  <si>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</si>
  <si>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</si>
  <si>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</si>
  <si>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</si>
  <si>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</si>
  <si>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</si>
  <si>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</si>
  <si>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</si>
  <si>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</si>
  <si>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</si>
  <si>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</si>
  <si>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</si>
  <si>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</si>
  <si>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</si>
  <si>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</si>
  <si>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</si>
  <si>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</si>
  <si>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</si>
  <si>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</si>
  <si>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</si>
  <si>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</si>
  <si>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</si>
  <si>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</si>
  <si>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</si>
  <si>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</si>
  <si>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</si>
  <si>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</si>
  <si>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</si>
  <si>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</si>
  <si>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</si>
  <si>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</si>
  <si>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</si>
  <si>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</si>
  <si>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</si>
  <si>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</si>
  <si>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</si>
  <si>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</si>
  <si>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</si>
  <si>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</si>
  <si>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</si>
  <si>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</si>
  <si>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</si>
  <si>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</si>
  <si>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</si>
  <si>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</si>
  <si>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</si>
  <si>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</si>
  <si>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</si>
  <si>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</si>
  <si>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</si>
  <si>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</si>
  <si>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</si>
  <si>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</si>
  <si>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</si>
  <si>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</si>
  <si>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</si>
  <si>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</si>
  <si>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</si>
  <si>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</si>
  <si>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</si>
  <si>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</si>
  <si>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</si>
  <si>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</si>
  <si>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</si>
  <si>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</si>
  <si>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</si>
  <si>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</si>
  <si>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</si>
  <si>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</si>
  <si>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</si>
  <si>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</si>
  <si>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</si>
  <si>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</si>
  <si>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</si>
  <si>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</si>
  <si>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</si>
  <si>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</si>
  <si>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</si>
  <si>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</si>
  <si>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</si>
  <si>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</si>
  <si>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</si>
  <si>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</si>
  <si>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</si>
  <si>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</si>
  <si>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</si>
  <si>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</si>
  <si>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</si>
  <si>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</si>
  <si>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</si>
  <si>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</si>
  <si>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</si>
  <si>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</si>
  <si>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</si>
  <si>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</si>
  <si>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</si>
  <si>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</si>
  <si>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</si>
  <si>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</si>
  <si>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</si>
  <si>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</si>
  <si>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</si>
  <si>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</si>
  <si>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</si>
  <si>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</si>
  <si>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</si>
  <si>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</si>
  <si>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</si>
  <si>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</si>
  <si>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</si>
  <si>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</si>
  <si>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</si>
  <si>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</si>
  <si>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</si>
  <si>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</si>
  <si>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</si>
  <si>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</si>
  <si>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</si>
  <si>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</si>
  <si>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</si>
  <si>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</si>
  <si>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</si>
  <si>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</si>
  <si>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</si>
  <si>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</si>
  <si>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</si>
  <si>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</si>
  <si>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</si>
  <si>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</si>
  <si>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</si>
  <si>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</si>
  <si>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</si>
  <si>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</si>
  <si>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</si>
  <si>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</si>
  <si>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</si>
  <si>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</si>
  <si>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</si>
  <si>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</si>
  <si>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</si>
  <si>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</si>
  <si>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</si>
  <si>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</si>
  <si>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</si>
  <si>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</si>
  <si>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</si>
  <si>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</si>
  <si>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</si>
  <si>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</si>
  <si>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</si>
  <si>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</si>
  <si>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</si>
  <si>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</si>
  <si>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</si>
  <si>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</si>
  <si>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</si>
  <si>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</si>
  <si>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</si>
  <si>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</si>
  <si>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</si>
  <si>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</si>
  <si>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</si>
  <si>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</si>
  <si>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</si>
  <si>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</si>
  <si>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</si>
  <si>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</si>
  <si>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</si>
  <si>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</si>
  <si>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</si>
  <si>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</si>
  <si>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</si>
  <si>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</si>
  <si>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</si>
  <si>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</si>
  <si>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</si>
  <si>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</si>
  <si>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</si>
  <si>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</si>
  <si>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</si>
  <si>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</si>
  <si>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</si>
  <si>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</si>
  <si>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</si>
  <si>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</si>
  <si>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</si>
  <si>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</si>
  <si>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</si>
  <si>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</si>
  <si>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</si>
  <si>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</si>
  <si>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</si>
  <si>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</si>
  <si>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</si>
  <si>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</si>
  <si>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</si>
  <si>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</si>
  <si>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</si>
  <si>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</si>
  <si>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</si>
  <si>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</si>
  <si>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</si>
  <si>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</si>
  <si>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</si>
  <si>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</si>
  <si>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</si>
  <si>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</si>
  <si>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</si>
  <si>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</si>
  <si>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</si>
  <si>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</si>
  <si>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</si>
  <si>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</si>
  <si>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</si>
  <si>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</si>
  <si>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</si>
  <si>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</si>
  <si>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</si>
  <si>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</si>
  <si>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</si>
  <si>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</si>
  <si>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</si>
  <si>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</si>
  <si>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</si>
  <si>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</si>
  <si>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</si>
  <si>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</si>
  <si>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</si>
  <si>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</si>
  <si>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</si>
  <si>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</si>
  <si>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</si>
  <si>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</si>
  <si>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</si>
  <si>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</si>
  <si>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</si>
  <si>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</si>
  <si>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</si>
  <si>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</si>
  <si>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</si>
  <si>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</si>
  <si>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</si>
  <si>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</si>
  <si>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</si>
  <si>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</si>
  <si>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</si>
  <si>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</si>
  <si>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</si>
  <si>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</si>
  <si>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</si>
  <si>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</si>
  <si>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</si>
  <si>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</si>
  <si>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</si>
  <si>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</si>
  <si>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</si>
  <si>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</si>
  <si>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</si>
  <si>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</si>
  <si>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</si>
  <si>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</si>
  <si>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</si>
  <si>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</si>
  <si>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</si>
  <si>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</si>
  <si>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</si>
  <si>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</si>
  <si>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</si>
  <si>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</si>
  <si>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</si>
  <si>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</si>
  <si>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</si>
  <si>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</si>
  <si>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</si>
  <si>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</si>
  <si>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</si>
  <si>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</si>
  <si>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</si>
  <si>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</si>
  <si>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</si>
  <si>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</si>
  <si>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</si>
  <si>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</si>
  <si>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</si>
  <si>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</si>
  <si>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</si>
  <si>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</si>
  <si>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</si>
  <si>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</si>
  <si>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</si>
  <si>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</si>
  <si>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</si>
  <si>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</si>
  <si>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</si>
  <si>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</si>
  <si>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</si>
  <si>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</si>
  <si>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</si>
  <si>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</si>
  <si>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</si>
  <si>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</si>
  <si>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</si>
  <si>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</si>
  <si>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</si>
  <si>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</si>
  <si>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</si>
  <si>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</si>
  <si>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</si>
  <si>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</si>
  <si>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</si>
  <si>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</si>
  <si>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</si>
  <si>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</si>
  <si>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</si>
  <si>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</si>
  <si>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</si>
  <si>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</si>
  <si>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</si>
  <si>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</si>
  <si>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</si>
  <si>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</si>
  <si>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</si>
  <si>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</si>
  <si>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</si>
  <si>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</si>
  <si>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</si>
  <si>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</si>
  <si>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</si>
  <si>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</si>
  <si>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</si>
  <si>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</si>
  <si>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</si>
  <si>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</si>
  <si>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</si>
  <si>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</si>
  <si>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</si>
  <si>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</si>
  <si>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</si>
  <si>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</si>
  <si>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</si>
  <si>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</si>
  <si>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</si>
  <si>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</si>
  <si>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</si>
  <si>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</si>
  <si>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</si>
  <si>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</si>
  <si>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</si>
  <si>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</si>
  <si>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</si>
  <si>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</si>
  <si>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</si>
  <si>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</si>
  <si>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</si>
  <si>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</si>
  <si>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</si>
  <si>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</si>
  <si>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</si>
  <si>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</si>
  <si>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</si>
  <si>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</si>
  <si>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</si>
  <si>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</si>
  <si>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</si>
  <si>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</si>
  <si>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</si>
  <si>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</si>
  <si>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</si>
  <si>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</si>
  <si>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</si>
  <si>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</si>
  <si>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</si>
  <si>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</si>
  <si>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</si>
  <si>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</si>
  <si>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</si>
  <si>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</si>
  <si>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</si>
  <si>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</si>
  <si>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</si>
  <si>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</si>
  <si>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</si>
  <si>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</si>
  <si>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</si>
  <si>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</si>
  <si>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</si>
  <si>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</si>
  <si>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</si>
  <si>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</si>
  <si>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</si>
  <si>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</si>
  <si>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</si>
  <si>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</si>
  <si>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</si>
  <si>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</si>
  <si>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</si>
  <si>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</si>
  <si>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</si>
  <si>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</si>
  <si>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</si>
  <si>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</si>
  <si>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</si>
  <si>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</si>
  <si>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</si>
  <si>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</si>
  <si>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</si>
  <si>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</si>
  <si>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</si>
  <si>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</si>
  <si>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</si>
  <si>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</si>
  <si>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</si>
  <si>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</si>
  <si>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</si>
  <si>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</si>
  <si>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</si>
  <si>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</si>
  <si>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</si>
  <si>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</si>
  <si>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</si>
  <si>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</si>
  <si>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</si>
  <si>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</si>
  <si>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</si>
  <si>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</si>
  <si>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</si>
  <si>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</si>
  <si>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</si>
  <si>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</si>
  <si>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</si>
  <si>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</si>
  <si>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</si>
  <si>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</si>
  <si>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</si>
  <si>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</si>
  <si>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</si>
  <si>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</si>
  <si>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</si>
  <si>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</si>
  <si>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</si>
  <si>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</si>
  <si>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</si>
  <si>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</si>
  <si>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</si>
  <si>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</si>
  <si>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</si>
  <si>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</si>
  <si>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</si>
  <si>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</si>
  <si>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</si>
  <si>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</si>
  <si>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</si>
  <si>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</si>
  <si>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</si>
  <si>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</si>
  <si>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</si>
  <si>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</si>
  <si>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</si>
  <si>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</si>
  <si>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</si>
  <si>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</si>
  <si>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</si>
  <si>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</si>
  <si>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</si>
  <si>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</si>
  <si>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</si>
  <si>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</si>
  <si>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</si>
  <si>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</si>
  <si>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</si>
  <si>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</si>
  <si>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</si>
  <si>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</si>
  <si>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</si>
  <si>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</si>
  <si>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</si>
  <si>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</si>
  <si>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</si>
  <si>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</si>
  <si>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</si>
  <si>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</si>
  <si>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</si>
  <si>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</si>
  <si>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</si>
  <si>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</si>
  <si>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</si>
  <si>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</si>
  <si>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</si>
  <si>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</si>
  <si>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</si>
  <si>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</si>
  <si>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</si>
  <si>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</si>
  <si>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</si>
  <si>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</si>
  <si>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</si>
  <si>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</si>
  <si>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</si>
  <si>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</si>
  <si>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</si>
  <si>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</si>
  <si>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</si>
  <si>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</si>
  <si>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</si>
  <si>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</si>
  <si>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</si>
  <si>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</si>
  <si>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</si>
  <si>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</si>
  <si>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</si>
  <si>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</si>
  <si>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</si>
  <si>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</si>
  <si>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</si>
  <si>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</si>
  <si>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</si>
  <si>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</si>
  <si>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</si>
  <si>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</si>
  <si>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</si>
  <si>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</si>
  <si>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</si>
  <si>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</si>
  <si>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</si>
  <si>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</si>
  <si>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</si>
  <si>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</si>
  <si>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</si>
  <si>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</si>
  <si>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</si>
  <si>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</si>
  <si>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</si>
  <si>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</si>
  <si>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</si>
  <si>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</si>
  <si>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</si>
  <si>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</si>
  <si>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</si>
  <si>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</si>
  <si>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</si>
  <si>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</si>
  <si>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</si>
  <si>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</si>
  <si>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</si>
  <si>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</si>
  <si>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</si>
  <si>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</si>
  <si>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</si>
  <si>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</si>
  <si>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</si>
  <si>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</si>
  <si>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</si>
  <si>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</si>
  <si>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</si>
  <si>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</si>
  <si>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</si>
  <si>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</si>
  <si>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</si>
  <si>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</si>
  <si>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</si>
  <si>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</si>
  <si>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</si>
  <si>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</si>
  <si>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</si>
  <si>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</si>
  <si>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</si>
  <si>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</si>
  <si>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</si>
  <si>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</si>
  <si>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</si>
  <si>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</si>
  <si>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</si>
  <si>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</si>
  <si>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</si>
  <si>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</si>
  <si>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</si>
  <si>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</si>
  <si>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</si>
  <si>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</si>
  <si>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</si>
  <si>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</si>
  <si>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</si>
  <si>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</si>
  <si>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</si>
  <si>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</si>
  <si>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</si>
  <si>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</si>
  <si>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</si>
  <si>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</si>
  <si>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</si>
  <si>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</si>
  <si>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</si>
  <si>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</si>
  <si>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</si>
  <si>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</si>
  <si>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</si>
  <si>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</si>
  <si>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</si>
  <si>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</si>
  <si>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</si>
  <si>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</si>
  <si>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</si>
  <si>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</si>
  <si>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</si>
  <si>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</si>
  <si>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</si>
  <si>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</si>
  <si>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</si>
  <si>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</si>
  <si>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</si>
  <si>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</si>
  <si>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</si>
  <si>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</si>
  <si>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</si>
  <si>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</si>
  <si>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</si>
  <si>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</si>
  <si>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</si>
  <si>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</si>
  <si>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</si>
  <si>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</si>
  <si>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</si>
  <si>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</si>
  <si>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</si>
  <si>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</si>
  <si>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</si>
  <si>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</si>
  <si>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</si>
  <si>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</si>
  <si>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</si>
  <si>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</si>
  <si>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</si>
  <si>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</si>
  <si>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</si>
  <si>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</si>
  <si>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</si>
  <si>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</si>
  <si>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</si>
  <si>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</si>
  <si>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</si>
  <si>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</si>
  <si>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</si>
  <si>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</si>
  <si>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</si>
  <si>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</si>
  <si>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</si>
  <si>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</si>
  <si>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</si>
  <si>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</si>
  <si>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</si>
  <si>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</si>
  <si>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</si>
  <si>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</si>
  <si>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</si>
  <si>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</si>
  <si>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</si>
  <si>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</si>
  <si>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</si>
  <si>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</si>
  <si>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</si>
  <si>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</si>
  <si>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</si>
  <si>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</si>
  <si>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</si>
  <si>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</si>
  <si>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</si>
  <si>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</si>
  <si>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</si>
  <si>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</si>
  <si>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</si>
  <si>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</si>
  <si>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</si>
  <si>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</si>
  <si>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</si>
  <si>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</si>
  <si>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</si>
  <si>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</si>
  <si>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</si>
  <si>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</si>
  <si>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</si>
  <si>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</si>
  <si>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</si>
  <si>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</si>
  <si>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</si>
  <si>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</si>
  <si>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</si>
  <si>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</si>
  <si>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</si>
  <si>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</si>
  <si>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</si>
  <si>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</si>
  <si>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</si>
  <si>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</si>
  <si>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</si>
  <si>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</si>
  <si>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</si>
  <si>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</si>
  <si>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</si>
  <si>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</si>
  <si>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</si>
  <si>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</si>
  <si>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</si>
  <si>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</si>
  <si>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</si>
  <si>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</si>
  <si>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</si>
  <si>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</si>
  <si>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</si>
  <si>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</si>
  <si>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</si>
  <si>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</si>
  <si>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</si>
  <si>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</si>
  <si>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</si>
  <si>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</si>
  <si>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</si>
  <si>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</si>
  <si>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</si>
  <si>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</si>
  <si>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</si>
  <si>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</si>
  <si>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</si>
  <si>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</si>
  <si>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</si>
  <si>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</si>
  <si>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</si>
  <si>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</si>
  <si>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</si>
  <si>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</si>
  <si>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</si>
  <si>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</si>
  <si>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</si>
  <si>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</si>
  <si>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</si>
  <si>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</si>
  <si>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</si>
  <si>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</si>
  <si>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</si>
  <si>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</si>
  <si>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</si>
  <si>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</si>
  <si>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</si>
  <si>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</si>
  <si>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</si>
  <si>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</si>
  <si>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</si>
  <si>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</si>
  <si>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</si>
  <si>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</si>
  <si>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</si>
  <si>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</si>
  <si>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</si>
  <si>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</si>
  <si>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</si>
  <si>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</si>
  <si>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</si>
  <si>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</si>
  <si>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</si>
  <si>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</si>
  <si>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</si>
  <si>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</si>
  <si>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</si>
  <si>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</si>
  <si>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</si>
  <si>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</si>
  <si>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</si>
  <si>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</si>
  <si>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</si>
  <si>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</si>
  <si>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</si>
  <si>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</si>
  <si>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</si>
  <si>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</si>
  <si>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</si>
  <si>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</si>
  <si>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</si>
  <si>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</si>
  <si>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</si>
  <si>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</si>
  <si>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</si>
  <si>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</si>
  <si>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</si>
  <si>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</si>
  <si>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</si>
  <si>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</si>
  <si>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</si>
  <si>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</si>
  <si>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</si>
  <si>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</si>
  <si>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</si>
  <si>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</si>
  <si>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</si>
  <si>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</si>
  <si>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</si>
  <si>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</si>
  <si>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</si>
  <si>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</si>
  <si>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</si>
  <si>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</si>
  <si>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</si>
  <si>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</si>
  <si>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</si>
  <si>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</si>
  <si>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</si>
  <si>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</si>
  <si>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</si>
  <si>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</si>
  <si>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</si>
  <si>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</si>
  <si>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</si>
  <si>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</si>
  <si>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</si>
  <si>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</si>
  <si>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</si>
  <si>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</si>
  <si>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</si>
  <si>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</si>
  <si>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</si>
  <si>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</si>
  <si>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</si>
  <si>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</si>
  <si>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</si>
  <si>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</si>
  <si>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</si>
  <si>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</si>
  <si>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</si>
  <si>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</si>
  <si>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</si>
  <si>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</si>
  <si>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</si>
  <si>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</si>
  <si>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</si>
  <si>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</si>
  <si>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</si>
  <si>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</si>
  <si>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</si>
  <si>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</si>
  <si>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</si>
  <si>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</si>
  <si>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</si>
  <si>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</si>
  <si>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</si>
  <si>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</si>
  <si>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</si>
  <si>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</si>
  <si>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</si>
  <si>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</si>
  <si>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</si>
  <si>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</si>
  <si>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</si>
  <si>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</si>
  <si>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</si>
  <si>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</si>
  <si>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</si>
  <si>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</si>
  <si>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</si>
  <si>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</si>
  <si>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</si>
  <si>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</si>
  <si>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</si>
  <si>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</si>
  <si>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</si>
  <si>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</si>
  <si>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</si>
  <si>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</si>
  <si>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</si>
  <si>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</si>
  <si>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</si>
  <si>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</si>
  <si>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</si>
  <si>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</si>
  <si>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</si>
  <si>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</si>
  <si>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</si>
  <si>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</si>
  <si>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</si>
  <si>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</si>
  <si>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</si>
  <si>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</si>
  <si>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</si>
  <si>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</si>
  <si>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</si>
  <si>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</si>
  <si>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</si>
  <si>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</si>
  <si>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</si>
  <si>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</si>
  <si>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</si>
  <si>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</si>
  <si>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</si>
  <si>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</si>
  <si>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</si>
  <si>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</si>
  <si>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</si>
  <si>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</si>
  <si>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</si>
  <si>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</si>
  <si>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</si>
  <si>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</si>
  <si>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</si>
  <si>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</si>
  <si>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</si>
  <si>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</si>
  <si>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</si>
  <si>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</si>
  <si>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</si>
  <si>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</si>
  <si>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</si>
  <si>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</si>
  <si>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</si>
  <si>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</si>
  <si>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</si>
  <si>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</si>
  <si>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</si>
  <si>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</si>
  <si>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</si>
  <si>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</si>
  <si>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</si>
  <si>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</si>
  <si>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</si>
  <si>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</si>
  <si>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</si>
  <si>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</si>
  <si>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</si>
  <si>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</si>
  <si>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</si>
  <si>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</si>
  <si>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</si>
  <si>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</si>
  <si>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</si>
  <si>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</si>
  <si>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</si>
  <si>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</si>
  <si>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</si>
  <si>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</si>
  <si>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</si>
  <si>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</si>
  <si>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</si>
  <si>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</si>
  <si>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</si>
  <si>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</si>
  <si>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</si>
  <si>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</si>
  <si>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</si>
  <si>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</si>
  <si>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</si>
  <si>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</si>
  <si>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</si>
  <si>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</si>
  <si>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</si>
  <si>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</si>
  <si>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</si>
  <si>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</si>
  <si>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</si>
  <si>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</si>
  <si>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</si>
  <si>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</si>
  <si>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</si>
  <si>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</si>
  <si>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</si>
  <si>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</si>
  <si>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</si>
  <si>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</si>
  <si>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</si>
  <si>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</si>
  <si>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</si>
  <si>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</si>
  <si>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</si>
  <si>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</si>
  <si>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</si>
  <si>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</si>
  <si>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</si>
  <si>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</si>
  <si>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</si>
  <si>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</si>
  <si>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</si>
  <si>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</si>
  <si>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</si>
  <si>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</si>
  <si>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</si>
  <si>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</si>
  <si>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</si>
  <si>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</si>
  <si>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</si>
  <si>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</si>
  <si>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</si>
  <si>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</si>
  <si>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</si>
  <si>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</si>
  <si>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</si>
  <si>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</si>
  <si>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</si>
  <si>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</si>
  <si>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</si>
  <si>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</si>
  <si>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</si>
  <si>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</si>
  <si>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</si>
  <si>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</si>
  <si>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</si>
  <si>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</si>
  <si>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</si>
  <si>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</si>
  <si>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</si>
  <si>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</si>
  <si>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</si>
  <si>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</si>
  <si>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</si>
  <si>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</si>
  <si>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</si>
  <si>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</si>
  <si>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</si>
  <si>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</si>
  <si>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</si>
  <si>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</si>
  <si>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</si>
  <si>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</si>
  <si>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</si>
  <si>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</si>
  <si>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</si>
  <si>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</si>
  <si>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</si>
  <si>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</si>
  <si>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</si>
  <si>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</si>
  <si>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</si>
  <si>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</si>
  <si>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</si>
  <si>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</si>
  <si>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</si>
  <si>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</si>
  <si>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</si>
  <si>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</si>
  <si>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</si>
  <si>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</si>
  <si>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</si>
  <si>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</si>
  <si>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</si>
  <si>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</si>
  <si>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</si>
  <si>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</si>
  <si>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</si>
  <si>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</si>
  <si>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</si>
  <si>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陈颖</t>
  </si>
  <si>
    <t>叶凌</t>
  </si>
  <si>
    <t>核定资产</t>
  </si>
  <si>
    <t>房地产市场价值</t>
  </si>
  <si>
    <t>北京市</t>
  </si>
  <si>
    <t>企业</t>
  </si>
  <si>
    <t>出让</t>
  </si>
  <si>
    <t>现房</t>
  </si>
  <si>
    <t>成本法 (元)</t>
  </si>
  <si>
    <t>成新度</t>
  </si>
  <si>
    <t>未包含在土地购买价格中</t>
  </si>
  <si>
    <t>门头沟路47号</t>
    <phoneticPr fontId="3" type="noConversion"/>
  </si>
  <si>
    <t>R2二类居住用地</t>
  </si>
  <si>
    <t>R2二类居住用地</t>
    <phoneticPr fontId="31" type="noConversion"/>
  </si>
  <si>
    <t>正常</t>
  </si>
  <si>
    <t>70</t>
    <phoneticPr fontId="31" type="noConversion"/>
  </si>
  <si>
    <t>60-70（含）</t>
  </si>
  <si>
    <t>土地受让方</t>
    <phoneticPr fontId="31" type="noConversion"/>
  </si>
  <si>
    <t>Ⅷ-门1</t>
  </si>
  <si>
    <t>较好</t>
  </si>
  <si>
    <t>一般</t>
  </si>
  <si>
    <t>好</t>
  </si>
  <si>
    <t>城市快速路</t>
    <phoneticPr fontId="31" type="noConversion"/>
  </si>
  <si>
    <t>城市主干道</t>
    <phoneticPr fontId="31" type="noConversion"/>
  </si>
  <si>
    <t>城市次干道</t>
    <phoneticPr fontId="31" type="noConversion"/>
  </si>
  <si>
    <t>城市支路</t>
  </si>
  <si>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</si>
  <si>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</si>
  <si>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</si>
  <si>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</si>
  <si>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</si>
  <si>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</si>
  <si>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</si>
  <si>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</si>
  <si>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</si>
  <si>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</si>
  <si>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</si>
  <si>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</si>
  <si>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</si>
  <si>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</si>
  <si>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</si>
  <si>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</si>
  <si>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</si>
  <si>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</si>
  <si>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</si>
  <si>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</si>
  <si>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</si>
  <si>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</si>
  <si>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</si>
  <si>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</si>
  <si>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</si>
  <si>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</si>
  <si>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</si>
  <si>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</si>
  <si>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</si>
  <si>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</si>
  <si>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</si>
  <si>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</si>
  <si>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</si>
  <si>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</si>
  <si>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</si>
  <si>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</si>
  <si>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</si>
  <si>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</si>
  <si>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</si>
  <si>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</si>
  <si>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</si>
  <si>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</si>
  <si>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</si>
  <si>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</si>
  <si>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</si>
  <si>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</si>
  <si>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</si>
  <si>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</si>
  <si>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</si>
  <si>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</si>
  <si>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</si>
  <si>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</si>
  <si>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</si>
  <si>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</si>
  <si>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</si>
  <si>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</si>
  <si>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</si>
  <si>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</si>
  <si>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</si>
  <si>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</si>
  <si>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</si>
  <si>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</si>
  <si>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phoneticPr fontId="25" type="noConversion"/>
  </si>
  <si>
    <t>比较法-住宅</t>
  </si>
  <si>
    <t>项目局部</t>
  </si>
  <si>
    <t>——</t>
    <phoneticPr fontId="143" type="noConversion"/>
  </si>
  <si>
    <t>序号</t>
    <phoneticPr fontId="143" type="noConversion"/>
  </si>
  <si>
    <t>地块编号</t>
    <phoneticPr fontId="143" type="noConversion"/>
  </si>
  <si>
    <t>用地性质</t>
    <phoneticPr fontId="143" type="noConversion"/>
  </si>
  <si>
    <t>用地面积（公顷）</t>
    <phoneticPr fontId="143" type="noConversion"/>
  </si>
  <si>
    <t>建筑面积（万平方米）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</si>
  <si>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</si>
  <si>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</si>
  <si>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</si>
  <si>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</si>
  <si>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备注</t>
    <phoneticPr fontId="143" type="noConversion"/>
  </si>
  <si>
    <t>合计</t>
    <phoneticPr fontId="143" type="noConversion"/>
  </si>
  <si>
    <t>估价对象周边惠泽家园、龙门新区、滨河楼等小区、居住小区规模较大，入住率较高，综合评价居住社区成熟度较好</t>
    <phoneticPr fontId="41" type="noConversion"/>
  </si>
  <si>
    <r>
      <rPr>
        <sz val="11"/>
        <rFont val="宋体"/>
        <family val="3"/>
        <charset val="134"/>
      </rPr>
      <t>正常</t>
    </r>
  </si>
  <si>
    <t>门头沟新城05街区MC00-0005-6001等地块</t>
    <phoneticPr fontId="3" type="noConversion"/>
  </si>
  <si>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</si>
  <si>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</si>
  <si>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</si>
  <si>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</si>
  <si>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</si>
  <si>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</si>
  <si>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</si>
  <si>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</si>
  <si>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</si>
  <si>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</si>
  <si>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</si>
  <si>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</si>
  <si>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</si>
  <si>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</si>
  <si>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</si>
  <si>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</si>
  <si>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</si>
  <si>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</si>
  <si>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</si>
  <si>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</si>
  <si>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</si>
  <si>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</si>
  <si>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</si>
  <si>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</si>
  <si>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phoneticPr fontId="25" type="noConversion"/>
  </si>
  <si>
    <r>
      <rPr>
        <sz val="11"/>
        <rFont val="宋体"/>
        <family val="3"/>
        <charset val="134"/>
      </rPr>
      <t>≤</t>
    </r>
    <r>
      <rPr>
        <sz val="11"/>
        <rFont val="Arial"/>
        <family val="2"/>
      </rPr>
      <t>30%</t>
    </r>
    <phoneticPr fontId="25" type="noConversion"/>
  </si>
  <si>
    <t>序号</t>
    <phoneticPr fontId="255" type="noConversion"/>
  </si>
  <si>
    <t>宗地位置</t>
    <phoneticPr fontId="255" type="noConversion"/>
  </si>
  <si>
    <t>用途</t>
    <phoneticPr fontId="255" type="noConversion"/>
  </si>
  <si>
    <t>成交时间</t>
    <phoneticPr fontId="255" type="noConversion"/>
  </si>
  <si>
    <t>土地面积</t>
    <phoneticPr fontId="255" type="noConversion"/>
  </si>
  <si>
    <t>建筑面积</t>
    <phoneticPr fontId="255" type="noConversion"/>
  </si>
  <si>
    <t>容积率</t>
    <phoneticPr fontId="255" type="noConversion"/>
  </si>
  <si>
    <t>通平</t>
    <phoneticPr fontId="255" type="noConversion"/>
  </si>
  <si>
    <t>成交总价</t>
    <phoneticPr fontId="255" type="noConversion"/>
  </si>
  <si>
    <t>成交楼面单价</t>
    <phoneticPr fontId="255" type="noConversion"/>
  </si>
  <si>
    <t>溢价率</t>
    <phoneticPr fontId="255" type="noConversion"/>
  </si>
  <si>
    <t>受让单位</t>
    <phoneticPr fontId="255" type="noConversion"/>
  </si>
  <si>
    <t>公告编号</t>
    <phoneticPr fontId="255" type="noConversion"/>
  </si>
  <si>
    <t>配建</t>
    <phoneticPr fontId="255" type="noConversion"/>
  </si>
  <si>
    <t>共有产权销售均价</t>
    <phoneticPr fontId="255" type="noConversion"/>
  </si>
  <si>
    <t>备注</t>
    <phoneticPr fontId="255" type="noConversion"/>
  </si>
  <si>
    <t>R2二类居住用地</t>
    <phoneticPr fontId="255" type="noConversion"/>
  </si>
  <si>
    <t>五通一平</t>
    <phoneticPr fontId="255" type="noConversion"/>
  </si>
  <si>
    <t xml:space="preserve"> 中铁置业集团北京有限公司和北京建工地产有限责任公司联合体</t>
    <phoneticPr fontId="255" type="noConversion"/>
  </si>
  <si>
    <t>京土整储挂（海）[2017]078号</t>
    <phoneticPr fontId="255" type="noConversion"/>
  </si>
  <si>
    <t>城市次干道-西北旺镇北环路</t>
    <phoneticPr fontId="255" type="noConversion"/>
  </si>
  <si>
    <t>海淀区“海淀北部地区整体开发”永丰产业基地（新）HD00-0401-0146地块</t>
    <phoneticPr fontId="255" type="noConversion"/>
  </si>
  <si>
    <t>七通一平</t>
    <phoneticPr fontId="255" type="noConversion"/>
  </si>
  <si>
    <t>中铁置业集团北京有限公司</t>
    <phoneticPr fontId="255" type="noConversion"/>
  </si>
  <si>
    <t>京土整储挂(海）[2016]017号</t>
    <phoneticPr fontId="255" type="noConversion"/>
  </si>
  <si>
    <t>宗地配建36000平方米“公共租赁住房”，由海淀区政府指定机构回购，回购价格20000元/平方米。</t>
    <phoneticPr fontId="255" type="noConversion"/>
  </si>
  <si>
    <t>城市次干道-永丰西滨河路北延、大牛坊中街</t>
    <phoneticPr fontId="255" type="noConversion"/>
  </si>
  <si>
    <t>该宗地前期土地开发成本为177268万元，公共租赁住房未缴纳政府土地出让收益，剥离掉该宗地36000平方米公共租赁住房后的实际楼面成交单价为26324</t>
    <phoneticPr fontId="255" type="noConversion"/>
  </si>
  <si>
    <t>石景山区玉泉西一路x-18160地块</t>
    <phoneticPr fontId="255" type="noConversion"/>
  </si>
  <si>
    <t>R2二类居住用地</t>
    <phoneticPr fontId="255" type="noConversion"/>
  </si>
  <si>
    <t>五通一平</t>
    <phoneticPr fontId="255" type="noConversion"/>
  </si>
  <si>
    <t>中铁二十二局集团房地产开发有限公司和北京实兴腾飞置业发展公司联合体</t>
    <phoneticPr fontId="255" type="noConversion"/>
  </si>
  <si>
    <t>京土整储挂（石）[2017]021号</t>
    <phoneticPr fontId="255" type="noConversion"/>
  </si>
  <si>
    <t>回迁安置房（4796.57平方米）</t>
    <phoneticPr fontId="255" type="noConversion"/>
  </si>
  <si>
    <t>城市支路-玉泉西路</t>
    <phoneticPr fontId="255" type="noConversion"/>
  </si>
  <si>
    <r>
      <t>挂牌文件中要求回迁安置房在建筑设计、层高、建材、外部装修及各项设施接入均须与本项目其他住宅建筑保持一致，内部装修为毛坯，故本次评估回迁安置房建造成本按</t>
    </r>
    <r>
      <rPr>
        <sz val="11"/>
        <color rgb="FFFF0000"/>
        <rFont val="宋体"/>
        <family val="3"/>
        <charset val="134"/>
        <scheme val="minor"/>
      </rPr>
      <t>5000</t>
    </r>
    <r>
      <rPr>
        <sz val="11"/>
        <color theme="1"/>
        <rFont val="宋体"/>
        <family val="3"/>
        <charset val="134"/>
        <scheme val="minor"/>
      </rPr>
      <t>元/平方米测算，则实际楼面成交单价为29003</t>
    </r>
    <phoneticPr fontId="255" type="noConversion"/>
  </si>
  <si>
    <t>海淀区"海淀北部地区整体开发”西北旺镇亮甲店村HD00-0404-6005、6006地块R2二类居住用地</t>
    <phoneticPr fontId="255" type="noConversion"/>
  </si>
  <si>
    <t>海淀区西北旺镇亮甲店村</t>
    <phoneticPr fontId="3" type="noConversion"/>
  </si>
  <si>
    <t>海淀区永丰产业基地</t>
    <phoneticPr fontId="3" type="noConversion"/>
  </si>
  <si>
    <t>石景山区玉泉西一路</t>
    <phoneticPr fontId="3" type="noConversion"/>
  </si>
  <si>
    <t>五通一平</t>
  </si>
  <si>
    <t>城市次干道</t>
  </si>
  <si>
    <t>1820-617</t>
    <phoneticPr fontId="143" type="noConversion"/>
  </si>
  <si>
    <t>1820-618</t>
  </si>
  <si>
    <t>1820-619</t>
  </si>
  <si>
    <t>1820-620</t>
  </si>
  <si>
    <t>1820-621</t>
  </si>
  <si>
    <t>1820-622</t>
  </si>
  <si>
    <t>1820-623</t>
  </si>
  <si>
    <t>1820-624</t>
  </si>
  <si>
    <t>1820-625</t>
  </si>
  <si>
    <t>1820-626</t>
  </si>
  <si>
    <t>1820-627</t>
  </si>
  <si>
    <t>二类居住用地</t>
    <phoneticPr fontId="143" type="noConversion"/>
  </si>
  <si>
    <t>公园绿地</t>
    <phoneticPr fontId="143" type="noConversion"/>
  </si>
  <si>
    <t>小学用地</t>
    <phoneticPr fontId="143" type="noConversion"/>
  </si>
  <si>
    <t>公园供地</t>
    <phoneticPr fontId="143" type="noConversion"/>
  </si>
  <si>
    <t>托幼用地</t>
    <phoneticPr fontId="143" type="noConversion"/>
  </si>
  <si>
    <t>公园绿地</t>
    <phoneticPr fontId="143" type="noConversion"/>
  </si>
  <si>
    <t>社区综合服务设施用地</t>
    <phoneticPr fontId="143" type="noConversion"/>
  </si>
  <si>
    <t>公交场站设施用地</t>
    <phoneticPr fontId="143" type="noConversion"/>
  </si>
  <si>
    <t>邮政设施用地</t>
    <phoneticPr fontId="143" type="noConversion"/>
  </si>
  <si>
    <t>城市道路用地</t>
    <phoneticPr fontId="143" type="noConversion"/>
  </si>
  <si>
    <t>——</t>
    <phoneticPr fontId="143" type="noConversion"/>
  </si>
  <si>
    <t>估价对象临黑河沟及其绿化带；周边2公里范围内有门头沟博物馆等人文设施；综合评价环境状况较好。加油站？</t>
    <phoneticPr fontId="41" type="noConversion"/>
  </si>
  <si>
    <t>多面临街</t>
    <phoneticPr fontId="25" type="noConversion"/>
  </si>
  <si>
    <t>三通一平</t>
  </si>
  <si>
    <t>估价对象紧邻城市支路-门头沟路、附近有公交车站西辛房站，停靠线路有370、960、992、M25等，附近5公里范围内无轨道交通站点，综合评价交通便捷度较好。</t>
    <phoneticPr fontId="41" type="noConversion"/>
  </si>
  <si>
    <t>估价对象所在区域有东辛房小学、龙泉医院、京煤公司总医院门矿医院东辛房卫生服务站、邮政储蓄银行、农商银行等，公共配套设施状况较好</t>
    <phoneticPr fontId="41" type="noConversion"/>
  </si>
  <si>
    <t>估价对象所在区域基础设施水平为七通一平</t>
    <phoneticPr fontId="25" type="noConversion"/>
  </si>
  <si>
    <t>不规则</t>
  </si>
  <si>
    <t>紧邻城市次干道-建材城中路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</si>
</sst>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254" fillId="0" borderId="1" xfId="0" applyFont="1" applyBorder="1" applyAlignment="1">
      <alignment horizontal="center" vertical="center" wrapText="1"/>
    </xf>
    <xf numFmtId="2" fontId="254" fillId="0" borderId="1" xfId="0" applyNumberFormat="1" applyFont="1" applyBorder="1" applyAlignment="1">
      <alignment horizontal="center" vertical="center" wrapText="1"/>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254" fillId="0" borderId="2" xfId="0" applyFont="1" applyBorder="1" applyAlignment="1">
      <alignment horizontal="center" vertical="center" wrapText="1"/>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0" fillId="0" borderId="1" xfId="0" applyBorder="1" applyAlignment="1">
      <alignment vertical="center" wrapText="1"/>
    </xf>
    <xf numFmtId="178" fontId="0" fillId="0" borderId="1" xfId="0" applyNumberFormat="1" applyBorder="1" applyAlignment="1">
      <alignment vertical="center" wrapText="1"/>
    </xf>
    <xf numFmtId="177" fontId="0" fillId="0" borderId="1" xfId="0" applyNumberFormat="1" applyBorder="1" applyAlignment="1">
      <alignment vertical="center" wrapText="1"/>
    </xf>
    <xf numFmtId="10" fontId="0" fillId="0" borderId="1" xfId="0" applyNumberFormat="1" applyBorder="1" applyAlignment="1">
      <alignment vertical="center" wrapText="1"/>
    </xf>
    <xf numFmtId="192" fontId="0" fillId="0" borderId="1" xfId="0" applyNumberFormat="1" applyBorder="1" applyAlignment="1">
      <alignment vertical="center" wrapText="1"/>
    </xf>
    <xf numFmtId="177" fontId="0" fillId="5" borderId="1" xfId="0" applyNumberFormat="1" applyFill="1" applyBorder="1" applyAlignment="1">
      <alignment vertical="center" wrapText="1"/>
    </xf>
    <xf numFmtId="0" fontId="99" fillId="0" borderId="1" xfId="0" applyFont="1" applyBorder="1" applyAlignment="1">
      <alignment vertical="center" wrapText="1"/>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1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 xfId="0" applyFont="1" applyBorder="1" applyAlignment="1">
      <alignment horizontal="center" vertical="center" wrapText="1"/>
    </xf>
    <xf numFmtId="0" fontId="254" fillId="0" borderId="3" xfId="0" applyFont="1" applyBorder="1" applyAlignment="1">
      <alignment horizontal="center" vertical="center" wrapText="1"/>
    </xf>
    <xf numFmtId="0" fontId="254" fillId="0" borderId="13" xfId="0" applyFont="1" applyBorder="1" applyAlignment="1">
      <alignment horizontal="center" vertical="center" wrapText="1"/>
    </xf>
    <xf numFmtId="0" fontId="254" fillId="0" borderId="15" xfId="0" applyFont="1" applyBorder="1" applyAlignment="1">
      <alignment horizontal="center" vertical="center" wrapText="1"/>
    </xf>
    <xf numFmtId="0" fontId="254" fillId="0" borderId="2"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北京市房地产市场价值预评估</v>
      </c>
    </row>
    <row r="3" spans="1:2" s="1593" customFormat="1">
      <c r="A3" s="1591" t="s">
        <v>1221</v>
      </c>
      <c r="B3" s="1592">
        <f>'预评函-封皮'!B40</f>
        <v>0</v>
      </c>
    </row>
    <row r="4" spans="1:2" s="1593" customFormat="1">
      <c r="A4" s="1591" t="s">
        <v>1222</v>
      </c>
      <c r="B4" s="1592" t="str">
        <f ca="1">'预评函-封皮'!B46</f>
        <v>叶凌（注册号：1119970111)、陈颖（注册号：1120060040)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受贵公司委托，我公司对北京市房地产市场价值进行了预评估。</v>
      </c>
    </row>
    <row r="7" spans="1:2" s="1593" customFormat="1">
      <c r="A7" s="1591" t="s">
        <v>1264</v>
      </c>
      <c r="B7" s="1592" t="str">
        <f>'预评函-1'!A7</f>
        <v>估价对象为北京市房地产，为所有。根据《国有土地使用证》[]，估价对象（分摊）出让国有建设用地使用权面积为0.44平方米，建筑面积为1平方米。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估价对象为北京市房地产,属开发建设的，该项目尚在开发建设中。根据《国有土地使用证》[]，估价对象（分摊）出让国有建设用地使用权面积为0.44平方米，规划建筑面积为1平方米。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2018年10月24日（评估专业人员实地查勘之日）</v>
      </c>
    </row>
    <row r="13" spans="1:2" s="1593" customFormat="1">
      <c r="A13" s="1591" t="s">
        <v>1227</v>
      </c>
      <c r="B13" s="1592" t="str">
        <f>'预评函-1'!A18</f>
        <v>本次估价的“房地产价值”是指在正常市场情况下，在价值时点2018年10月24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v>
      </c>
    </row>
    <row r="16" spans="1:2" s="1593" customFormat="1">
      <c r="A16" s="1591" t="s">
        <v>1230</v>
      </c>
      <c r="B16" s="1592" t="str">
        <f>'预评函-1'!A21</f>
        <v>——</v>
      </c>
    </row>
    <row r="17" spans="1:2" s="1593" customFormat="1">
      <c r="A17" s="1591" t="s">
        <v>1231</v>
      </c>
      <c r="B17" s="1592" t="str">
        <f>'预评函-1'!A22</f>
        <v>——</v>
      </c>
    </row>
    <row r="18" spans="1:2" s="1587" customFormat="1" ht="15" thickBot="1">
      <c r="A18" s="1594" t="s">
        <v>1232</v>
      </c>
      <c r="B18" s="1595" t="str">
        <f>'预评函-1'!A24</f>
        <v>本次评估采用的主估价方法为成本法和比较法。</v>
      </c>
    </row>
    <row r="19" spans="1:2" s="1590" customFormat="1" ht="15" thickTop="1">
      <c r="A19" s="1588" t="s">
        <v>1233</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1234</v>
      </c>
      <c r="B20" s="1592" t="e">
        <f ca="1">'预评函-2'!D5</f>
        <v>#REF!</v>
      </c>
    </row>
    <row r="21" spans="1:2" s="1593" customFormat="1">
      <c r="A21" s="1591" t="s">
        <v>1235</v>
      </c>
      <c r="B21" s="1592" t="e">
        <f ca="1">'预评函-2'!D7</f>
        <v>#REF!</v>
      </c>
    </row>
    <row r="22" spans="1:2" s="1593" customFormat="1">
      <c r="A22" s="1591" t="s">
        <v>1236</v>
      </c>
      <c r="B22" s="1592" t="e">
        <f ca="1">'预评函-2'!D6</f>
        <v>#REF!</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t="e">
        <f ca="1">'预评函-2'!D13</f>
        <v>#REF!</v>
      </c>
    </row>
    <row r="31" spans="1:2" s="1593" customFormat="1">
      <c r="A31" s="1591" t="s">
        <v>1274</v>
      </c>
      <c r="B31" s="1592" t="e">
        <f ca="1">'预评函-2'!D15</f>
        <v>#REF!</v>
      </c>
    </row>
    <row r="32" spans="1:2" s="1593" customFormat="1">
      <c r="A32" s="1591" t="s">
        <v>1241</v>
      </c>
      <c r="B32" s="1592" t="e">
        <f ca="1">'预评函-2'!D14</f>
        <v>#REF!</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1</v>
      </c>
    </row>
    <row r="44" spans="1:2" s="1593" customFormat="1">
      <c r="A44" s="1591" t="s">
        <v>1273</v>
      </c>
      <c r="B44" s="1592" t="str">
        <f>'预评函-3'!C2</f>
        <v>(分摊)土地面积</v>
      </c>
    </row>
    <row r="45" spans="1:2" s="1593" customFormat="1">
      <c r="A45" s="1591" t="s">
        <v>1245</v>
      </c>
      <c r="B45" s="1592">
        <f>'预评函-3'!C4</f>
        <v>0.44</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叶凌</v>
      </c>
    </row>
    <row r="71" spans="1:2">
      <c r="A71" s="1591" t="s">
        <v>1261</v>
      </c>
      <c r="B71" s="1592">
        <f ca="1">'预评函-4'!B4</f>
        <v>1119970111</v>
      </c>
    </row>
    <row r="72" spans="1:2">
      <c r="A72" s="1591" t="s">
        <v>1262</v>
      </c>
      <c r="B72" s="1600" t="str">
        <f>'预评函-4'!A5</f>
        <v>陈颖</v>
      </c>
    </row>
    <row r="73" spans="1:2" s="1587" customFormat="1" ht="15" thickBot="1">
      <c r="A73" s="1594" t="s">
        <v>1263</v>
      </c>
      <c r="B73" s="1595">
        <f ca="1">'预评函-4'!B5</f>
        <v>1120060040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8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4"/>
      <c r="B54" s="2022" t="s">
        <v>864</v>
      </c>
      <c r="C54" s="2019" t="s">
        <v>1281</v>
      </c>
    </row>
    <row r="55" spans="1:4">
      <c r="A55" s="3084"/>
      <c r="B55" s="2022" t="s">
        <v>865</v>
      </c>
      <c r="C55" s="2019" t="s">
        <v>1282</v>
      </c>
    </row>
    <row r="56" spans="1:4">
      <c r="A56" s="3084"/>
      <c r="B56" s="2022" t="s">
        <v>866</v>
      </c>
      <c r="C56" s="2019" t="s">
        <v>1286</v>
      </c>
    </row>
    <row r="57" spans="1:4">
      <c r="A57" s="3084"/>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85" t="str">
        <f>IF(B10="北京市","北京市",C10)&amp;F10&amp;IF(结果表!G1="在建","出让国有建设用地使用权及在建建筑物",IF(结果表!G1="土地","出让国有建设用地使用权",))&amp;B9&amp;"预评估"</f>
        <v>北京市房地产市场价值预评估</v>
      </c>
      <c r="C1" s="3086"/>
      <c r="D1" s="3086"/>
      <c r="E1" s="3086"/>
      <c r="F1" s="3086"/>
      <c r="G1" s="3086"/>
      <c r="H1" s="3086"/>
      <c r="I1" s="308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6" t="s">
        <v>1777</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43397</v>
      </c>
      <c r="C3" s="2037" t="s">
        <v>1779</v>
      </c>
      <c r="D3" s="2036">
        <v>43397</v>
      </c>
      <c r="E3" s="2026"/>
      <c r="F3" s="2026"/>
      <c r="G3" s="2026"/>
      <c r="H3" s="2026"/>
      <c r="I3" s="2026"/>
      <c r="J3" s="2026"/>
      <c r="K3" s="2027"/>
      <c r="L3" s="2028"/>
      <c r="M3" s="2028"/>
      <c r="N3" s="2029"/>
      <c r="O3" s="2030"/>
      <c r="P3" s="2029"/>
      <c r="Q3" s="2029"/>
      <c r="R3" s="2029"/>
      <c r="S3" s="2031"/>
    </row>
    <row r="4" spans="1:19" ht="18" customHeight="1" thickBot="1">
      <c r="A4" s="2038" t="s">
        <v>1780</v>
      </c>
      <c r="B4" s="2039" t="s">
        <v>3054</v>
      </c>
      <c r="C4" s="1038">
        <f ca="1">SUMIF(注册房地产估价师,B4,估价师及机构信息!B3:B24)</f>
        <v>1119970111</v>
      </c>
      <c r="D4" s="2039" t="s">
        <v>3053</v>
      </c>
      <c r="E4" s="1039">
        <f ca="1">SUMIF(注册房地产估价师,D4,估价师及机构信息!B3:B24)</f>
        <v>1120060040</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叶凌（注册号：1119970111)、陈颖（注册号：1120060040)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3055</v>
      </c>
      <c r="C8" s="2056"/>
      <c r="D8" s="3088" t="s">
        <v>1785</v>
      </c>
      <c r="E8" s="2057"/>
      <c r="F8" s="2058"/>
      <c r="G8" s="2026"/>
      <c r="H8" s="2026"/>
      <c r="I8" s="2026"/>
      <c r="J8" s="2042"/>
      <c r="K8" s="2043"/>
      <c r="L8" s="2028"/>
      <c r="M8" s="2028"/>
      <c r="N8" s="2029"/>
      <c r="O8" s="2030"/>
      <c r="P8" s="2029"/>
      <c r="Q8" s="2029"/>
      <c r="R8" s="2029"/>
    </row>
    <row r="9" spans="1:19" ht="18" customHeight="1" thickBot="1">
      <c r="A9" s="2040" t="s">
        <v>1786</v>
      </c>
      <c r="B9" s="2059" t="s">
        <v>3056</v>
      </c>
      <c r="C9" s="2060"/>
      <c r="D9" s="3089"/>
      <c r="E9" s="2059"/>
      <c r="F9" s="2061"/>
      <c r="G9" s="2062"/>
      <c r="H9" s="2062"/>
      <c r="I9" s="2062"/>
      <c r="J9" s="2042"/>
      <c r="K9" s="2054"/>
      <c r="L9" s="2028"/>
      <c r="M9" s="2028"/>
      <c r="N9" s="2029"/>
      <c r="O9" s="2030"/>
      <c r="P9" s="2029"/>
      <c r="Q9" s="2029"/>
      <c r="R9" s="2029"/>
    </row>
    <row r="10" spans="1:19" ht="18" customHeight="1" thickTop="1">
      <c r="A10" s="2063" t="s">
        <v>1787</v>
      </c>
      <c r="B10" s="2064" t="s">
        <v>3057</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3058</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3059</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v>68942</v>
      </c>
      <c r="E13" s="2080"/>
      <c r="F13" s="2080"/>
      <c r="G13" s="2080"/>
      <c r="H13" s="2080"/>
      <c r="I13" s="1048"/>
      <c r="J13" s="2042"/>
      <c r="K13" s="2054"/>
      <c r="L13" s="2028"/>
      <c r="M13" s="2028"/>
      <c r="N13" s="2029"/>
      <c r="O13" s="2030"/>
      <c r="P13" s="2029"/>
      <c r="Q13" s="2029"/>
      <c r="R13" s="2029"/>
    </row>
    <row r="14" spans="1:19" ht="18" customHeight="1">
      <c r="A14" s="2077"/>
      <c r="B14" s="2078"/>
      <c r="C14" s="2079" t="s">
        <v>1799</v>
      </c>
      <c r="D14" s="1051">
        <v>70</v>
      </c>
      <c r="E14" s="1051"/>
      <c r="F14" s="1051"/>
      <c r="G14" s="1051"/>
      <c r="H14" s="1051"/>
      <c r="I14" s="1051"/>
      <c r="J14" s="2042"/>
      <c r="K14" s="2081"/>
      <c r="L14" s="2028"/>
      <c r="M14" s="2028"/>
      <c r="N14" s="2029"/>
      <c r="O14" s="2030"/>
      <c r="P14" s="2029"/>
      <c r="Q14" s="2029"/>
      <c r="R14" s="2029"/>
    </row>
    <row r="15" spans="1:19" ht="18" customHeight="1">
      <c r="A15" s="2063"/>
      <c r="B15" s="2082"/>
      <c r="C15" s="2079" t="s">
        <v>1800</v>
      </c>
      <c r="D15" s="1050">
        <f>IF(B12="出让",IF(D13="","",ROUNDDOWN(MIN((D13-$D$3)/365,D14),2)),D14)</f>
        <v>69.98</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83"/>
      <c r="L15" s="2084"/>
      <c r="M15" s="2084"/>
      <c r="N15" s="2085"/>
      <c r="O15" s="2084"/>
      <c r="P15" s="2085"/>
      <c r="Q15" s="2029"/>
      <c r="R15" s="2029"/>
    </row>
    <row r="16" spans="1:19" ht="30.75" customHeight="1">
      <c r="A16" s="2066" t="s">
        <v>1801</v>
      </c>
      <c r="B16" s="3095"/>
      <c r="C16" s="3096"/>
      <c r="D16" s="3097"/>
      <c r="E16" s="2086" t="s">
        <v>1802</v>
      </c>
      <c r="F16" s="3098"/>
      <c r="G16" s="3099"/>
      <c r="H16" s="3099"/>
      <c r="I16" s="3100"/>
      <c r="J16" s="2029"/>
      <c r="K16" s="2083"/>
      <c r="L16" s="2084"/>
      <c r="M16" s="2084"/>
      <c r="N16" s="2085"/>
      <c r="O16" s="2084"/>
      <c r="P16" s="2085"/>
      <c r="Q16" s="2029"/>
      <c r="R16" s="2029"/>
    </row>
    <row r="17" spans="1:22" ht="18" customHeight="1">
      <c r="A17" s="2087" t="s">
        <v>1803</v>
      </c>
      <c r="B17" s="2035" t="s">
        <v>1804</v>
      </c>
      <c r="C17" s="1055">
        <f>'数据-汇总表'!E3</f>
        <v>1</v>
      </c>
      <c r="D17" s="2088" t="s">
        <v>1805</v>
      </c>
      <c r="E17" s="3101" t="s">
        <v>1806</v>
      </c>
      <c r="F17" s="3102"/>
      <c r="G17" s="3102"/>
      <c r="H17" s="3102"/>
      <c r="I17" s="3103"/>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0.44</v>
      </c>
      <c r="D18" s="2091" t="s">
        <v>1805</v>
      </c>
      <c r="E18" s="3104" t="s">
        <v>1809</v>
      </c>
      <c r="F18" s="3105"/>
      <c r="G18" s="3105"/>
      <c r="H18" s="3105"/>
      <c r="I18" s="3106"/>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91" t="s">
        <v>1814</v>
      </c>
      <c r="C20" s="3092"/>
      <c r="D20" s="3093" t="s">
        <v>1815</v>
      </c>
      <c r="E20" s="3094"/>
      <c r="F20" s="2098" t="s">
        <v>1816</v>
      </c>
      <c r="G20" s="2042"/>
      <c r="H20" s="2042"/>
      <c r="I20" s="2042"/>
      <c r="J20" s="2042"/>
      <c r="K20" s="3090"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09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09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6"/>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6"/>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108"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108"/>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108"/>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109"/>
      <c r="B30" s="2035" t="s">
        <v>1833</v>
      </c>
      <c r="C30" s="3110"/>
      <c r="D30" s="3111"/>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112" t="s">
        <v>1834</v>
      </c>
      <c r="B31" s="2127" t="s">
        <v>3060</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113"/>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113"/>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107" t="s">
        <v>1843</v>
      </c>
      <c r="T34" s="2135" t="str">
        <f>NUMBERSTRING(7-K34,1)&amp;"通"</f>
        <v>七通</v>
      </c>
      <c r="U34" s="2029"/>
      <c r="V34" s="2029"/>
    </row>
    <row r="35" spans="1:22" ht="18" customHeight="1">
      <c r="A35" s="2136"/>
      <c r="B35" s="3114" t="s">
        <v>1844</v>
      </c>
      <c r="C35" s="3114"/>
      <c r="D35" s="3114"/>
      <c r="E35" s="3114"/>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7"/>
      <c r="T35" s="48"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t="s">
        <v>528</v>
      </c>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t="s">
        <v>3071</v>
      </c>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4"/>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1876</v>
      </c>
      <c r="AZ2" s="1271"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I13/面积汇总!F14</f>
        <v>0.4423621704074962</v>
      </c>
      <c r="B3" s="14">
        <f>IF(C3="否",G5-AT5,G5)</f>
        <v>1</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3"/>
      <c r="C5" s="1803"/>
      <c r="D5" s="1806"/>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0.44</v>
      </c>
      <c r="F6" s="16" t="s">
        <v>1</v>
      </c>
      <c r="G6" s="16" t="s">
        <v>2</v>
      </c>
      <c r="H6" s="20">
        <f>SUMIF(I$12:AB$12,"总值",I6:AB6)</f>
        <v>0.44</v>
      </c>
      <c r="I6" s="16">
        <f t="shared" ref="I6:AB6" si="2">ROUND($A$3*I5/$B$3,2)</f>
        <v>0.44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0.44</v>
      </c>
      <c r="AZ6" s="16" t="s">
        <v>3</v>
      </c>
      <c r="BA6" s="16">
        <f>ROUND($AY$6*BA5/$AZ$5,2)</f>
        <v>0.44</v>
      </c>
      <c r="BB6" s="16">
        <f>ROUND($AY$6*BB5/$AZ$5,2)</f>
        <v>0.44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3" t="s">
        <v>1890</v>
      </c>
      <c r="AW7" s="2167" t="s">
        <v>1891</v>
      </c>
      <c r="AX7" s="23"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2" t="s">
        <v>1895</v>
      </c>
      <c r="AD8" s="2189"/>
      <c r="AE8" s="2181"/>
      <c r="AF8" s="1818"/>
      <c r="AG8" s="1818"/>
      <c r="AH8" s="1818"/>
      <c r="AI8" s="1818"/>
      <c r="AJ8" s="1818"/>
      <c r="AK8" s="1818"/>
      <c r="AL8" s="1818"/>
      <c r="AM8" s="1818"/>
      <c r="AN8" s="1818"/>
      <c r="AO8" s="1818"/>
      <c r="AP8" s="1818"/>
      <c r="AQ8" s="1818"/>
      <c r="AR8" s="1818"/>
      <c r="AS8" s="1818"/>
      <c r="AT8" s="1293" t="s">
        <v>1896</v>
      </c>
      <c r="AU8" s="2183" t="s">
        <v>1897</v>
      </c>
      <c r="AV8" s="1293"/>
      <c r="AW8" s="2166"/>
      <c r="AX8" s="1293"/>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1900</v>
      </c>
      <c r="I9" s="2192" t="s">
        <v>3047</v>
      </c>
      <c r="J9" s="982"/>
      <c r="K9" s="2192"/>
      <c r="L9" s="982"/>
      <c r="M9" s="2192"/>
      <c r="N9" s="982"/>
      <c r="O9" s="2192"/>
      <c r="P9" s="982"/>
      <c r="Q9" s="2192"/>
      <c r="R9" s="982"/>
      <c r="S9" s="2192"/>
      <c r="T9" s="982"/>
      <c r="U9" s="2192"/>
      <c r="V9" s="982"/>
      <c r="W9" s="2192"/>
      <c r="X9" s="2193"/>
      <c r="Y9" s="2192"/>
      <c r="Z9" s="982"/>
      <c r="AA9" s="2192"/>
      <c r="AB9" s="982"/>
      <c r="AC9" s="2184"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4"/>
      <c r="AT9" s="2183"/>
      <c r="AU9" s="2183" t="s">
        <v>1903</v>
      </c>
      <c r="AV9" s="1293"/>
      <c r="AW9" s="2166"/>
      <c r="AX9" s="1293"/>
      <c r="AY9" s="28"/>
      <c r="AZ9" s="28" t="s">
        <v>1893</v>
      </c>
      <c r="BA9" s="2195" t="s">
        <v>1904</v>
      </c>
      <c r="BB9" s="2196"/>
      <c r="BC9" s="1339"/>
      <c r="BD9" s="1339"/>
      <c r="BE9" s="1339"/>
      <c r="BF9" s="1339"/>
      <c r="BG9" s="1339"/>
      <c r="BH9" s="1339"/>
      <c r="BI9" s="1339"/>
      <c r="BJ9" s="1339"/>
      <c r="BK9" s="2197"/>
      <c r="BL9" s="15" t="s">
        <v>1905</v>
      </c>
      <c r="BM9" s="1818"/>
      <c r="BN9" s="2186"/>
      <c r="BO9" s="1818"/>
      <c r="BP9" s="1818"/>
      <c r="BQ9" s="1818"/>
      <c r="BR9" s="1818"/>
      <c r="BS9" s="1818"/>
      <c r="BT9" s="26"/>
    </row>
    <row r="10" spans="1:72" s="2190" customFormat="1" ht="12.75">
      <c r="A10" s="2183"/>
      <c r="B10" s="2183"/>
      <c r="C10" s="2183"/>
      <c r="D10" s="2183"/>
      <c r="E10" s="2183"/>
      <c r="F10" s="2183"/>
      <c r="G10" s="1293"/>
      <c r="H10" s="28"/>
      <c r="I10" s="2192" t="s">
        <v>3048</v>
      </c>
      <c r="J10" s="982"/>
      <c r="K10" s="2198"/>
      <c r="L10" s="982"/>
      <c r="M10" s="2198"/>
      <c r="N10" s="982"/>
      <c r="O10" s="2198"/>
      <c r="P10" s="982"/>
      <c r="Q10" s="2198"/>
      <c r="R10" s="982"/>
      <c r="S10" s="2198"/>
      <c r="T10" s="982"/>
      <c r="U10" s="2198"/>
      <c r="V10" s="982"/>
      <c r="W10" s="2198"/>
      <c r="X10" s="982"/>
      <c r="Y10" s="2198"/>
      <c r="Z10" s="982"/>
      <c r="AA10" s="2198"/>
      <c r="AB10" s="982"/>
      <c r="AC10" s="1293"/>
      <c r="AD10" s="15" t="s">
        <v>1906</v>
      </c>
      <c r="AE10" s="2199"/>
      <c r="AF10" s="15" t="s">
        <v>1906</v>
      </c>
      <c r="AG10" s="2199"/>
      <c r="AH10" s="15" t="s">
        <v>1907</v>
      </c>
      <c r="AI10" s="2199"/>
      <c r="AJ10" s="15" t="s">
        <v>1907</v>
      </c>
      <c r="AK10" s="2199"/>
      <c r="AL10" s="15" t="s">
        <v>1908</v>
      </c>
      <c r="AM10" s="1299"/>
      <c r="AN10" s="15" t="s">
        <v>1908</v>
      </c>
      <c r="AO10" s="1299"/>
      <c r="AP10" s="15" t="s">
        <v>1909</v>
      </c>
      <c r="AQ10" s="1299"/>
      <c r="AR10" s="15" t="s">
        <v>1909</v>
      </c>
      <c r="AS10" s="1299"/>
      <c r="AT10" s="2183"/>
      <c r="AU10" s="2183"/>
      <c r="AV10" s="1293"/>
      <c r="AW10" s="2166"/>
      <c r="AX10" s="1293"/>
      <c r="AY10" s="28"/>
      <c r="AZ10" s="28"/>
      <c r="BA10" s="2200" t="s">
        <v>1900</v>
      </c>
      <c r="BB10" s="2201" t="str">
        <f>I9</f>
        <v>地上</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t="s">
        <v>3049</v>
      </c>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3"/>
      <c r="AW11" s="2166"/>
      <c r="AX11" s="1293"/>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普通住宅</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2944" t="s">
        <v>3051</v>
      </c>
      <c r="D13" s="2214" t="s">
        <v>3050</v>
      </c>
      <c r="E13" s="16">
        <f>IF($C$3="是",ROUND($A$3*G13/$B$3,2),ROUND($A$3*(G13-AT13)/$B$3,2))</f>
        <v>0.44</v>
      </c>
      <c r="F13" s="32"/>
      <c r="G13" s="33">
        <f>H13+AC13+AT13</f>
        <v>1</v>
      </c>
      <c r="H13" s="20">
        <f>SUMIF(I$12:AB$12,"总值",I13:AB13)</f>
        <v>1</v>
      </c>
      <c r="I13" s="2215">
        <v>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住宅</v>
      </c>
      <c r="AY13" s="1806">
        <f>ROUND($AY$6*AZ13/$AZ$5,2)</f>
        <v>0.44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5" t="s">
        <v>0</v>
      </c>
      <c r="B1" s="3115" t="s">
        <v>4</v>
      </c>
      <c r="C1" s="3115" t="s">
        <v>5</v>
      </c>
      <c r="D1" s="3116" t="s">
        <v>53</v>
      </c>
      <c r="E1" s="3116" t="s">
        <v>54</v>
      </c>
      <c r="F1" s="3116"/>
      <c r="G1" s="3116"/>
      <c r="H1" s="3116"/>
      <c r="I1" s="3116"/>
      <c r="J1" s="3116"/>
      <c r="K1" s="3116"/>
      <c r="L1" s="3116"/>
      <c r="M1" s="3116"/>
    </row>
    <row r="2" spans="1:13" ht="27" customHeight="1">
      <c r="A2" s="3115"/>
      <c r="B2" s="3115"/>
      <c r="C2" s="3115"/>
      <c r="D2" s="3116"/>
      <c r="E2" s="3116" t="s">
        <v>37</v>
      </c>
      <c r="F2" s="3116" t="s">
        <v>38</v>
      </c>
      <c r="G2" s="3116"/>
      <c r="H2" s="3116"/>
      <c r="I2" s="3116"/>
      <c r="J2" s="3116" t="s">
        <v>39</v>
      </c>
      <c r="K2" s="3116"/>
      <c r="L2" s="3116"/>
      <c r="M2" s="3116"/>
    </row>
    <row r="3" spans="1:13" ht="28.5">
      <c r="A3" s="3115"/>
      <c r="B3" s="3115"/>
      <c r="C3" s="3115"/>
      <c r="D3" s="3116"/>
      <c r="E3" s="31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6" t="s">
        <v>55</v>
      </c>
      <c r="B9" s="3116"/>
      <c r="C9" s="31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2"/>
      <c r="C1" s="1392"/>
      <c r="D1" s="1392"/>
      <c r="E1" s="1392"/>
      <c r="F1" s="1392"/>
      <c r="G1" s="1392"/>
      <c r="H1" s="1392"/>
      <c r="I1" s="1392"/>
      <c r="J1" s="1392"/>
      <c r="K1" s="1392"/>
      <c r="L1" s="1392"/>
      <c r="M1" s="1392"/>
      <c r="N1" s="1392"/>
      <c r="O1" s="1392"/>
      <c r="P1" s="1392"/>
    </row>
    <row r="2" spans="1:16" ht="15">
      <c r="A2" s="3126" t="s">
        <v>1940</v>
      </c>
      <c r="B2" s="3126"/>
      <c r="C2" s="3126"/>
      <c r="D2" s="968" t="s">
        <v>1916</v>
      </c>
      <c r="E2" s="2228" t="s">
        <v>1917</v>
      </c>
      <c r="F2" s="1392"/>
      <c r="G2" s="2229"/>
      <c r="H2" s="2230"/>
      <c r="I2" s="2231" t="s">
        <v>1941</v>
      </c>
      <c r="J2" s="1392"/>
      <c r="K2" s="1392"/>
      <c r="L2" s="1392"/>
      <c r="M2" s="1392"/>
      <c r="N2" s="1427"/>
      <c r="O2" s="1392"/>
      <c r="P2" s="1392"/>
    </row>
    <row r="3" spans="1:16" ht="15.75" thickBot="1">
      <c r="A3" s="3127" t="s">
        <v>1914</v>
      </c>
      <c r="B3" s="3127"/>
      <c r="C3" s="3127"/>
      <c r="D3" s="46">
        <f>'数据-基础表'!AY6</f>
        <v>0.44</v>
      </c>
      <c r="E3" s="46">
        <f>'数据-基础表'!AZ5</f>
        <v>1</v>
      </c>
      <c r="F3" s="1392"/>
      <c r="G3" s="1399"/>
      <c r="H3" s="1248" t="s">
        <v>1915</v>
      </c>
      <c r="I3" s="55">
        <f>ROUND('数据-基础表'!B3/'数据-基础表'!A3,2)</f>
        <v>2.2599999999999998</v>
      </c>
      <c r="J3" s="1392"/>
      <c r="K3" s="1392"/>
      <c r="L3" s="1392"/>
      <c r="M3" s="1392"/>
      <c r="N3" s="1427"/>
      <c r="O3" s="1392"/>
      <c r="P3" s="1392"/>
    </row>
    <row r="4" spans="1:16" ht="15">
      <c r="A4" s="3128"/>
      <c r="B4" s="3129"/>
      <c r="C4" s="3130"/>
      <c r="D4" s="2232" t="s">
        <v>1916</v>
      </c>
      <c r="E4" s="2233" t="s">
        <v>1917</v>
      </c>
      <c r="F4" s="1392"/>
      <c r="G4" s="2234" t="s">
        <v>1942</v>
      </c>
      <c r="H4" s="1248" t="s">
        <v>1922</v>
      </c>
      <c r="I4" s="55">
        <f>ROUND(SUMIF('数据-基础表'!I9:AS9,"地上",'数据-基础表'!I5:AS5)/'数据-基础表'!A3,2)</f>
        <v>2.2599999999999998</v>
      </c>
      <c r="J4" s="1392"/>
      <c r="K4" s="1392"/>
      <c r="L4" s="1392"/>
      <c r="M4" s="1392"/>
      <c r="N4" s="1427"/>
      <c r="O4" s="1392"/>
      <c r="P4" s="1392"/>
    </row>
    <row r="5" spans="1:16">
      <c r="A5" s="47" t="s">
        <v>1918</v>
      </c>
      <c r="B5" s="3131" t="s">
        <v>1919</v>
      </c>
      <c r="C5" s="3131"/>
      <c r="D5" s="48">
        <f>ROUND($D$3*E5/$E$3,2)</f>
        <v>0.44</v>
      </c>
      <c r="E5" s="49">
        <f>SUMIF('数据-基础表'!$11:$11,"住宅",'数据-基础表'!$5:$5)</f>
        <v>1</v>
      </c>
      <c r="F5" s="1392"/>
      <c r="G5" s="1399"/>
      <c r="H5" s="1248" t="s">
        <v>1915</v>
      </c>
      <c r="I5" s="55">
        <f>ROUND(E31/D31,2)</f>
        <v>2.27</v>
      </c>
      <c r="J5" s="1392"/>
      <c r="K5" s="1392"/>
      <c r="L5" s="1392"/>
      <c r="M5" s="1392"/>
      <c r="N5" s="1392"/>
      <c r="O5" s="1392"/>
      <c r="P5" s="1392"/>
    </row>
    <row r="6" spans="1:16" ht="15" thickBot="1">
      <c r="A6" s="2235"/>
      <c r="B6" s="3131" t="s">
        <v>1920</v>
      </c>
      <c r="C6" s="3131"/>
      <c r="D6" s="48">
        <f>ROUND($D$3*E6/$E$3,2)</f>
        <v>0</v>
      </c>
      <c r="E6" s="49">
        <f>E3-E5</f>
        <v>0</v>
      </c>
      <c r="F6" s="1392"/>
      <c r="G6" s="2236" t="s">
        <v>1921</v>
      </c>
      <c r="H6" s="1399" t="s">
        <v>1922</v>
      </c>
      <c r="I6" s="940">
        <f>ROUND(F31/D31,2)</f>
        <v>2.27</v>
      </c>
      <c r="J6" s="1392"/>
      <c r="K6" s="1392"/>
      <c r="L6" s="1392"/>
      <c r="M6" s="1392"/>
      <c r="N6" s="1392"/>
      <c r="O6" s="1392"/>
      <c r="P6" s="1392"/>
    </row>
    <row r="7" spans="1:16" ht="15">
      <c r="A7" s="3123"/>
      <c r="B7" s="3124"/>
      <c r="C7" s="3125"/>
      <c r="D7" s="2232" t="s">
        <v>1916</v>
      </c>
      <c r="E7" s="2237" t="s">
        <v>1923</v>
      </c>
      <c r="F7" s="1392"/>
      <c r="G7" s="2229" t="s">
        <v>1924</v>
      </c>
      <c r="H7" s="64"/>
      <c r="I7" s="420"/>
      <c r="J7" s="1392"/>
      <c r="K7" s="1392"/>
      <c r="L7" s="1392"/>
      <c r="M7" s="1392"/>
      <c r="N7" s="1392"/>
      <c r="O7" s="1392"/>
      <c r="P7" s="1392"/>
    </row>
    <row r="8" spans="1:16">
      <c r="A8" s="47" t="s">
        <v>1925</v>
      </c>
      <c r="B8" s="50" t="s">
        <v>1926</v>
      </c>
      <c r="C8" s="48" t="s">
        <v>1927</v>
      </c>
      <c r="D8" s="48">
        <f t="shared" ref="D8:D15" si="0">ROUND($D$3*E8/$E$3,2)</f>
        <v>0.44</v>
      </c>
      <c r="E8" s="51">
        <f>SUMIF('数据-基础表'!BB10:BK10,"地上",'数据-基础表'!BB5:BK5)</f>
        <v>1</v>
      </c>
      <c r="F8" s="1392"/>
      <c r="G8" s="2238"/>
      <c r="H8" s="2238"/>
      <c r="I8" s="1392"/>
      <c r="J8" s="1392"/>
      <c r="K8" s="1392"/>
      <c r="L8" s="1392"/>
      <c r="M8" s="1392"/>
      <c r="N8" s="1392"/>
      <c r="O8" s="1392"/>
      <c r="P8" s="1392"/>
    </row>
    <row r="9" spans="1:16">
      <c r="A9" s="2239"/>
      <c r="B9" s="2240"/>
      <c r="C9" s="48" t="s">
        <v>1928</v>
      </c>
      <c r="D9" s="48">
        <f t="shared" si="0"/>
        <v>0</v>
      </c>
      <c r="E9" s="52">
        <v>0</v>
      </c>
      <c r="F9" s="1392"/>
      <c r="G9" s="2238"/>
      <c r="H9" s="2238"/>
      <c r="I9" s="1392"/>
      <c r="J9" s="1392"/>
      <c r="K9" s="1392"/>
      <c r="L9" s="1392"/>
      <c r="M9" s="1392"/>
      <c r="N9" s="1392"/>
      <c r="O9" s="1392"/>
      <c r="P9" s="1392"/>
    </row>
    <row r="10" spans="1:16">
      <c r="A10" s="2239"/>
      <c r="B10" s="2240"/>
      <c r="C10" s="48" t="s">
        <v>1937</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1931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1932</v>
      </c>
      <c r="D16" s="50">
        <f>SUM(D8:D15)</f>
        <v>0.44</v>
      </c>
      <c r="E16" s="53">
        <f>SUM(E8:E15)</f>
        <v>1</v>
      </c>
      <c r="F16" s="1392"/>
      <c r="G16" s="2238"/>
      <c r="H16" s="2241" t="s">
        <v>1944</v>
      </c>
      <c r="I16" s="2242"/>
      <c r="J16" s="1392"/>
      <c r="K16" s="3120" t="s">
        <v>1944</v>
      </c>
      <c r="L16" s="3121"/>
      <c r="M16" s="3121"/>
      <c r="N16" s="3121"/>
      <c r="O16" s="3121"/>
      <c r="P16" s="3122"/>
    </row>
    <row r="17" spans="1:19" ht="15">
      <c r="A17" s="2243" t="s">
        <v>1945</v>
      </c>
      <c r="B17" s="2244" t="s">
        <v>1946</v>
      </c>
      <c r="C17" s="2245" t="s">
        <v>1947</v>
      </c>
      <c r="D17" s="2246" t="s">
        <v>1935</v>
      </c>
      <c r="E17" s="2247" t="s">
        <v>1936</v>
      </c>
      <c r="F17" s="2248"/>
      <c r="G17" s="2249"/>
      <c r="H17" s="2250" t="s">
        <v>1948</v>
      </c>
      <c r="I17" s="2251" t="s">
        <v>1933</v>
      </c>
      <c r="J17" s="1392"/>
      <c r="K17" s="3117" t="s">
        <v>1949</v>
      </c>
      <c r="L17" s="3118"/>
      <c r="M17" s="3119"/>
      <c r="N17" s="3117" t="s">
        <v>1950</v>
      </c>
      <c r="O17" s="3118"/>
      <c r="P17" s="3119"/>
      <c r="R17" s="2229" t="s">
        <v>1951</v>
      </c>
      <c r="S17" s="64"/>
    </row>
    <row r="18" spans="1:19" ht="15">
      <c r="A18" s="2239"/>
      <c r="B18" s="2252"/>
      <c r="C18" s="2253"/>
      <c r="D18" s="2254"/>
      <c r="E18" s="2255" t="s">
        <v>1952</v>
      </c>
      <c r="F18" s="2256" t="s">
        <v>1953</v>
      </c>
      <c r="G18" s="2257" t="s">
        <v>1954</v>
      </c>
      <c r="H18" s="1263" t="s">
        <v>1955</v>
      </c>
      <c r="I18" s="2258" t="s">
        <v>1956</v>
      </c>
      <c r="J18" s="1392"/>
      <c r="K18" s="1263" t="s">
        <v>1957</v>
      </c>
      <c r="L18" s="2259" t="s">
        <v>1958</v>
      </c>
      <c r="M18" s="1047" t="s">
        <v>1959</v>
      </c>
      <c r="N18" s="1263" t="s">
        <v>1957</v>
      </c>
      <c r="O18" s="2259" t="s">
        <v>1958</v>
      </c>
      <c r="P18" s="1047" t="s">
        <v>1959</v>
      </c>
      <c r="R18" s="1248" t="s">
        <v>1960</v>
      </c>
      <c r="S18" s="1248" t="s">
        <v>1961</v>
      </c>
    </row>
    <row r="19" spans="1:19">
      <c r="A19" s="2260"/>
      <c r="B19" s="50" t="s">
        <v>1934</v>
      </c>
      <c r="C19" s="2945" t="s">
        <v>3052</v>
      </c>
      <c r="D19" s="48">
        <f>ROUND($D$3*E19/$E$3,2)</f>
        <v>0.44</v>
      </c>
      <c r="E19" s="56">
        <f t="shared" ref="E19:E26" si="1">SUM(F19:G19)</f>
        <v>1</v>
      </c>
      <c r="F19" s="57">
        <v>1</v>
      </c>
      <c r="G19" s="58"/>
      <c r="H19" s="721">
        <f>ROUND($D$3*I19/$E$3,2)</f>
        <v>0</v>
      </c>
      <c r="I19" s="51">
        <f t="shared" ref="I19:I26" si="2">IF($I$17="自定义",P19,M19)</f>
        <v>0</v>
      </c>
      <c r="J19" s="1392"/>
      <c r="K19" s="1391">
        <f t="shared" ref="K19:K26" si="3">ROUND(E$28*E19/E$27,2)</f>
        <v>0</v>
      </c>
      <c r="L19" s="1248">
        <f t="shared" ref="L19:L26" si="4">ROUND(IF(COUNTIF(C19,"*住宅*")&gt;0,E$29*E19/E$32,0),2)</f>
        <v>0</v>
      </c>
      <c r="M19" s="1403">
        <f>K19+L19</f>
        <v>0</v>
      </c>
      <c r="N19" s="2262"/>
      <c r="O19" s="2263"/>
      <c r="P19" s="1403">
        <f>N19+O19</f>
        <v>0</v>
      </c>
      <c r="R19" s="1248">
        <f t="shared" ref="R19:S26" si="5">D19+H19</f>
        <v>0.44</v>
      </c>
      <c r="S19" s="1249">
        <f t="shared" si="5"/>
        <v>1</v>
      </c>
    </row>
    <row r="20" spans="1:19">
      <c r="A20" s="2264"/>
      <c r="B20" s="50" t="s">
        <v>1962</v>
      </c>
      <c r="C20" s="2261"/>
      <c r="D20" s="48">
        <f t="shared" ref="D20:D26" si="6">ROUND($D$3*E20/$E$3,2)</f>
        <v>0</v>
      </c>
      <c r="E20" s="56">
        <f t="shared" si="1"/>
        <v>0</v>
      </c>
      <c r="F20" s="57"/>
      <c r="G20" s="58"/>
      <c r="H20" s="721">
        <f t="shared" ref="H20:H26" si="7">ROUND($D$3*I20/$E$3,2)</f>
        <v>0</v>
      </c>
      <c r="I20" s="51">
        <f t="shared" si="2"/>
        <v>0</v>
      </c>
      <c r="J20" s="1392"/>
      <c r="K20" s="1391">
        <f t="shared" si="3"/>
        <v>0</v>
      </c>
      <c r="L20" s="1248">
        <f t="shared" si="4"/>
        <v>0</v>
      </c>
      <c r="M20" s="1403">
        <f t="shared" ref="M20:M26" si="8">K20+L20</f>
        <v>0</v>
      </c>
      <c r="N20" s="2262"/>
      <c r="O20" s="2263"/>
      <c r="P20" s="1403">
        <f t="shared" ref="P20:P26" si="9">N20+O20</f>
        <v>0</v>
      </c>
      <c r="R20" s="1248">
        <f t="shared" si="5"/>
        <v>0</v>
      </c>
      <c r="S20" s="1249">
        <f t="shared" si="5"/>
        <v>0</v>
      </c>
    </row>
    <row r="21" spans="1:19">
      <c r="A21" s="2264"/>
      <c r="B21" s="50" t="s">
        <v>1962</v>
      </c>
      <c r="C21" s="2261"/>
      <c r="D21" s="48">
        <f t="shared" si="6"/>
        <v>0</v>
      </c>
      <c r="E21" s="56">
        <f t="shared" si="1"/>
        <v>0</v>
      </c>
      <c r="F21" s="57"/>
      <c r="G21" s="58"/>
      <c r="H21" s="721">
        <f t="shared" si="7"/>
        <v>0</v>
      </c>
      <c r="I21" s="51">
        <f t="shared" si="2"/>
        <v>0</v>
      </c>
      <c r="J21" s="1392"/>
      <c r="K21" s="1391">
        <f t="shared" si="3"/>
        <v>0</v>
      </c>
      <c r="L21" s="1248">
        <f t="shared" si="4"/>
        <v>0</v>
      </c>
      <c r="M21" s="1403">
        <f t="shared" si="8"/>
        <v>0</v>
      </c>
      <c r="N21" s="2262"/>
      <c r="O21" s="2263"/>
      <c r="P21" s="1403">
        <f t="shared" si="9"/>
        <v>0</v>
      </c>
      <c r="R21" s="1248">
        <f t="shared" si="5"/>
        <v>0</v>
      </c>
      <c r="S21" s="1249">
        <f t="shared" si="5"/>
        <v>0</v>
      </c>
    </row>
    <row r="22" spans="1:19">
      <c r="A22" s="2264"/>
      <c r="B22" s="50" t="s">
        <v>1962</v>
      </c>
      <c r="C22" s="60"/>
      <c r="D22" s="48">
        <f t="shared" si="6"/>
        <v>0</v>
      </c>
      <c r="E22" s="56">
        <f t="shared" si="1"/>
        <v>0</v>
      </c>
      <c r="F22" s="61"/>
      <c r="G22" s="62"/>
      <c r="H22" s="721">
        <f t="shared" si="7"/>
        <v>0</v>
      </c>
      <c r="I22" s="51">
        <f t="shared" si="2"/>
        <v>0</v>
      </c>
      <c r="J22" s="1392"/>
      <c r="K22" s="1391">
        <f t="shared" si="3"/>
        <v>0</v>
      </c>
      <c r="L22" s="1248">
        <f t="shared" si="4"/>
        <v>0</v>
      </c>
      <c r="M22" s="1403">
        <f t="shared" si="8"/>
        <v>0</v>
      </c>
      <c r="N22" s="2262"/>
      <c r="O22" s="2263"/>
      <c r="P22" s="1403">
        <f t="shared" si="9"/>
        <v>0</v>
      </c>
      <c r="R22" s="1248">
        <f t="shared" si="5"/>
        <v>0</v>
      </c>
      <c r="S22" s="1249">
        <f t="shared" si="5"/>
        <v>0</v>
      </c>
    </row>
    <row r="23" spans="1:19">
      <c r="A23" s="2264"/>
      <c r="B23" s="50" t="s">
        <v>1962</v>
      </c>
      <c r="C23" s="60"/>
      <c r="D23" s="48">
        <f>ROUND($D$3*E23/$E$3,2)</f>
        <v>0</v>
      </c>
      <c r="E23" s="56">
        <f>SUM(F23:G23)</f>
        <v>0</v>
      </c>
      <c r="F23" s="61"/>
      <c r="G23" s="62"/>
      <c r="H23" s="721">
        <f>ROUND($D$3*I23/$E$3,2)</f>
        <v>0</v>
      </c>
      <c r="I23" s="51">
        <f t="shared" si="2"/>
        <v>0</v>
      </c>
      <c r="J23" s="1392"/>
      <c r="K23" s="1391">
        <f t="shared" si="3"/>
        <v>0</v>
      </c>
      <c r="L23" s="1248">
        <f t="shared" si="4"/>
        <v>0</v>
      </c>
      <c r="M23" s="1403">
        <f t="shared" si="8"/>
        <v>0</v>
      </c>
      <c r="N23" s="2262"/>
      <c r="O23" s="2263"/>
      <c r="P23" s="1403">
        <f t="shared" si="9"/>
        <v>0</v>
      </c>
      <c r="R23" s="1248">
        <f t="shared" si="5"/>
        <v>0</v>
      </c>
      <c r="S23" s="1249">
        <f t="shared" si="5"/>
        <v>0</v>
      </c>
    </row>
    <row r="24" spans="1:19">
      <c r="A24" s="2264"/>
      <c r="B24" s="50" t="s">
        <v>1962</v>
      </c>
      <c r="C24" s="60"/>
      <c r="D24" s="48">
        <f>ROUND($D$3*E24/$E$3,2)</f>
        <v>0</v>
      </c>
      <c r="E24" s="56">
        <f>SUM(F24:G24)</f>
        <v>0</v>
      </c>
      <c r="F24" s="61"/>
      <c r="G24" s="62"/>
      <c r="H24" s="721">
        <f>ROUND($D$3*I24/$E$3,2)</f>
        <v>0</v>
      </c>
      <c r="I24" s="51">
        <f t="shared" si="2"/>
        <v>0</v>
      </c>
      <c r="J24" s="1392"/>
      <c r="K24" s="1391">
        <f t="shared" si="3"/>
        <v>0</v>
      </c>
      <c r="L24" s="1248">
        <f t="shared" si="4"/>
        <v>0</v>
      </c>
      <c r="M24" s="1403">
        <f t="shared" si="8"/>
        <v>0</v>
      </c>
      <c r="N24" s="2262"/>
      <c r="O24" s="2263"/>
      <c r="P24" s="1403">
        <f t="shared" si="9"/>
        <v>0</v>
      </c>
      <c r="R24" s="1248">
        <f t="shared" si="5"/>
        <v>0</v>
      </c>
      <c r="S24" s="1249">
        <f t="shared" si="5"/>
        <v>0</v>
      </c>
    </row>
    <row r="25" spans="1:19">
      <c r="A25" s="2264"/>
      <c r="B25" s="50" t="s">
        <v>1962</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62"/>
      <c r="O25" s="2263"/>
      <c r="P25" s="1403">
        <f t="shared" si="9"/>
        <v>0</v>
      </c>
      <c r="R25" s="1248">
        <f t="shared" si="5"/>
        <v>0</v>
      </c>
      <c r="S25" s="1249">
        <f t="shared" si="5"/>
        <v>0</v>
      </c>
    </row>
    <row r="26" spans="1:19">
      <c r="A26" s="2264"/>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8">
        <f t="shared" si="5"/>
        <v>0</v>
      </c>
      <c r="S26" s="1249">
        <f t="shared" si="5"/>
        <v>0</v>
      </c>
    </row>
    <row r="27" spans="1:19" ht="15.75" thickBot="1">
      <c r="A27" s="2264"/>
      <c r="B27" s="48"/>
      <c r="C27" s="2267" t="s">
        <v>1963</v>
      </c>
      <c r="D27" s="1393">
        <f>SUM(D19:D26)</f>
        <v>0.44</v>
      </c>
      <c r="E27" s="1394">
        <f>IF(SUM(E19:E26)='数据-基础表'!BA5,SUM(E19:E26),IF(F27="地上面积有误","面积有误","地下面积有误"))</f>
        <v>1</v>
      </c>
      <c r="F27" s="1393">
        <f>IF(SUM(F19:F26)=E8,SUM(F19:F26),"地上面积有误")</f>
        <v>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0.44</v>
      </c>
      <c r="S27" s="1248">
        <f>IF(SUM(S19:S26)=$E$3,SUM(S19:S26),SUM(S19:S26)&amp;"误差"&amp;ROUND(SUM(S19:S26)-E3,2))</f>
        <v>1</v>
      </c>
    </row>
    <row r="28" spans="1:19">
      <c r="A28" s="2264"/>
      <c r="B28" s="50" t="s">
        <v>1964</v>
      </c>
      <c r="C28" s="1260"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1964</v>
      </c>
      <c r="C29" s="2268"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8" t="s">
        <v>1967</v>
      </c>
      <c r="D31" s="727">
        <f>D27+D30</f>
        <v>0.44</v>
      </c>
      <c r="E31" s="727">
        <f>E27+E30</f>
        <v>1</v>
      </c>
      <c r="F31" s="728">
        <f>F27+F30</f>
        <v>1</v>
      </c>
      <c r="G31" s="729">
        <f>G27+G30</f>
        <v>0</v>
      </c>
      <c r="H31" s="1392"/>
      <c r="I31" s="1392"/>
      <c r="J31" s="1392"/>
      <c r="K31" s="1392"/>
      <c r="L31" s="1392"/>
      <c r="M31" s="1392"/>
      <c r="N31" s="1392"/>
      <c r="O31" s="1392"/>
      <c r="P31" s="1392"/>
    </row>
    <row r="32" spans="1:19">
      <c r="A32" s="2234"/>
      <c r="B32" s="2234" t="s">
        <v>1968</v>
      </c>
      <c r="C32" s="2234"/>
      <c r="D32" s="2234"/>
      <c r="E32" s="1275">
        <f>SUMIF(C19:C26,"*住宅*",E19:E26)</f>
        <v>1</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1970</v>
      </c>
      <c r="B2" s="1267">
        <f>项目基本情况!D3</f>
        <v>43397</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3062</v>
      </c>
      <c r="O5" s="2297" t="s">
        <v>1990</v>
      </c>
      <c r="P5" s="2300" t="s">
        <v>1991</v>
      </c>
      <c r="Q5" s="69" t="s">
        <v>1992</v>
      </c>
      <c r="R5" s="2301" t="s">
        <v>1993</v>
      </c>
      <c r="S5" s="2302" t="s">
        <v>1994</v>
      </c>
      <c r="T5" s="2303" t="s">
        <v>1995</v>
      </c>
      <c r="U5" s="1268" t="s">
        <v>1996</v>
      </c>
      <c r="V5" s="1269" t="s">
        <v>1997</v>
      </c>
      <c r="W5" s="1269" t="s">
        <v>1998</v>
      </c>
      <c r="X5" s="71"/>
      <c r="Y5" s="70" t="s">
        <v>1999</v>
      </c>
      <c r="Z5" s="2304" t="s">
        <v>1996</v>
      </c>
      <c r="AA5" s="1269" t="s">
        <v>1997</v>
      </c>
      <c r="AB5" s="1269" t="s">
        <v>1998</v>
      </c>
      <c r="AC5" s="71"/>
      <c r="AD5" s="71" t="s">
        <v>1999</v>
      </c>
      <c r="AE5" s="1268" t="s">
        <v>2000</v>
      </c>
      <c r="AF5" s="1269" t="s">
        <v>2001</v>
      </c>
      <c r="AG5" s="70" t="s">
        <v>2002</v>
      </c>
      <c r="AH5" s="1268" t="s">
        <v>2003</v>
      </c>
      <c r="AI5" s="2304" t="s">
        <v>2004</v>
      </c>
      <c r="AJ5" s="2304" t="s">
        <v>2005</v>
      </c>
      <c r="AK5" s="1269" t="s">
        <v>2006</v>
      </c>
      <c r="AL5" s="1269" t="s">
        <v>2007</v>
      </c>
      <c r="AM5" s="70" t="s">
        <v>2008</v>
      </c>
      <c r="AN5" s="2305" t="s">
        <v>2009</v>
      </c>
      <c r="AO5" s="2075" t="s">
        <v>2010</v>
      </c>
      <c r="AP5" s="1250" t="s">
        <v>2011</v>
      </c>
      <c r="AQ5" s="2306" t="s">
        <v>2012</v>
      </c>
      <c r="AR5" s="2306"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3048</v>
      </c>
      <c r="D6" s="1052">
        <f>SUMIF(项目基本情况!D$12:I$12,C6,项目基本情况!D$14:I$14)</f>
        <v>70</v>
      </c>
      <c r="E6" s="1049">
        <f>IF(B6="","",SUMIF(项目基本情况!D$12:I$12,C6,项目基本情况!D$13:I$13))</f>
        <v>68942</v>
      </c>
      <c r="F6" s="72">
        <f>SUMIF(项目基本情况!D$12:I$12,C6,项目基本情况!D$15:I$15)</f>
        <v>69.98</v>
      </c>
      <c r="G6" s="73">
        <f>IF(ISERROR(ROUND(POWER(1+H6,D6-F6)*(POWER(1+H6,F6)-1)/(POWER(1+H6,D6)-1),3)),0,ROUND(POWER(1+H6,D6-F6)*(POWER(1+H6,F6)-1)/(POWER(1+H6,D6)-1),3))</f>
        <v>1</v>
      </c>
      <c r="H6" s="800">
        <v>0.04</v>
      </c>
      <c r="I6" s="800">
        <v>4.4999999999999998E-2</v>
      </c>
      <c r="J6" s="74">
        <v>7.0000000000000007E-2</v>
      </c>
      <c r="K6" s="1252">
        <f>SUMIF('数据-汇总表'!C$19:C$33,A6,'数据-汇总表'!E$19:E$33)</f>
        <v>1</v>
      </c>
      <c r="L6" s="801">
        <v>5000</v>
      </c>
      <c r="M6" s="75">
        <f>ROUND(K6*L6,0)</f>
        <v>5000</v>
      </c>
      <c r="N6" s="799">
        <v>1</v>
      </c>
      <c r="O6" s="75" t="str">
        <f>IF($N$5="成新度","——",ROUND(M6*N6,0))</f>
        <v>——</v>
      </c>
      <c r="P6" s="76" t="str">
        <f>IF($N$5="成新度","——",M6-O6)</f>
        <v>——</v>
      </c>
      <c r="Q6" s="802">
        <v>0.08</v>
      </c>
      <c r="R6" s="77">
        <f ca="1">SUMIF('数据-汇总表'!C$19:C$33,A6,'数据-汇总表'!R$19:R$27)</f>
        <v>0.44</v>
      </c>
      <c r="S6" s="54">
        <f>IF('数据-汇总表'!$I$17="按面积比例",SUMIF('数据-汇总表'!C$19:C$33,A6,'数据-汇总表'!K$19:K$33),SUMIF('数据-汇总表'!C$19:C$33,A6,'数据-汇总表'!N$19:N$33))</f>
        <v>0</v>
      </c>
      <c r="T6" s="1443">
        <f>ROUND($L$14*S6/10000,0)</f>
        <v>0</v>
      </c>
      <c r="U6" s="78"/>
      <c r="V6" s="79"/>
      <c r="W6" s="79"/>
      <c r="X6" s="1262"/>
      <c r="Y6" s="80"/>
      <c r="Z6" s="81"/>
      <c r="AA6" s="74"/>
      <c r="AB6" s="74"/>
      <c r="AC6" s="1262"/>
      <c r="AD6" s="82"/>
      <c r="AE6" s="1263">
        <f ca="1">IF(AN6="",0,SUMIF(INDIRECT("'"&amp;AN6&amp;"'"&amp;"!E:E"),$AE$5,INDIRECT("'"&amp;AN6&amp;"'"&amp;"!F:F")))</f>
        <v>0</v>
      </c>
      <c r="AF6" s="1804"/>
      <c r="AG6" s="147">
        <f>IF(AF6="",0,AE6-AF6)</f>
        <v>0</v>
      </c>
      <c r="AH6" s="83"/>
      <c r="AI6" s="85"/>
      <c r="AJ6" s="86"/>
      <c r="AK6" s="87"/>
      <c r="AL6" s="88"/>
      <c r="AM6" s="89"/>
      <c r="AN6" s="2310" t="s">
        <v>3061</v>
      </c>
      <c r="AO6" s="55">
        <f ca="1">SUMIF(INDIRECT("'"&amp;AN6&amp;"'"&amp;"!A:A"),"总价",INDIRECT("'"&amp;AN6&amp;"'"&amp;"!B:B"))</f>
        <v>4</v>
      </c>
      <c r="AP6" s="2311">
        <f>IF(C6="住宅",K6*L6,0)</f>
        <v>5000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0">IF(A7=0,"","经营性")</f>
        <v/>
      </c>
      <c r="C7" s="2309"/>
      <c r="D7" s="1052">
        <f>SUMIF(项目基本情况!D$12:I$12,C7,项目基本情况!D$14:I$14)</f>
        <v>0</v>
      </c>
      <c r="E7" s="1049"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800"/>
      <c r="I7" s="800"/>
      <c r="J7" s="74"/>
      <c r="K7" s="1252">
        <f>SUMIF('数据-汇总表'!C$19:C$33,A7,'数据-汇总表'!E$19:E$33)</f>
        <v>0</v>
      </c>
      <c r="L7" s="801"/>
      <c r="M7" s="75">
        <f t="shared" ref="M7:M14" si="2">ROUND(K7*L7/10000,0)</f>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0"/>
        <v/>
      </c>
      <c r="C8" s="2309"/>
      <c r="D8" s="1052">
        <f>SUMIF(项目基本情况!D$12:I$12,C8,项目基本情况!D$14:I$14)</f>
        <v>0</v>
      </c>
      <c r="E8" s="1049" t="str">
        <f>IF(B8="","",SUMIF(项目基本情况!D$12:I$12,C8,项目基本情况!D$13:I$13))</f>
        <v/>
      </c>
      <c r="F8" s="72">
        <f>SUMIF(项目基本情况!D$12:I$12,C8,项目基本情况!D$15:I$15)</f>
        <v>0</v>
      </c>
      <c r="G8" s="73">
        <f t="shared" si="1"/>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2"/>
      <c r="Y8" s="805"/>
      <c r="Z8" s="81"/>
      <c r="AA8" s="74"/>
      <c r="AB8" s="74"/>
      <c r="AC8" s="1262"/>
      <c r="AD8" s="82"/>
      <c r="AE8" s="1263">
        <f t="shared" ca="1" si="6"/>
        <v>0</v>
      </c>
      <c r="AF8" s="1804"/>
      <c r="AG8" s="147">
        <f t="shared" si="7"/>
        <v>0</v>
      </c>
      <c r="AH8" s="806"/>
      <c r="AI8" s="85"/>
      <c r="AJ8" s="86"/>
      <c r="AK8" s="807"/>
      <c r="AL8" s="808"/>
      <c r="AM8" s="809"/>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0"/>
        <v/>
      </c>
      <c r="C9" s="2309"/>
      <c r="D9" s="1052">
        <f>SUMIF(项目基本情况!D$12:I$12,C9,项目基本情况!D$14:I$14)</f>
        <v>0</v>
      </c>
      <c r="E9" s="1049" t="str">
        <f>IF(B9="","",SUMIF(项目基本情况!D$12:I$12,C9,项目基本情况!D$13:I$13))</f>
        <v/>
      </c>
      <c r="F9" s="72">
        <f>SUMIF(项目基本情况!D$12:I$12,C9,项目基本情况!D$15:I$15)</f>
        <v>0</v>
      </c>
      <c r="G9" s="73">
        <f t="shared" si="1"/>
        <v>0</v>
      </c>
      <c r="H9" s="74"/>
      <c r="I9" s="74"/>
      <c r="J9" s="74"/>
      <c r="K9" s="1252">
        <f>SUMIF('数据-汇总表'!C$19:C$33,A9,'数据-汇总表'!E$19:E$33)</f>
        <v>0</v>
      </c>
      <c r="L9" s="801"/>
      <c r="M9" s="75">
        <f t="shared" si="2"/>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0"/>
        <v/>
      </c>
      <c r="C10" s="2309"/>
      <c r="D10" s="1052">
        <f>SUMIF(项目基本情况!D$12:I$12,C10,项目基本情况!D$14:I$14)</f>
        <v>0</v>
      </c>
      <c r="E10" s="1049" t="str">
        <f>IF(B10="","",SUMIF(项目基本情况!D$12:I$12,C10,项目基本情况!D$13:I$13))</f>
        <v/>
      </c>
      <c r="F10" s="72">
        <f>SUMIF(项目基本情况!D$12:I$12,C10,项目基本情况!D$15:I$15)</f>
        <v>0</v>
      </c>
      <c r="G10" s="73">
        <f t="shared" si="1"/>
        <v>0</v>
      </c>
      <c r="H10" s="74"/>
      <c r="I10" s="74"/>
      <c r="J10" s="74"/>
      <c r="K10" s="1252">
        <f>SUMIF('数据-汇总表'!C$19:C$33,A10,'数据-汇总表'!E$19:E$33)</f>
        <v>0</v>
      </c>
      <c r="L10" s="801"/>
      <c r="M10" s="75">
        <f t="shared" si="2"/>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0"/>
        <v/>
      </c>
      <c r="C11" s="2309"/>
      <c r="D11" s="1052">
        <f>SUMIF(项目基本情况!D$12:I$12,C11,项目基本情况!D$14:I$14)</f>
        <v>0</v>
      </c>
      <c r="E11" s="1049" t="str">
        <f>IF(B11="","",SUMIF(项目基本情况!D$12:I$12,C11,项目基本情况!D$13:I$13))</f>
        <v/>
      </c>
      <c r="F11" s="72">
        <f>SUMIF(项目基本情况!D$12:I$12,C11,项目基本情况!D$15:I$15)</f>
        <v>0</v>
      </c>
      <c r="G11" s="73">
        <f t="shared" si="1"/>
        <v>0</v>
      </c>
      <c r="H11" s="74"/>
      <c r="I11" s="74"/>
      <c r="J11" s="74"/>
      <c r="K11" s="125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0"/>
        <v/>
      </c>
      <c r="C12" s="2309"/>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0"/>
        <v/>
      </c>
      <c r="C13" s="2309"/>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2014</v>
      </c>
      <c r="B14" s="2308" t="s">
        <v>2015</v>
      </c>
      <c r="C14" s="2313" t="s">
        <v>2014</v>
      </c>
      <c r="D14" s="1052"/>
      <c r="E14" s="1049"/>
      <c r="F14" s="72"/>
      <c r="G14" s="73"/>
      <c r="H14" s="1251"/>
      <c r="I14" s="1251"/>
      <c r="J14" s="1251"/>
      <c r="K14" s="1252">
        <f>SUMIF('数据-汇总表'!C$19:C$33,A14,'数据-汇总表'!E$19:E$33)</f>
        <v>0</v>
      </c>
      <c r="L14" s="91"/>
      <c r="M14" s="75">
        <f t="shared" si="2"/>
        <v>0</v>
      </c>
      <c r="N14" s="92"/>
      <c r="O14" s="75" t="str">
        <f t="shared" si="3"/>
        <v>——</v>
      </c>
      <c r="P14" s="76" t="str">
        <f t="shared" si="4"/>
        <v>——</v>
      </c>
      <c r="Q14" s="1255"/>
      <c r="R14" s="77"/>
      <c r="S14" s="54"/>
      <c r="T14" s="1443"/>
      <c r="U14" s="721"/>
      <c r="V14" s="1257"/>
      <c r="W14" s="1257"/>
      <c r="X14" s="1258"/>
      <c r="Y14" s="1259"/>
      <c r="Z14" s="1260"/>
      <c r="AA14" s="1261"/>
      <c r="AB14" s="1261"/>
      <c r="AC14" s="1262"/>
      <c r="AD14" s="1258"/>
      <c r="AE14" s="1263"/>
      <c r="AF14" s="55"/>
      <c r="AG14" s="147"/>
      <c r="AH14" s="1263"/>
      <c r="AI14" s="1815"/>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2016</v>
      </c>
      <c r="B15" s="2308" t="s">
        <v>2015</v>
      </c>
      <c r="C15" s="2313" t="s">
        <v>2017</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1"/>
      <c r="V15" s="1257"/>
      <c r="W15" s="1257"/>
      <c r="X15" s="1258"/>
      <c r="Y15" s="1259"/>
      <c r="Z15" s="1260"/>
      <c r="AA15" s="1261"/>
      <c r="AB15" s="1261"/>
      <c r="AC15" s="1262"/>
      <c r="AD15" s="1258"/>
      <c r="AE15" s="1263"/>
      <c r="AF15" s="55"/>
      <c r="AG15" s="147"/>
      <c r="AH15" s="1263"/>
      <c r="AI15" s="1815"/>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2018</v>
      </c>
      <c r="B16" s="97"/>
      <c r="C16" s="1006"/>
      <c r="D16" s="2315"/>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0.08</v>
      </c>
      <c r="R16" s="1256">
        <f ca="1">SUM(R6:R13)</f>
        <v>0.44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2020</v>
      </c>
      <c r="B19" s="112">
        <v>0</v>
      </c>
      <c r="C19" s="2278" t="s">
        <v>2021</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2022</v>
      </c>
      <c r="B20" s="113">
        <v>2</v>
      </c>
      <c r="C20" s="2278" t="s">
        <v>2023</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2024</v>
      </c>
      <c r="B21" s="113">
        <v>2</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2025</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2026</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2027</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2028</v>
      </c>
      <c r="B26" s="2321" t="s">
        <v>2029</v>
      </c>
      <c r="C26" s="2322" t="s">
        <v>2030</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2031</v>
      </c>
      <c r="B27" s="116">
        <v>160</v>
      </c>
      <c r="C27" s="1764" t="s">
        <v>2032</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2033</v>
      </c>
      <c r="B28" s="119"/>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2034</v>
      </c>
      <c r="B29" s="121"/>
      <c r="C29" s="1764" t="s">
        <v>2035</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2036</v>
      </c>
      <c r="B30" s="722"/>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2037</v>
      </c>
      <c r="B31" s="120">
        <f>B30-B32</f>
        <v>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2038</v>
      </c>
      <c r="B32" s="723"/>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2039</v>
      </c>
      <c r="B33" s="724">
        <v>0.03</v>
      </c>
      <c r="C33" s="1763" t="s">
        <v>2040</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2041</v>
      </c>
      <c r="B34" s="122">
        <v>0.1</v>
      </c>
      <c r="C34" s="1763" t="s">
        <v>2042</v>
      </c>
      <c r="D34" s="2279" t="s">
        <v>2043</v>
      </c>
      <c r="E34" s="730"/>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2044</v>
      </c>
      <c r="B35" s="119">
        <v>200</v>
      </c>
      <c r="C35" s="1763" t="s">
        <v>2045</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2046</v>
      </c>
      <c r="B36" s="123">
        <v>1.4999999999999999E-2</v>
      </c>
      <c r="C36" s="1763" t="s">
        <v>2047</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2048</v>
      </c>
      <c r="B37" s="124">
        <v>0.02</v>
      </c>
      <c r="C37" s="1763" t="s">
        <v>2049</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2050</v>
      </c>
      <c r="B38" s="122">
        <v>0.01</v>
      </c>
      <c r="C38" s="1763" t="s">
        <v>2049</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2051</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2052</v>
      </c>
      <c r="B40" s="1301">
        <f ca="1">存贷款利率!G1</f>
        <v>4.7500000000000001E-2</v>
      </c>
      <c r="C40" s="1763" t="s">
        <v>2053</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2054</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2055</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2056</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2057</v>
      </c>
      <c r="B44" s="128">
        <v>7.0000000000000007E-2</v>
      </c>
      <c r="C44" s="1763" t="s">
        <v>2058</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2059</v>
      </c>
      <c r="B45" s="126">
        <v>0.03</v>
      </c>
      <c r="C45" s="1764" t="s">
        <v>2060</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2061</v>
      </c>
      <c r="B46" s="126">
        <v>0.02</v>
      </c>
      <c r="C46" s="1764" t="s">
        <v>2062</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2063</v>
      </c>
      <c r="B47" s="129"/>
      <c r="C47" s="1764" t="s">
        <v>2064</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2065</v>
      </c>
      <c r="B48" s="130">
        <v>0.03</v>
      </c>
      <c r="C48" s="1771" t="s">
        <v>2066</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2067</v>
      </c>
      <c r="B49" s="126">
        <v>5.0000000000000001E-4</v>
      </c>
      <c r="C49" s="1771" t="s">
        <v>2068</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2069</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2070</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2071</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2072</v>
      </c>
      <c r="B53" s="2337" t="s">
        <v>56</v>
      </c>
      <c r="C53" s="1427" t="s">
        <v>2073</v>
      </c>
      <c r="D53" s="2338" t="s">
        <v>2074</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2075</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2076</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2077</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2078</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2079</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2080</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2081</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2082</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2083</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2084</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132" t="s">
        <v>2085</v>
      </c>
      <c r="B1" s="3133"/>
      <c r="C1" s="3133"/>
      <c r="D1" s="3133"/>
      <c r="E1" s="3133"/>
      <c r="F1" s="3133"/>
      <c r="G1" s="313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67.5">
      <c r="A3" s="415" t="s">
        <v>2088</v>
      </c>
      <c r="B3" s="1269" t="s">
        <v>2089</v>
      </c>
      <c r="C3" s="2948" t="s">
        <v>3156</v>
      </c>
      <c r="D3" s="2371"/>
      <c r="E3" s="431" t="s">
        <v>2088</v>
      </c>
      <c r="F3" s="2372" t="s">
        <v>2090</v>
      </c>
      <c r="G3" s="2373" t="s">
        <v>2091</v>
      </c>
      <c r="H3" s="2369"/>
      <c r="I3" s="2369"/>
      <c r="J3" s="2369"/>
      <c r="K3" s="2369"/>
      <c r="L3" s="2369"/>
      <c r="M3" s="2369"/>
      <c r="N3" s="2369"/>
      <c r="O3" s="2369"/>
      <c r="P3" s="2369"/>
      <c r="Q3" s="2369"/>
      <c r="R3" s="2369"/>
    </row>
    <row r="4" spans="1:29" ht="40.5">
      <c r="A4" s="431"/>
      <c r="B4" s="1795" t="s">
        <v>2092</v>
      </c>
      <c r="C4" s="2374"/>
      <c r="D4" s="2371"/>
      <c r="E4" s="2375"/>
      <c r="F4" s="42" t="s">
        <v>2093</v>
      </c>
      <c r="G4" s="2376" t="s">
        <v>2094</v>
      </c>
      <c r="H4" s="2369"/>
      <c r="I4" s="2369"/>
      <c r="J4" s="2369"/>
      <c r="K4" s="2369"/>
      <c r="L4" s="2369"/>
      <c r="M4" s="2369"/>
      <c r="N4" s="2369"/>
      <c r="O4" s="2369"/>
      <c r="P4" s="2369"/>
      <c r="Q4" s="2369"/>
      <c r="R4" s="2369"/>
    </row>
    <row r="5" spans="1:29" ht="27">
      <c r="A5" s="431"/>
      <c r="B5" s="1795" t="s">
        <v>2095</v>
      </c>
      <c r="C5" s="2374"/>
      <c r="D5" s="2371"/>
      <c r="E5" s="2375"/>
      <c r="F5" s="1795" t="s">
        <v>2096</v>
      </c>
      <c r="G5" s="2376" t="s">
        <v>2097</v>
      </c>
      <c r="H5" s="2369"/>
      <c r="I5" s="2369"/>
      <c r="J5" s="2369"/>
      <c r="K5" s="2369"/>
      <c r="L5" s="2369"/>
      <c r="M5" s="2369"/>
      <c r="N5" s="2369"/>
      <c r="O5" s="2369"/>
      <c r="P5" s="2369"/>
      <c r="Q5" s="2369"/>
      <c r="R5" s="2369"/>
    </row>
    <row r="6" spans="1:29" ht="81">
      <c r="A6" s="431"/>
      <c r="B6" s="1795" t="s">
        <v>2098</v>
      </c>
      <c r="C6" s="2949" t="s">
        <v>3252</v>
      </c>
      <c r="D6" s="2371"/>
      <c r="E6" s="2375"/>
      <c r="F6" s="1795" t="s">
        <v>2099</v>
      </c>
      <c r="G6" s="2376" t="s">
        <v>2100</v>
      </c>
      <c r="H6" s="2369"/>
      <c r="I6" s="2369"/>
      <c r="J6" s="2369"/>
      <c r="K6" s="2369"/>
      <c r="L6" s="2369"/>
      <c r="M6" s="2369"/>
      <c r="N6" s="2369"/>
      <c r="O6" s="2369"/>
      <c r="P6" s="2369"/>
      <c r="Q6" s="2369"/>
      <c r="R6" s="2369"/>
    </row>
    <row r="7" spans="1:29" ht="81.75" thickBot="1">
      <c r="A7" s="431"/>
      <c r="B7" s="1795" t="s">
        <v>2096</v>
      </c>
      <c r="C7" s="2949" t="s">
        <v>3253</v>
      </c>
      <c r="D7" s="2377"/>
      <c r="E7" s="2378"/>
      <c r="F7" s="2379" t="s">
        <v>2101</v>
      </c>
      <c r="G7" s="2380" t="s">
        <v>2102</v>
      </c>
      <c r="H7" s="2369"/>
      <c r="I7" s="2369"/>
      <c r="J7" s="2369"/>
      <c r="K7" s="2369"/>
      <c r="L7" s="2369"/>
      <c r="M7" s="2369"/>
      <c r="N7" s="2369"/>
      <c r="O7" s="2369"/>
      <c r="P7" s="2369"/>
      <c r="Q7" s="2369"/>
      <c r="R7" s="2369"/>
    </row>
    <row r="8" spans="1:29" ht="27">
      <c r="A8" s="431"/>
      <c r="B8" s="1795" t="s">
        <v>2099</v>
      </c>
      <c r="C8" s="2949" t="s">
        <v>3254</v>
      </c>
      <c r="D8" s="2377"/>
      <c r="E8" s="2377"/>
      <c r="F8" s="1134"/>
      <c r="G8" s="1134"/>
      <c r="H8" s="2369"/>
      <c r="I8" s="2369"/>
      <c r="J8" s="2369"/>
      <c r="K8" s="2369"/>
      <c r="L8" s="2369"/>
      <c r="M8" s="2369"/>
      <c r="N8" s="2369"/>
      <c r="O8" s="2369"/>
      <c r="P8" s="2369"/>
      <c r="Q8" s="2369"/>
      <c r="R8" s="2369"/>
    </row>
    <row r="9" spans="1:29" ht="67.5">
      <c r="A9" s="431"/>
      <c r="B9" s="1795" t="s">
        <v>2103</v>
      </c>
      <c r="C9" s="2950" t="s">
        <v>3249</v>
      </c>
      <c r="D9" s="2371"/>
      <c r="E9" s="2377"/>
      <c r="F9" s="1134"/>
      <c r="G9" s="1134"/>
      <c r="H9" s="2369"/>
      <c r="I9" s="2369"/>
      <c r="J9" s="2369"/>
      <c r="K9" s="2369"/>
      <c r="L9" s="2369"/>
      <c r="M9" s="2369"/>
      <c r="N9" s="2369"/>
      <c r="O9" s="2369"/>
      <c r="P9" s="2369"/>
      <c r="Q9" s="2369"/>
      <c r="R9" s="2369"/>
    </row>
    <row r="10" spans="1:29" s="117" customFormat="1" ht="15.75" thickBot="1">
      <c r="A10" s="2381"/>
      <c r="B10" s="2382" t="s">
        <v>2104</v>
      </c>
      <c r="C10" s="3039" t="s">
        <v>3256</v>
      </c>
      <c r="D10" s="2371"/>
      <c r="E10" s="2371"/>
      <c r="F10" s="1134"/>
      <c r="G10" s="1134"/>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1"/>
      <c r="D11" s="2371"/>
      <c r="E11" s="2371"/>
      <c r="F11" s="2377"/>
      <c r="G11" s="1152"/>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1"/>
      <c r="D12" s="2387"/>
      <c r="E12" s="2371"/>
      <c r="F12" s="2377"/>
      <c r="G12" s="1152"/>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2105</v>
      </c>
      <c r="B13" s="2387"/>
      <c r="C13" s="2387"/>
      <c r="D13" s="2394"/>
      <c r="E13" s="2387"/>
      <c r="F13" s="2387"/>
      <c r="G13" s="2387"/>
    </row>
    <row r="14" spans="1:29" ht="15.75" thickBot="1">
      <c r="A14" s="2398"/>
      <c r="B14" s="2399"/>
      <c r="C14" s="2400" t="s">
        <v>2106</v>
      </c>
      <c r="D14" s="2371"/>
      <c r="E14" s="2401"/>
      <c r="F14" s="2401"/>
      <c r="G14" s="2366" t="s">
        <v>2107</v>
      </c>
    </row>
    <row r="15" spans="1:29" ht="71.25">
      <c r="A15" s="68" t="s">
        <v>2108</v>
      </c>
      <c r="B15" s="1268" t="s">
        <v>2089</v>
      </c>
      <c r="C15" s="2402" t="str">
        <f>C3</f>
        <v>估价对象周边惠泽家园、龙门新区、滨河楼等小区、居住小区规模较大，入住率较高，综合评价居住社区成熟度较好</v>
      </c>
      <c r="D15" s="2371"/>
      <c r="E15" s="2403" t="s">
        <v>2109</v>
      </c>
      <c r="F15" s="1268" t="s">
        <v>2110</v>
      </c>
      <c r="G15" s="135" t="str">
        <f>G3</f>
        <v>估价对象位于XX开发区，园区建设成熟度XX，产业集聚程度XX</v>
      </c>
    </row>
    <row r="16" spans="1:29" ht="42.75">
      <c r="A16" s="643"/>
      <c r="B16" s="2404" t="s">
        <v>2092</v>
      </c>
      <c r="C16" s="2405">
        <f>C4</f>
        <v>0</v>
      </c>
      <c r="D16" s="2371"/>
      <c r="E16" s="2406"/>
      <c r="F16" s="2407" t="s">
        <v>2093</v>
      </c>
      <c r="G16" s="136" t="str">
        <f>G4</f>
        <v>估价对象周边道路状况、公共交通通达情况、停车便捷程度，综合评价交通便捷度较好</v>
      </c>
    </row>
    <row r="17" spans="1:18" ht="15">
      <c r="A17" s="643"/>
      <c r="B17" s="2404" t="s">
        <v>2095</v>
      </c>
      <c r="C17" s="2405">
        <f>C5</f>
        <v>0</v>
      </c>
      <c r="D17" s="2377"/>
      <c r="E17" s="2406"/>
      <c r="F17" s="2407" t="s">
        <v>2111</v>
      </c>
      <c r="G17" s="1569"/>
    </row>
    <row r="18" spans="1:18" ht="85.5">
      <c r="A18" s="643"/>
      <c r="B18" s="2407" t="s">
        <v>2098</v>
      </c>
      <c r="C18" s="136" t="str">
        <f>C6</f>
        <v>估价对象紧邻城市支路-门头沟路、附近有公交车站西辛房站，停靠线路有370、960、992、M25等，附近5公里范围内无轨道交通站点，综合评价交通便捷度较好。</v>
      </c>
      <c r="D18" s="2377"/>
      <c r="E18" s="2406"/>
      <c r="F18" s="2407" t="s">
        <v>2101</v>
      </c>
      <c r="G18" s="136" t="str">
        <f>G7</f>
        <v>该园区内是否有污染型企业，绿化情况，卫生条件，整体环境状况判断</v>
      </c>
    </row>
    <row r="19" spans="1:18" ht="28.5">
      <c r="A19" s="643"/>
      <c r="B19" s="2407" t="s">
        <v>2112</v>
      </c>
      <c r="C19" s="1569"/>
      <c r="D19" s="2371"/>
      <c r="E19" s="2406"/>
      <c r="F19" s="1795" t="s">
        <v>2096</v>
      </c>
      <c r="G19" s="136" t="str">
        <f>G5</f>
        <v>估价对象所在区域公共配套设施齐备情况</v>
      </c>
    </row>
    <row r="20" spans="1:18" ht="71.25">
      <c r="A20" s="643"/>
      <c r="B20" s="2407" t="s">
        <v>2113</v>
      </c>
      <c r="C20" s="2405" t="str">
        <f>C9</f>
        <v>估价对象临黑河沟及其绿化带；周边2公里范围内有门头沟博物馆等人文设施；综合评价环境状况较好。加油站？</v>
      </c>
      <c r="D20" s="2377"/>
      <c r="E20" s="2406"/>
      <c r="F20" s="1795" t="s">
        <v>2114</v>
      </c>
      <c r="G20" s="136" t="str">
        <f>G6</f>
        <v>估价对象所在区域基础设施水平</v>
      </c>
    </row>
    <row r="21" spans="1:18" ht="85.5">
      <c r="A21" s="643"/>
      <c r="B21" s="1795" t="s">
        <v>2096</v>
      </c>
      <c r="C21" s="136" t="str">
        <f>C7</f>
        <v>估价对象所在区域有东辛房小学、龙泉医院、京煤公司总医院门矿医院东辛房卫生服务站、邮政储蓄银行、农商银行等，公共配套设施状况较好</v>
      </c>
      <c r="D21" s="2371"/>
      <c r="E21" s="2406"/>
      <c r="F21" s="2407" t="s">
        <v>2115</v>
      </c>
      <c r="G21" s="2408"/>
    </row>
    <row r="22" spans="1:18" ht="13.5" customHeight="1">
      <c r="A22" s="643"/>
      <c r="B22" s="1795" t="s">
        <v>2099</v>
      </c>
      <c r="C22" s="136" t="str">
        <f>C8</f>
        <v>估价对象所在区域基础设施水平为七通一平</v>
      </c>
      <c r="D22" s="2371"/>
      <c r="E22" s="2406"/>
      <c r="F22" s="2407" t="s">
        <v>2104</v>
      </c>
      <c r="G22" s="1569"/>
    </row>
    <row r="23" spans="1:18" s="2369" customFormat="1" ht="15.75" thickBot="1">
      <c r="A23" s="643"/>
      <c r="B23" s="2407" t="s">
        <v>2115</v>
      </c>
      <c r="C23" s="2408"/>
      <c r="D23" s="2395"/>
      <c r="E23" s="2409"/>
      <c r="F23" s="2410" t="s">
        <v>2116</v>
      </c>
      <c r="G23" s="2411"/>
      <c r="H23" s="2395"/>
      <c r="I23" s="2396"/>
      <c r="J23" s="2395"/>
      <c r="K23" s="2395"/>
      <c r="L23" s="2396"/>
      <c r="M23" s="2395"/>
      <c r="N23" s="2395"/>
      <c r="O23" s="2396"/>
      <c r="P23" s="2395"/>
      <c r="Q23" s="2395"/>
      <c r="R23" s="2397"/>
    </row>
    <row r="24" spans="1:18" s="2369" customFormat="1" ht="15.75" thickBot="1">
      <c r="A24" s="2412"/>
      <c r="B24" s="2410" t="s">
        <v>2117</v>
      </c>
      <c r="C24" s="137" t="str">
        <f>C10</f>
        <v>紧邻城市次干道-建材城中路</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 sqref="B2"/>
    </sheetView>
  </sheetViews>
  <sheetFormatPr defaultRowHeight="13.5"/>
  <cols>
    <col min="1" max="1" width="23.375" style="1738" customWidth="1"/>
    <col min="2" max="9" width="15.75" style="1738" customWidth="1"/>
    <col min="10" max="16384" width="9" style="1738"/>
  </cols>
  <sheetData>
    <row r="1" spans="1:10" ht="16.5">
      <c r="A1" s="1743" t="s">
        <v>1365</v>
      </c>
      <c r="B1" s="1743">
        <v>10000</v>
      </c>
      <c r="C1" s="1742"/>
      <c r="D1" s="1742"/>
      <c r="E1" s="1742"/>
      <c r="F1" s="1742"/>
      <c r="G1" s="1740"/>
    </row>
    <row r="2" spans="1:10" ht="16.5">
      <c r="A2" s="1743" t="s">
        <v>1353</v>
      </c>
      <c r="B2" s="1743">
        <f>面积汇总!D14*10000</f>
        <v>101500</v>
      </c>
      <c r="C2" s="1742"/>
      <c r="D2" s="1742"/>
      <c r="E2" s="1742"/>
      <c r="F2" s="1742"/>
      <c r="G2" s="1740"/>
    </row>
    <row r="3" spans="1:10" ht="16.5">
      <c r="A3" s="1743" t="s">
        <v>1362</v>
      </c>
      <c r="B3" s="1744">
        <f>项目基本情况!D3</f>
        <v>43397</v>
      </c>
      <c r="C3" s="1742"/>
      <c r="D3" s="1742"/>
      <c r="E3" s="1742"/>
      <c r="F3" s="1742"/>
      <c r="G3" s="1740"/>
    </row>
    <row r="4" spans="1:10" ht="33">
      <c r="A4" s="1743" t="s">
        <v>1361</v>
      </c>
      <c r="B4" s="1743" t="s">
        <v>1360</v>
      </c>
      <c r="C4" s="1743" t="s">
        <v>1359</v>
      </c>
      <c r="D4" s="1743" t="s">
        <v>1358</v>
      </c>
      <c r="E4" s="1742"/>
      <c r="F4" s="1740"/>
      <c r="G4" s="1740"/>
    </row>
    <row r="5" spans="1:10" ht="16.5">
      <c r="A5" s="1743" t="s">
        <v>1357</v>
      </c>
      <c r="B5" s="2963">
        <f ca="1">SUM(D14:D23)</f>
        <v>40635</v>
      </c>
      <c r="C5" s="1743">
        <f ca="1">ROUND(B5*10000/$B$1,0)</f>
        <v>40635</v>
      </c>
      <c r="D5" s="1743">
        <f ca="1">ROUND(B5*10000/$B$2,0)</f>
        <v>4003</v>
      </c>
      <c r="E5" s="1742"/>
      <c r="F5" s="1740"/>
      <c r="G5" s="1740"/>
    </row>
    <row r="6" spans="1:10" ht="16.5">
      <c r="A6" s="1743" t="s">
        <v>1356</v>
      </c>
      <c r="B6" s="1743" t="e">
        <f ca="1">SUM(G14:G23)</f>
        <v>#REF!</v>
      </c>
      <c r="C6" s="1743" t="e">
        <f ca="1">ROUND(B6*10000/$B$1,0)</f>
        <v>#REF!</v>
      </c>
      <c r="D6" s="1743" t="e">
        <f ca="1">ROUND(B6*10000/$B$2,0)</f>
        <v>#REF!</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B1</f>
        <v>10000</v>
      </c>
      <c r="C14" s="1741">
        <f>B2</f>
        <v>101500</v>
      </c>
      <c r="D14" s="2962">
        <f ca="1">E14*B14/10000</f>
        <v>40635</v>
      </c>
      <c r="E14" s="1741">
        <f ca="1">结果表!G20</f>
        <v>40635</v>
      </c>
      <c r="F14" s="1741">
        <f ca="1">ROUND(D14*10000/C14,0)</f>
        <v>4003</v>
      </c>
      <c r="G14" s="1741" t="e">
        <f ca="1">结果表!D122</f>
        <v>#REF!</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8" sqref="C8:C9"/>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6" t="s">
        <v>2118</v>
      </c>
      <c r="B1" s="2418"/>
      <c r="C1" s="2419" t="s">
        <v>3048</v>
      </c>
      <c r="D1" s="2418"/>
      <c r="E1" s="2418"/>
      <c r="F1" s="2420" t="s">
        <v>2119</v>
      </c>
      <c r="G1" s="2071" t="s">
        <v>3060</v>
      </c>
      <c r="H1" s="2421" t="str">
        <f>IF(G1="现房","——","估价对象范围")</f>
        <v>——</v>
      </c>
      <c r="I1" s="2422" t="s">
        <v>3143</v>
      </c>
    </row>
    <row r="2" spans="1:12" ht="21.75" customHeight="1" thickBot="1">
      <c r="A2" s="3206" t="str">
        <f>项目基本情况!S2</f>
        <v>北京市房地产</v>
      </c>
      <c r="B2" s="3207"/>
      <c r="C2" s="3207"/>
      <c r="D2" s="3207"/>
      <c r="E2" s="3207"/>
      <c r="F2" s="3207"/>
      <c r="G2" s="3207"/>
      <c r="H2" s="3207"/>
      <c r="I2" s="3208"/>
    </row>
    <row r="3" spans="1:12" ht="12.75">
      <c r="A3" s="3209" t="s">
        <v>2120</v>
      </c>
      <c r="B3" s="3210"/>
      <c r="C3" s="3210"/>
      <c r="D3" s="3210"/>
      <c r="E3" s="3210"/>
      <c r="F3" s="3210"/>
      <c r="G3" s="3210"/>
      <c r="H3" s="3210"/>
      <c r="I3" s="3210"/>
    </row>
    <row r="4" spans="1:12" ht="14.25">
      <c r="A4" s="2425" t="s">
        <v>2121</v>
      </c>
      <c r="B4" s="2426" t="s">
        <v>2122</v>
      </c>
      <c r="C4" s="2427" t="s">
        <v>3061</v>
      </c>
      <c r="D4" s="2427" t="s">
        <v>3142</v>
      </c>
      <c r="E4" s="3190" t="s">
        <v>2123</v>
      </c>
      <c r="F4" s="3203"/>
      <c r="G4" s="3203"/>
      <c r="H4" s="3203"/>
      <c r="I4" s="3191"/>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181" t="s">
        <v>2124</v>
      </c>
      <c r="B5" s="3107">
        <v>25</v>
      </c>
      <c r="C5" s="3211">
        <v>7</v>
      </c>
      <c r="D5" s="3199">
        <f>10-C5</f>
        <v>3</v>
      </c>
      <c r="E5" s="140" t="s">
        <v>2125</v>
      </c>
      <c r="F5" s="2429"/>
      <c r="G5" s="2429"/>
      <c r="H5" s="2429"/>
      <c r="I5" s="1831"/>
    </row>
    <row r="6" spans="1:12" ht="12.75">
      <c r="A6" s="3181"/>
      <c r="B6" s="3107"/>
      <c r="C6" s="3213"/>
      <c r="D6" s="3199"/>
      <c r="E6" s="140" t="s">
        <v>2126</v>
      </c>
      <c r="F6" s="2429"/>
      <c r="G6" s="2429"/>
      <c r="H6" s="2429"/>
      <c r="I6" s="1831"/>
    </row>
    <row r="7" spans="1:12" ht="12.75">
      <c r="A7" s="3181"/>
      <c r="B7" s="3107"/>
      <c r="C7" s="3212"/>
      <c r="D7" s="3199"/>
      <c r="E7" s="140" t="s">
        <v>2127</v>
      </c>
      <c r="F7" s="2429"/>
      <c r="G7" s="2429"/>
      <c r="H7" s="2429"/>
      <c r="I7" s="1831"/>
    </row>
    <row r="8" spans="1:12" ht="12.75">
      <c r="A8" s="3181" t="s">
        <v>2128</v>
      </c>
      <c r="B8" s="3107">
        <v>15</v>
      </c>
      <c r="C8" s="3211"/>
      <c r="D8" s="3199"/>
      <c r="E8" s="140" t="s">
        <v>2129</v>
      </c>
      <c r="F8" s="2429"/>
      <c r="G8" s="2429"/>
      <c r="H8" s="2429"/>
      <c r="I8" s="1831"/>
    </row>
    <row r="9" spans="1:12" ht="12.75">
      <c r="A9" s="3181"/>
      <c r="B9" s="3107"/>
      <c r="C9" s="3212"/>
      <c r="D9" s="3199"/>
      <c r="E9" s="140" t="s">
        <v>2130</v>
      </c>
      <c r="F9" s="2429"/>
      <c r="G9" s="2429"/>
      <c r="H9" s="2429"/>
      <c r="I9" s="1831"/>
    </row>
    <row r="10" spans="1:12" ht="12.75">
      <c r="A10" s="3181" t="s">
        <v>2131</v>
      </c>
      <c r="B10" s="3107">
        <v>15</v>
      </c>
      <c r="C10" s="3211"/>
      <c r="D10" s="3199"/>
      <c r="E10" s="140" t="s">
        <v>2132</v>
      </c>
      <c r="F10" s="2429"/>
      <c r="G10" s="2429"/>
      <c r="H10" s="2429"/>
      <c r="I10" s="1831"/>
    </row>
    <row r="11" spans="1:12" ht="12.75">
      <c r="A11" s="3181"/>
      <c r="B11" s="3107"/>
      <c r="C11" s="3212"/>
      <c r="D11" s="3199"/>
      <c r="E11" s="140" t="s">
        <v>2133</v>
      </c>
      <c r="F11" s="2429"/>
      <c r="G11" s="2429"/>
      <c r="H11" s="2429"/>
      <c r="I11" s="1831"/>
    </row>
    <row r="12" spans="1:12" ht="12.75">
      <c r="A12" s="3181" t="s">
        <v>2134</v>
      </c>
      <c r="B12" s="3107">
        <v>15</v>
      </c>
      <c r="C12" s="3211"/>
      <c r="D12" s="3199"/>
      <c r="E12" s="140" t="s">
        <v>2135</v>
      </c>
      <c r="F12" s="2429"/>
      <c r="G12" s="2429"/>
      <c r="H12" s="2429"/>
      <c r="I12" s="1831"/>
    </row>
    <row r="13" spans="1:12" ht="12.75">
      <c r="A13" s="3181"/>
      <c r="B13" s="3107"/>
      <c r="C13" s="3212"/>
      <c r="D13" s="3199"/>
      <c r="E13" s="140" t="s">
        <v>2136</v>
      </c>
      <c r="F13" s="2429"/>
      <c r="G13" s="2429"/>
      <c r="H13" s="2429"/>
      <c r="I13" s="1831"/>
    </row>
    <row r="14" spans="1:12" ht="12.75">
      <c r="A14" s="3181" t="s">
        <v>2137</v>
      </c>
      <c r="B14" s="3107">
        <v>30</v>
      </c>
      <c r="C14" s="3211"/>
      <c r="D14" s="3199"/>
      <c r="E14" s="140" t="s">
        <v>2138</v>
      </c>
      <c r="F14" s="2429"/>
      <c r="G14" s="2429"/>
      <c r="H14" s="2429"/>
      <c r="I14" s="1831"/>
    </row>
    <row r="15" spans="1:12" ht="12.75">
      <c r="A15" s="3181"/>
      <c r="B15" s="3107"/>
      <c r="C15" s="3213"/>
      <c r="D15" s="3199"/>
      <c r="E15" s="140" t="s">
        <v>2139</v>
      </c>
      <c r="F15" s="2429"/>
      <c r="G15" s="2429"/>
      <c r="H15" s="2429"/>
      <c r="I15" s="1831"/>
    </row>
    <row r="16" spans="1:12" ht="12.75">
      <c r="A16" s="3181"/>
      <c r="B16" s="3107"/>
      <c r="C16" s="3212"/>
      <c r="D16" s="3199"/>
      <c r="E16" s="140" t="s">
        <v>2140</v>
      </c>
      <c r="F16" s="2429"/>
      <c r="G16" s="2429"/>
      <c r="H16" s="2429"/>
      <c r="I16" s="1831"/>
    </row>
    <row r="17" spans="1:35" ht="15">
      <c r="A17" s="2430" t="s">
        <v>2141</v>
      </c>
      <c r="B17" s="64"/>
      <c r="C17" s="141">
        <f>SUM(C5:C16)</f>
        <v>7</v>
      </c>
      <c r="D17" s="141">
        <f>SUM(D5:D16)</f>
        <v>3</v>
      </c>
      <c r="E17" s="138"/>
      <c r="F17" s="138"/>
      <c r="G17" s="138"/>
      <c r="H17" s="138"/>
      <c r="I17" s="138"/>
      <c r="K17" s="2428"/>
      <c r="L17" s="2431" t="s">
        <v>2142</v>
      </c>
      <c r="M17" s="2431" t="s">
        <v>2143</v>
      </c>
    </row>
    <row r="18" spans="1:35" ht="15.75" thickBot="1">
      <c r="A18" s="2432" t="s">
        <v>2144</v>
      </c>
      <c r="B18" s="2433"/>
      <c r="C18" s="142">
        <f>ROUND(C17/SUM(C17:D17),2)</f>
        <v>0.7</v>
      </c>
      <c r="D18" s="142">
        <f>1-C18</f>
        <v>0.30000000000000004</v>
      </c>
      <c r="E18" s="138"/>
      <c r="F18" s="138"/>
      <c r="G18" s="138"/>
      <c r="H18" s="138"/>
      <c r="I18" s="138"/>
      <c r="K18" s="2428" t="s">
        <v>2145</v>
      </c>
      <c r="L18" s="2428">
        <f>IF(C1="",'数据-汇总表'!E3,SUMIF(项目类型,C1,'数据-汇总表'!E17:E26)+SUMIF(项目类型,C1,'数据-汇总表'!I17:I26))</f>
        <v>1</v>
      </c>
      <c r="M18" s="2428">
        <f>IF(C1="",'数据-汇总表'!E3,SUMIF(项目类型,C1,'数据-汇总表'!E17:E26))</f>
        <v>1</v>
      </c>
    </row>
    <row r="19" spans="1:35" ht="15">
      <c r="A19" s="2434" t="s">
        <v>2146</v>
      </c>
      <c r="B19" s="2435" t="s">
        <v>2147</v>
      </c>
      <c r="C19" s="143">
        <f ca="1">SUMIF(INDIRECT("'"&amp;C4&amp;"'"&amp;"!A:A"),结果表!B19,INDIRECT("'"&amp;C4&amp;"'"&amp;"!B:B"))</f>
        <v>4</v>
      </c>
      <c r="D19" s="144" t="e">
        <f ca="1">SUMIF(INDIRECT("'"&amp;D4&amp;"'"&amp;"!A:A"),结果表!B19,INDIRECT("'"&amp;D4&amp;"'"&amp;"!B:B"))</f>
        <v>#REF!</v>
      </c>
      <c r="E19" s="2434" t="s">
        <v>2148</v>
      </c>
      <c r="F19" s="2435" t="s">
        <v>2147</v>
      </c>
      <c r="G19" s="145" t="e">
        <f ca="1">ROUND(C19*$C$18+D19*$D$18,0)</f>
        <v>#REF!</v>
      </c>
      <c r="H19" s="2436" t="s">
        <v>2149</v>
      </c>
      <c r="I19" s="138"/>
      <c r="K19" s="2428" t="s">
        <v>2150</v>
      </c>
      <c r="L19" s="2428">
        <f>IF(C1="",'数据-汇总表'!D3,SUMIF(项目类型,C1,'数据-汇总表'!D17:D26)+SUMIF(项目类型,C1,'数据-汇总表'!H17:H27))</f>
        <v>0.44</v>
      </c>
      <c r="M19" s="2428">
        <f>IF(C1="",'数据-汇总表'!D3,SUMIF(项目类型,C1,'数据-汇总表'!D17:D26))</f>
        <v>0.44</v>
      </c>
    </row>
    <row r="20" spans="1:35" ht="15">
      <c r="A20" s="2437"/>
      <c r="B20" s="1248" t="s">
        <v>2151</v>
      </c>
      <c r="C20" s="146">
        <f ca="1">'成本法 (元)'!C52</f>
        <v>43030</v>
      </c>
      <c r="D20" s="147">
        <f>'比较法-住宅'!C49</f>
        <v>35046</v>
      </c>
      <c r="E20" s="2437"/>
      <c r="F20" s="1248" t="s">
        <v>2151</v>
      </c>
      <c r="G20" s="148">
        <f ca="1">ROUND(C20*$C$18+D20*$D$18,0)</f>
        <v>40635</v>
      </c>
      <c r="H20" s="981" t="s">
        <v>2152</v>
      </c>
      <c r="I20" s="138"/>
    </row>
    <row r="21" spans="1:35" ht="15" customHeight="1" thickBot="1">
      <c r="A21" s="1001"/>
      <c r="B21" s="2438" t="s">
        <v>2153</v>
      </c>
      <c r="C21" s="787">
        <f ca="1">ROUND(C19*10000/L19,0)</f>
        <v>90909</v>
      </c>
      <c r="D21" s="788" t="e">
        <f ca="1">ROUND(D19*10000/L19,0)</f>
        <v>#REF!</v>
      </c>
      <c r="E21" s="1001"/>
      <c r="F21" s="2438" t="s">
        <v>2153</v>
      </c>
      <c r="G21" s="149" t="e">
        <f ca="1">ROUND(G19*10000/L19,0)</f>
        <v>#REF!</v>
      </c>
      <c r="H21" s="2439" t="s">
        <v>2152</v>
      </c>
      <c r="I21" s="138"/>
    </row>
    <row r="22" spans="1:35" ht="15" thickBot="1">
      <c r="A22" s="2282" t="s">
        <v>2154</v>
      </c>
      <c r="B22" s="2440"/>
      <c r="C22" s="2441"/>
      <c r="D22" s="789" t="e">
        <f ca="1">IF(C19&lt;D19,D19/C19-1,C19/D19-1)</f>
        <v>#REF!</v>
      </c>
      <c r="E22" s="138"/>
      <c r="F22" s="138"/>
      <c r="G22" s="138"/>
      <c r="H22" s="138"/>
      <c r="I22" s="138"/>
    </row>
    <row r="23" spans="1:35" ht="13.5" thickBot="1">
      <c r="A23" s="2418"/>
      <c r="B23" s="2418"/>
      <c r="C23" s="2418"/>
      <c r="D23" s="2418"/>
      <c r="E23" s="138"/>
      <c r="F23" s="138"/>
      <c r="G23" s="138"/>
      <c r="H23" s="138"/>
      <c r="I23" s="138"/>
    </row>
    <row r="24" spans="1:35" ht="14.25">
      <c r="A24" s="3220" t="s">
        <v>2155</v>
      </c>
      <c r="B24" s="2435" t="s">
        <v>2147</v>
      </c>
      <c r="C24" s="145">
        <f>IF(B30=0,0,D30)</f>
        <v>0</v>
      </c>
      <c r="D24" s="2442"/>
      <c r="E24" s="138"/>
      <c r="F24" s="138"/>
      <c r="G24" s="138"/>
      <c r="H24" s="138"/>
      <c r="I24" s="138"/>
    </row>
    <row r="25" spans="1:35" ht="14.25">
      <c r="A25" s="3221"/>
      <c r="B25" s="1248"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7" t="s">
        <v>3036</v>
      </c>
      <c r="F30" s="138"/>
      <c r="G30" s="138"/>
      <c r="H30" s="138"/>
      <c r="I30" s="138"/>
    </row>
    <row r="31" spans="1:35" s="2446" customFormat="1" ht="15" thickBot="1">
      <c r="A31" s="2445"/>
      <c r="B31" s="2445"/>
      <c r="C31" s="2445"/>
      <c r="D31" s="2445"/>
      <c r="E31" s="138"/>
      <c r="F31" s="138"/>
      <c r="G31" s="138"/>
      <c r="H31" s="138"/>
      <c r="I31" s="138"/>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2161</v>
      </c>
      <c r="B32" s="2448"/>
      <c r="C32" s="153" t="e">
        <f ca="1">IF(D32="总价",G19-C24,G20-C25)</f>
        <v>#REF!</v>
      </c>
      <c r="D32" s="2449" t="s">
        <v>2162</v>
      </c>
      <c r="E32" s="138"/>
      <c r="F32" s="138"/>
      <c r="G32" s="138"/>
      <c r="H32" s="138"/>
      <c r="I32" s="138"/>
    </row>
    <row r="33" spans="1:15" ht="15">
      <c r="A33" s="958"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7" t="s">
        <v>2166</v>
      </c>
      <c r="F34" s="1736"/>
      <c r="G34" s="138"/>
      <c r="H34" s="138"/>
      <c r="I34" s="138"/>
    </row>
    <row r="35" spans="1:15" ht="15.75" thickBot="1">
      <c r="A35" s="2458"/>
      <c r="B35" s="2459"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200" t="s">
        <v>2169</v>
      </c>
      <c r="B36" s="2461" t="s">
        <v>2170</v>
      </c>
      <c r="C36" s="154"/>
      <c r="D36" s="2462"/>
      <c r="E36" s="2463"/>
      <c r="F36" s="2464"/>
      <c r="G36" s="138"/>
      <c r="H36" s="138"/>
      <c r="I36" s="138"/>
    </row>
    <row r="37" spans="1:15" ht="15.75" thickBot="1">
      <c r="A37" s="3201"/>
      <c r="B37" s="2268" t="s">
        <v>2171</v>
      </c>
      <c r="C37" s="156"/>
      <c r="D37" s="1392"/>
      <c r="E37" s="1392"/>
      <c r="F37" s="2464"/>
      <c r="G37" s="138"/>
      <c r="H37" s="138"/>
      <c r="I37" s="138"/>
    </row>
    <row r="38" spans="1:15" ht="15.75" thickBot="1">
      <c r="A38" s="3202"/>
      <c r="B38" s="2465" t="s">
        <v>2172</v>
      </c>
      <c r="C38" s="725"/>
      <c r="D38" s="2466" t="s">
        <v>2173</v>
      </c>
      <c r="E38" s="1392"/>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217" t="s">
        <v>2183</v>
      </c>
      <c r="B45" s="3218"/>
      <c r="C45" s="3219"/>
      <c r="D45" s="164" t="e">
        <f ca="1">ROUND(H101*F45,0)</f>
        <v>#REF!</v>
      </c>
      <c r="E45" s="165" t="s">
        <v>2184</v>
      </c>
      <c r="F45" s="166">
        <v>1</v>
      </c>
      <c r="G45" s="167" t="s">
        <v>2185</v>
      </c>
      <c r="H45" s="138"/>
      <c r="I45" s="138"/>
      <c r="J45" s="3136" t="s">
        <v>2186</v>
      </c>
      <c r="K45" s="3136"/>
      <c r="L45" s="3136"/>
      <c r="M45" s="3136"/>
      <c r="N45" s="3136"/>
      <c r="O45" s="3136"/>
    </row>
    <row r="46" spans="1:15" ht="14.25" customHeight="1">
      <c r="A46" s="3214" t="s">
        <v>2187</v>
      </c>
      <c r="B46" s="3215"/>
      <c r="C46" s="3215"/>
      <c r="D46" s="3215"/>
      <c r="E46" s="3215"/>
      <c r="F46" s="3215"/>
      <c r="G46" s="3216"/>
      <c r="H46" s="2480"/>
      <c r="I46" s="168"/>
      <c r="J46" s="1809">
        <v>1</v>
      </c>
      <c r="K46" s="3136" t="s">
        <v>2188</v>
      </c>
      <c r="L46" s="3136"/>
      <c r="M46" s="3137"/>
      <c r="N46" s="3137"/>
      <c r="O46" s="3137"/>
    </row>
    <row r="47" spans="1:15" ht="12" customHeight="1">
      <c r="A47" s="169" t="s">
        <v>2189</v>
      </c>
      <c r="B47" s="170"/>
      <c r="C47" s="171"/>
      <c r="D47" s="172" t="s">
        <v>2190</v>
      </c>
      <c r="E47" s="24" t="s">
        <v>2191</v>
      </c>
      <c r="F47" s="173" t="s">
        <v>2192</v>
      </c>
      <c r="G47" s="174" t="s">
        <v>2193</v>
      </c>
      <c r="H47" s="2480"/>
      <c r="I47" s="168"/>
      <c r="J47" s="1809">
        <v>2</v>
      </c>
      <c r="K47" s="3136" t="s">
        <v>2194</v>
      </c>
      <c r="L47" s="3136"/>
      <c r="M47" s="3138">
        <f>'数据-取费表'!B2</f>
        <v>43397</v>
      </c>
      <c r="N47" s="3138"/>
      <c r="O47" s="3138"/>
    </row>
    <row r="48" spans="1:15" ht="25.5">
      <c r="A48" s="3204" t="s">
        <v>2195</v>
      </c>
      <c r="B48" s="3205"/>
      <c r="C48" s="3205"/>
      <c r="D48" s="140">
        <f>IF(H48="情况1",0,IF(H48="情况2",D52,IF(H48="情况3",D53,IF(H48="情况4",D54))))</f>
        <v>0</v>
      </c>
      <c r="E48" s="1798" t="str">
        <f>IF(H48="情况4","(销售额-原购置价)×税（费）率","销售额×税（费）率")</f>
        <v>销售额×税（费）率</v>
      </c>
      <c r="F48" s="175" t="str">
        <f>IF(H48="情况1","免征",'数据-取费表'!B41)</f>
        <v>免征</v>
      </c>
      <c r="G48" s="2481" t="s">
        <v>2196</v>
      </c>
      <c r="H48" s="2482" t="s">
        <v>2197</v>
      </c>
      <c r="I48" s="2480"/>
      <c r="J48" s="1809">
        <v>3</v>
      </c>
      <c r="K48" s="3136" t="s">
        <v>2198</v>
      </c>
      <c r="L48" s="3136"/>
      <c r="M48" s="3139" t="e">
        <f ca="1">H101</f>
        <v>#REF!</v>
      </c>
      <c r="N48" s="3139"/>
      <c r="O48" s="3139"/>
    </row>
    <row r="49" spans="1:35" ht="25.5" customHeight="1">
      <c r="A49" s="176" t="s">
        <v>2199</v>
      </c>
      <c r="B49" s="3184" t="s">
        <v>2200</v>
      </c>
      <c r="C49" s="3184"/>
      <c r="D49" s="177">
        <v>0</v>
      </c>
      <c r="E49" s="23" t="s">
        <v>2201</v>
      </c>
      <c r="F49" s="28" t="s">
        <v>34</v>
      </c>
      <c r="G49" s="3165"/>
      <c r="H49" s="138"/>
      <c r="I49" s="2483"/>
      <c r="J49" s="1809">
        <v>4</v>
      </c>
      <c r="K49" s="3136" t="str">
        <f>IF(项目基本情况!E8="房地产抵押价值","房地产抵押价值","抵押担保权已注销时的房地产抵押价值")</f>
        <v>抵押担保权已注销时的房地产抵押价值</v>
      </c>
      <c r="L49" s="3136"/>
      <c r="M49" s="3139" t="str">
        <f>IF(项目基本情况!E8="房地产抵押价值",H107,H109)</f>
        <v>——</v>
      </c>
      <c r="N49" s="3139"/>
      <c r="O49" s="3139"/>
    </row>
    <row r="50" spans="1:35" ht="25.5" customHeight="1">
      <c r="A50" s="178"/>
      <c r="B50" s="3184" t="s">
        <v>2202</v>
      </c>
      <c r="C50" s="3184"/>
      <c r="D50" s="179"/>
      <c r="E50" s="31"/>
      <c r="F50" s="180"/>
      <c r="G50" s="3166"/>
      <c r="H50" s="138"/>
      <c r="I50" s="2483"/>
      <c r="J50" s="3136" t="s">
        <v>2203</v>
      </c>
      <c r="K50" s="3136"/>
      <c r="L50" s="3136"/>
      <c r="M50" s="3136"/>
      <c r="N50" s="3136"/>
      <c r="O50" s="3136"/>
    </row>
    <row r="51" spans="1:35" ht="12" customHeight="1">
      <c r="A51" s="181"/>
      <c r="B51" s="3184" t="s">
        <v>2204</v>
      </c>
      <c r="C51" s="3184"/>
      <c r="D51" s="182"/>
      <c r="E51" s="30"/>
      <c r="F51" s="180"/>
      <c r="G51" s="3167"/>
      <c r="H51" s="138"/>
      <c r="I51" s="2483"/>
      <c r="J51" s="2484" t="s">
        <v>2205</v>
      </c>
      <c r="K51" s="3136" t="s">
        <v>2206</v>
      </c>
      <c r="L51" s="3136"/>
      <c r="M51" s="2484" t="s">
        <v>2207</v>
      </c>
      <c r="N51" s="2484" t="s">
        <v>2208</v>
      </c>
      <c r="O51" s="2484" t="s">
        <v>2209</v>
      </c>
    </row>
    <row r="52" spans="1:35" ht="24" customHeight="1">
      <c r="A52" s="183" t="s">
        <v>2210</v>
      </c>
      <c r="B52" s="3184" t="s">
        <v>2211</v>
      </c>
      <c r="C52" s="3184"/>
      <c r="D52" s="182" t="e">
        <f ca="1">ROUND(D45*'数据-取费表'!B41/(1+'数据-取费表'!C42),0)</f>
        <v>#REF!</v>
      </c>
      <c r="E52" s="11" t="s">
        <v>2212</v>
      </c>
      <c r="F52" s="184">
        <f>'数据-取费表'!B41</f>
        <v>5.6000000000000001E-2</v>
      </c>
      <c r="G52" s="2485"/>
      <c r="H52" s="138"/>
      <c r="I52" s="2483"/>
      <c r="J52" s="1809">
        <v>1</v>
      </c>
      <c r="K52" s="3159" t="s">
        <v>2213</v>
      </c>
      <c r="L52" s="3159"/>
      <c r="M52" s="1751">
        <f>D48</f>
        <v>0</v>
      </c>
      <c r="N52" s="1809" t="str">
        <f>E48</f>
        <v>销售额×税（费）率</v>
      </c>
      <c r="O52" s="1752" t="str">
        <f>F48</f>
        <v>免征</v>
      </c>
    </row>
    <row r="53" spans="1:35" ht="12" customHeight="1">
      <c r="A53" s="183" t="s">
        <v>2214</v>
      </c>
      <c r="B53" s="3185" t="s">
        <v>2215</v>
      </c>
      <c r="C53" s="3186"/>
      <c r="D53" s="182" t="e">
        <f ca="1">ROUND(D45*'数据-取费表'!B41/(1+'数据-取费表'!C42),0)</f>
        <v>#REF!</v>
      </c>
      <c r="E53" s="11" t="s">
        <v>2212</v>
      </c>
      <c r="F53" s="184">
        <f>'数据-取费表'!B41</f>
        <v>5.6000000000000001E-2</v>
      </c>
      <c r="G53" s="2485"/>
      <c r="H53" s="138"/>
      <c r="I53" s="2483"/>
      <c r="J53" s="1809">
        <v>2</v>
      </c>
      <c r="K53" s="3159" t="s">
        <v>2216</v>
      </c>
      <c r="L53" s="3159"/>
      <c r="M53" s="1751" t="e">
        <f t="shared" ref="M53:O54" ca="1" si="0">D55</f>
        <v>#REF!</v>
      </c>
      <c r="N53" s="1809" t="str">
        <f t="shared" si="0"/>
        <v>销售额×税（费）率</v>
      </c>
      <c r="O53" s="1752">
        <f t="shared" si="0"/>
        <v>5.0000000000000001E-4</v>
      </c>
    </row>
    <row r="54" spans="1:35" ht="12" customHeight="1">
      <c r="A54" s="183" t="s">
        <v>2217</v>
      </c>
      <c r="B54" s="3185" t="s">
        <v>2218</v>
      </c>
      <c r="C54" s="3186"/>
      <c r="D54" s="182" t="e">
        <f ca="1">C68</f>
        <v>#REF!</v>
      </c>
      <c r="E54" s="30" t="s">
        <v>2219</v>
      </c>
      <c r="F54" s="184">
        <f>'数据-取费表'!B41</f>
        <v>5.6000000000000001E-2</v>
      </c>
      <c r="G54" s="2485"/>
      <c r="H54" s="2486"/>
      <c r="I54" s="2483"/>
      <c r="J54" s="1809">
        <v>3</v>
      </c>
      <c r="K54" s="3159" t="s">
        <v>2220</v>
      </c>
      <c r="L54" s="3159"/>
      <c r="M54" s="1751" t="e">
        <f t="shared" ca="1" si="0"/>
        <v>#REF!</v>
      </c>
      <c r="N54" s="1809" t="str">
        <f t="shared" si="0"/>
        <v>增值额×税（费）率</v>
      </c>
      <c r="O54" s="1753" t="str">
        <f t="shared" si="0"/>
        <v>——</v>
      </c>
    </row>
    <row r="55" spans="1:35" ht="24" customHeight="1">
      <c r="A55" s="3223" t="s">
        <v>2221</v>
      </c>
      <c r="B55" s="3205"/>
      <c r="C55" s="3205"/>
      <c r="D55" s="185" t="e">
        <f ca="1">IF(H55="个人住宅",0,ROUND(D45*I55,0))</f>
        <v>#REF!</v>
      </c>
      <c r="E55" s="11" t="s">
        <v>2222</v>
      </c>
      <c r="F55" s="184">
        <f>IF(H55="正常",I55,"免征")</f>
        <v>5.0000000000000001E-4</v>
      </c>
      <c r="G55" s="2485"/>
      <c r="H55" s="2482" t="s">
        <v>2223</v>
      </c>
      <c r="I55" s="186">
        <f>'数据-取费表'!B49</f>
        <v>5.0000000000000001E-4</v>
      </c>
      <c r="J55" s="1809" t="str">
        <f>IF(H59="非个人房产","",4)</f>
        <v/>
      </c>
      <c r="K55" s="3159" t="str">
        <f>IF(H59="非个人房产","——","个人所得税")</f>
        <v>——</v>
      </c>
      <c r="L55" s="3159"/>
      <c r="M55" s="1754" t="str">
        <f>D59</f>
        <v>——</v>
      </c>
      <c r="N55" s="1807" t="str">
        <f>E59</f>
        <v>——</v>
      </c>
      <c r="O55" s="1755" t="str">
        <f>F59</f>
        <v>——</v>
      </c>
    </row>
    <row r="56" spans="1:35" ht="24.75">
      <c r="A56" s="3223" t="s">
        <v>2224</v>
      </c>
      <c r="B56" s="3205"/>
      <c r="C56" s="3205"/>
      <c r="D56" s="185" t="e">
        <f ca="1">IF(H56="个人住宅",D57,D58)</f>
        <v>#REF!</v>
      </c>
      <c r="E56" s="11" t="s">
        <v>2225</v>
      </c>
      <c r="F56" s="184" t="str">
        <f>IF(H56="正常",F58,"免征")</f>
        <v>——</v>
      </c>
      <c r="G56" s="2487" t="s">
        <v>2226</v>
      </c>
      <c r="H56" s="2488" t="s">
        <v>2223</v>
      </c>
      <c r="I56" s="2489"/>
      <c r="J56" s="1809" t="str">
        <f>IF(项目基本情况!K6="上海银行",IF(J55="",4,J55+1),"")</f>
        <v/>
      </c>
      <c r="K56" s="3142" t="str">
        <f>IF(项目基本情况!K6="上海银行","其他处置费用","")</f>
        <v/>
      </c>
      <c r="L56" s="3143"/>
      <c r="M56" s="1751" t="str">
        <f>IF(项目基本情况!K6="上海银行",M69,"")</f>
        <v/>
      </c>
      <c r="N56" s="3145" t="str">
        <f>IF(项目基本情况!K6="上海银行","包含处置中涉及的律师、诉讼、拍卖、评估等费用","")</f>
        <v/>
      </c>
      <c r="O56" s="3146"/>
    </row>
    <row r="57" spans="1:35" ht="12.75">
      <c r="A57" s="183" t="s">
        <v>2199</v>
      </c>
      <c r="B57" s="3190" t="s">
        <v>2227</v>
      </c>
      <c r="C57" s="3191"/>
      <c r="D57" s="187">
        <v>0</v>
      </c>
      <c r="E57" s="23" t="s">
        <v>2201</v>
      </c>
      <c r="F57" s="155"/>
      <c r="G57" s="2485"/>
      <c r="H57" s="2489"/>
      <c r="I57" s="2489"/>
      <c r="J57" s="3159">
        <f>IF(AND(J55="",J56=""),4,IF(项目基本情况!K6="上海银行",结果表!J56+1,结果表!J55+1))</f>
        <v>4</v>
      </c>
      <c r="K57" s="3159" t="s">
        <v>2228</v>
      </c>
      <c r="L57" s="2490" t="s">
        <v>2229</v>
      </c>
      <c r="M57" s="1756"/>
      <c r="N57" s="1757">
        <f ca="1">SUMIF(M52:M56,"&lt;9e307")</f>
        <v>0</v>
      </c>
      <c r="O57" s="2491"/>
      <c r="P57" s="1750" t="e">
        <f ca="1">N57/M49</f>
        <v>#VALUE!</v>
      </c>
    </row>
    <row r="58" spans="1:35" ht="24.75">
      <c r="A58" s="183" t="s">
        <v>2210</v>
      </c>
      <c r="B58" s="3190" t="s">
        <v>2230</v>
      </c>
      <c r="C58" s="3203"/>
      <c r="D58" s="185" t="e">
        <f ca="1">IF(H58="转让取得",C81,C97)</f>
        <v>#REF!</v>
      </c>
      <c r="E58" s="11" t="s">
        <v>2225</v>
      </c>
      <c r="F58" s="24" t="s">
        <v>34</v>
      </c>
      <c r="G58" s="2485"/>
      <c r="H58" s="2488" t="s">
        <v>2231</v>
      </c>
      <c r="I58" s="2489"/>
      <c r="J58" s="3159"/>
      <c r="K58" s="3159"/>
      <c r="L58" s="2490" t="s">
        <v>2232</v>
      </c>
      <c r="M58" s="1758"/>
      <c r="N58" s="2492" t="str">
        <f ca="1">NUMBERSTRING(INT(N57*10000),2)&amp;"元整"</f>
        <v>零元整</v>
      </c>
      <c r="O58" s="2493"/>
    </row>
    <row r="59" spans="1:35" ht="24.75" thickBot="1">
      <c r="A59" s="3163" t="s">
        <v>2233</v>
      </c>
      <c r="B59" s="3164"/>
      <c r="C59" s="3164"/>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61">
        <f>J57+1</f>
        <v>5</v>
      </c>
      <c r="K59" s="3159" t="s">
        <v>2235</v>
      </c>
      <c r="L59" s="1809" t="s">
        <v>2229</v>
      </c>
      <c r="M59" s="1759"/>
      <c r="N59" s="1760" t="e">
        <f ca="1">M49-N57</f>
        <v>#VALUE!</v>
      </c>
      <c r="O59" s="2495"/>
    </row>
    <row r="60" spans="1:35" ht="12" customHeight="1">
      <c r="A60" s="2496"/>
      <c r="B60" s="2418"/>
      <c r="C60" s="2418"/>
      <c r="D60" s="2418"/>
      <c r="E60" s="2167"/>
      <c r="F60" s="2489"/>
      <c r="G60" s="2489"/>
      <c r="H60" s="2497"/>
      <c r="I60" s="138"/>
      <c r="J60" s="3162"/>
      <c r="K60" s="3159"/>
      <c r="L60" s="2490" t="s">
        <v>2232</v>
      </c>
      <c r="M60" s="1758"/>
      <c r="N60" s="2492" t="e">
        <f ca="1">NUMBERSTRING(INT(N59*10000),2)&amp;"元整"</f>
        <v>#VALUE!</v>
      </c>
      <c r="O60" s="2493"/>
    </row>
    <row r="61" spans="1:35" ht="13.5" thickBot="1">
      <c r="A61" s="3222" t="s">
        <v>2236</v>
      </c>
      <c r="B61" s="3222"/>
      <c r="C61" s="3222"/>
      <c r="D61" s="3222"/>
      <c r="E61" s="3222"/>
      <c r="F61" s="2489"/>
      <c r="G61" s="2489"/>
      <c r="H61" s="2497"/>
      <c r="I61" s="138"/>
      <c r="J61" s="1809">
        <f>J59+1</f>
        <v>6</v>
      </c>
      <c r="K61" s="3159" t="s">
        <v>2237</v>
      </c>
      <c r="L61" s="3159"/>
      <c r="M61" s="1761"/>
      <c r="N61" s="1762" t="e">
        <f ca="1">ROUND(N59*10000/'数据-汇总表'!E3,0)</f>
        <v>#VALUE!</v>
      </c>
      <c r="O61" s="2498"/>
    </row>
    <row r="62" spans="1:35" ht="12.75">
      <c r="A62" s="3179" t="s">
        <v>2238</v>
      </c>
      <c r="B62" s="3180"/>
      <c r="C62" s="1801"/>
      <c r="D62" s="1801" t="s">
        <v>2239</v>
      </c>
      <c r="E62" s="192" t="s">
        <v>2240</v>
      </c>
      <c r="F62" s="2489"/>
      <c r="G62" s="2489"/>
      <c r="H62" s="2497"/>
      <c r="I62" s="138"/>
    </row>
    <row r="63" spans="1:35" ht="12.75">
      <c r="A63" s="203" t="s">
        <v>775</v>
      </c>
      <c r="B63" s="193" t="s">
        <v>2241</v>
      </c>
      <c r="C63" s="194" t="e">
        <f ca="1">ROUND((C64+C65)/(1+'数据-取费表'!C42),0)</f>
        <v>#REF!</v>
      </c>
      <c r="D63" s="195"/>
      <c r="E63" s="196"/>
      <c r="F63" s="2489"/>
      <c r="G63" s="2489"/>
      <c r="H63" s="2497"/>
      <c r="I63" s="138"/>
      <c r="J63" s="3144" t="s">
        <v>2242</v>
      </c>
      <c r="K63" s="2499" t="s">
        <v>2243</v>
      </c>
      <c r="L63" s="1749" t="e">
        <f>IF(M49&gt;10000,M49*0.5%,IF(AND(M49&gt;1000,M49&lt;=10000),M49*1%,IF(AND(M49&gt;100,M49&lt;=1000),M49*3%,IF(AND(M49&gt;10,M49&lt;=100),M49*5%,M49*8%))))</f>
        <v>#VALUE!</v>
      </c>
      <c r="M63" s="24" t="e">
        <f>ROUND(L63,1)</f>
        <v>#VALUE!</v>
      </c>
      <c r="Z63" s="2423"/>
      <c r="AI63" s="2424"/>
    </row>
    <row r="64" spans="1:35" ht="14.25" customHeight="1">
      <c r="A64" s="197" t="s">
        <v>770</v>
      </c>
      <c r="B64" s="198" t="s">
        <v>2244</v>
      </c>
      <c r="C64" s="199" t="e">
        <f ca="1">D45</f>
        <v>#REF!</v>
      </c>
      <c r="D64" s="200" t="s">
        <v>32</v>
      </c>
      <c r="E64" s="201"/>
      <c r="F64" s="2489"/>
      <c r="G64" s="2489"/>
      <c r="H64" s="2497"/>
      <c r="I64" s="138"/>
      <c r="J64" s="3144"/>
      <c r="K64" s="2499"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3"/>
      <c r="AI64" s="2424"/>
    </row>
    <row r="65" spans="1:35" ht="14.25" customHeight="1">
      <c r="A65" s="197" t="s">
        <v>771</v>
      </c>
      <c r="B65" s="198" t="s">
        <v>2247</v>
      </c>
      <c r="C65" s="202"/>
      <c r="D65" s="200"/>
      <c r="E65" s="201"/>
      <c r="F65" s="2489"/>
      <c r="G65" s="2489"/>
      <c r="H65" s="2497"/>
      <c r="I65" s="138"/>
      <c r="J65" s="3144"/>
      <c r="K65" s="2499" t="s">
        <v>2248</v>
      </c>
      <c r="L65" s="1749" t="e">
        <f>IF(M49&gt;1000,M49*0.1%,IF(AND(M49&gt;500,M49&lt;=1000),M49*0.5%,IF(AND(M49&gt;50,M49&lt;=500),M49*1%,IF(AND(M49&gt;1,M49&lt;=50),M49*1.5%))))</f>
        <v>#VALUE!</v>
      </c>
      <c r="M65" s="24" t="e">
        <f t="shared" si="1"/>
        <v>#VALUE!</v>
      </c>
      <c r="N65" s="138" t="s">
        <v>2246</v>
      </c>
      <c r="Z65" s="2423"/>
      <c r="AI65" s="2424"/>
    </row>
    <row r="66" spans="1:35" ht="14.25" customHeight="1">
      <c r="A66" s="203" t="s">
        <v>772</v>
      </c>
      <c r="B66" s="204" t="s">
        <v>2249</v>
      </c>
      <c r="C66" s="205"/>
      <c r="D66" s="206" t="s">
        <v>32</v>
      </c>
      <c r="E66" s="1773" t="s">
        <v>1371</v>
      </c>
      <c r="F66" s="2489"/>
      <c r="G66" s="2489"/>
      <c r="H66" s="2497"/>
      <c r="I66" s="138"/>
      <c r="J66" s="3144"/>
      <c r="K66" s="2499" t="s">
        <v>2250</v>
      </c>
      <c r="L66" s="1749" t="e">
        <f>M49*0.5%</f>
        <v>#VALUE!</v>
      </c>
      <c r="M66" s="24" t="e">
        <f>IF(L66&gt;0.5,0.5,ROUND(L66,0))</f>
        <v>#VALUE!</v>
      </c>
      <c r="N66" s="138" t="s">
        <v>2251</v>
      </c>
      <c r="Z66" s="2423"/>
      <c r="AI66" s="2424"/>
    </row>
    <row r="67" spans="1:35" ht="14.25" customHeight="1">
      <c r="A67" s="203" t="s">
        <v>773</v>
      </c>
      <c r="B67" s="204" t="s">
        <v>2252</v>
      </c>
      <c r="C67" s="207" t="e">
        <f ca="1">C63-C66</f>
        <v>#REF!</v>
      </c>
      <c r="D67" s="200" t="s">
        <v>32</v>
      </c>
      <c r="E67" s="201"/>
      <c r="F67" s="2489"/>
      <c r="G67" s="2489"/>
      <c r="H67" s="2497"/>
      <c r="I67" s="138"/>
      <c r="J67" s="3144"/>
      <c r="K67" s="2499"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2254</v>
      </c>
      <c r="C68" s="210" t="e">
        <f ca="1">IF(C67&lt;=0,0,ROUND(C67*D68,0))</f>
        <v>#REF!</v>
      </c>
      <c r="D68" s="211">
        <f>'数据-取费表'!B41</f>
        <v>5.6000000000000001E-2</v>
      </c>
      <c r="E68" s="212"/>
      <c r="F68" s="2489"/>
      <c r="G68" s="2489"/>
      <c r="H68" s="2497"/>
      <c r="I68" s="138"/>
      <c r="J68" s="3144"/>
      <c r="K68" s="2499" t="s">
        <v>2255</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7"/>
      <c r="G69" s="2167"/>
      <c r="H69" s="2166"/>
      <c r="I69" s="2418"/>
      <c r="J69" s="3144"/>
      <c r="K69" s="2499" t="s">
        <v>2256</v>
      </c>
      <c r="L69" s="2505"/>
      <c r="M69" s="24" t="e">
        <f>ROUND(SUM(M63:M68),0)</f>
        <v>#VALUE!</v>
      </c>
      <c r="N69" s="1750" t="e">
        <f>M69/M49</f>
        <v>#VALUE!</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188" t="s">
        <v>2257</v>
      </c>
      <c r="B70" s="3189"/>
      <c r="C70" s="3189"/>
      <c r="D70" s="3189"/>
      <c r="E70" s="3189"/>
      <c r="F70" s="3189"/>
      <c r="G70" s="3189"/>
      <c r="H70" s="318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79" t="s">
        <v>2238</v>
      </c>
      <c r="B71" s="3180"/>
      <c r="C71" s="1801"/>
      <c r="D71" s="1801"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t="e">
        <f ca="1">ROUND(D45/(1+'数据-取费表'!C42),0)</f>
        <v>#REF!</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t="e">
        <f ca="1">C74+C78</f>
        <v>#REF!</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85" t="s">
        <v>2266</v>
      </c>
      <c r="F76" s="3184"/>
      <c r="G76" s="3184"/>
      <c r="H76" s="318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t="e">
        <f ca="1">ROUND(D45*D78/(1+'数据-取费表'!C42),0)</f>
        <v>#REF!</v>
      </c>
      <c r="D78" s="226">
        <f>'数据-取费表'!B43</f>
        <v>6.000000000000001E-3</v>
      </c>
      <c r="E78" s="3176" t="s">
        <v>2271</v>
      </c>
      <c r="F78" s="3177"/>
      <c r="G78" s="3177"/>
      <c r="H78" s="317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t="e">
        <f ca="1">C72-C73</f>
        <v>#REF!</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88" t="s">
        <v>2275</v>
      </c>
      <c r="B83" s="3189"/>
      <c r="C83" s="3189"/>
      <c r="D83" s="3189"/>
      <c r="E83" s="3189"/>
      <c r="F83" s="3189"/>
      <c r="G83" s="3189"/>
      <c r="H83" s="318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79" t="s">
        <v>2238</v>
      </c>
      <c r="B84" s="3180"/>
      <c r="C84" s="1801"/>
      <c r="D84" s="1801"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t="e">
        <f ca="1">ROUND(D45/(1+'数据-取费表'!C42),0)</f>
        <v>#REF!</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t="e">
        <f ca="1">IF(H88="仅含出让金",C87+C90+C91+C92+C93+C94,C87+C91+C92+C93+C94)</f>
        <v>#REF!</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7"/>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176" t="s">
        <v>2284</v>
      </c>
      <c r="F91" s="3177"/>
      <c r="G91" s="3177"/>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76" t="s">
        <v>2288</v>
      </c>
      <c r="F92" s="3177"/>
      <c r="G92" s="3177"/>
      <c r="H92" s="317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t="e">
        <f ca="1">ROUND(D45*D93/(1+'数据-取费表'!C42),0)</f>
        <v>#REF!</v>
      </c>
      <c r="D93" s="226">
        <f>'数据-取费表'!B43</f>
        <v>6.000000000000001E-3</v>
      </c>
      <c r="E93" s="3176" t="s">
        <v>2271</v>
      </c>
      <c r="F93" s="3177"/>
      <c r="G93" s="3177"/>
      <c r="H93" s="317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224" t="s">
        <v>2292</v>
      </c>
      <c r="F94" s="3225"/>
      <c r="G94" s="3225"/>
      <c r="H94" s="322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t="e">
        <f ca="1">ROUND(C85-C86,0)</f>
        <v>#REF!</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2293</v>
      </c>
      <c r="B99" s="2418"/>
      <c r="C99" s="2418"/>
      <c r="D99" s="2418"/>
      <c r="E99" s="2167"/>
      <c r="F99" s="2167"/>
      <c r="G99" s="2167"/>
      <c r="H99" s="2166"/>
      <c r="I99" s="138"/>
    </row>
    <row r="100" spans="1:35" ht="18.75" customHeight="1">
      <c r="A100" s="3128" t="s">
        <v>2294</v>
      </c>
      <c r="B100" s="3129"/>
      <c r="C100" s="3129"/>
      <c r="D100" s="3160"/>
      <c r="E100" s="3129" t="s">
        <v>2295</v>
      </c>
      <c r="F100" s="3129"/>
      <c r="G100" s="3129"/>
      <c r="H100" s="3160"/>
      <c r="I100" s="138"/>
    </row>
    <row r="101" spans="1:35" ht="18.75" customHeight="1">
      <c r="A101" s="3168" t="s">
        <v>2296</v>
      </c>
      <c r="B101" s="3169"/>
      <c r="C101" s="734" t="str">
        <f>C4</f>
        <v>成本法 (元)</v>
      </c>
      <c r="D101" s="735" t="str">
        <f>D4</f>
        <v>比较法-住宅</v>
      </c>
      <c r="E101" s="3140" t="s">
        <v>2297</v>
      </c>
      <c r="F101" s="3141"/>
      <c r="G101" s="2520" t="s">
        <v>2298</v>
      </c>
      <c r="H101" s="1046" t="e">
        <f ca="1">H118</f>
        <v>#REF!</v>
      </c>
      <c r="I101" s="138"/>
    </row>
    <row r="102" spans="1:35" ht="18.75" customHeight="1">
      <c r="A102" s="3170" t="s">
        <v>2299</v>
      </c>
      <c r="B102" s="2520" t="s">
        <v>2298</v>
      </c>
      <c r="C102" s="734">
        <f ca="1">C19</f>
        <v>4</v>
      </c>
      <c r="D102" s="735" t="e">
        <f ca="1">D19</f>
        <v>#REF!</v>
      </c>
      <c r="E102" s="3140"/>
      <c r="F102" s="3141"/>
      <c r="G102" s="2520" t="s">
        <v>2300</v>
      </c>
      <c r="H102" s="371" t="e">
        <f ca="1">I118</f>
        <v>#REF!</v>
      </c>
      <c r="I102" s="138"/>
    </row>
    <row r="103" spans="1:35" ht="42.75" customHeight="1">
      <c r="A103" s="3170"/>
      <c r="B103" s="2520" t="s">
        <v>2300</v>
      </c>
      <c r="C103" s="736">
        <f ca="1">C20</f>
        <v>43030</v>
      </c>
      <c r="D103" s="737">
        <f>D20</f>
        <v>35046</v>
      </c>
      <c r="E103" s="3134" t="s">
        <v>2301</v>
      </c>
      <c r="F103" s="3135"/>
      <c r="G103" s="2521" t="s">
        <v>2302</v>
      </c>
      <c r="H103" s="1046">
        <f>IF(D36="正常操作",H104+H105+H106,H105+H106)</f>
        <v>0</v>
      </c>
      <c r="I103" s="138"/>
    </row>
    <row r="104" spans="1:35" ht="18.75" customHeight="1">
      <c r="A104" s="3170" t="s">
        <v>2303</v>
      </c>
      <c r="B104" s="2522" t="s">
        <v>2298</v>
      </c>
      <c r="C104" s="738" t="e">
        <f ca="1">H118</f>
        <v>#REF!</v>
      </c>
      <c r="D104" s="739"/>
      <c r="E104" s="2268" t="s">
        <v>2304</v>
      </c>
      <c r="F104" s="2259"/>
      <c r="G104" s="2521" t="s">
        <v>2302</v>
      </c>
      <c r="H104" s="1047">
        <f>IF(D36="同一抵押权人同一抵押物续贷",C36&amp;"（未扣减，详见特别提示）",C36)</f>
        <v>0</v>
      </c>
      <c r="I104" s="138"/>
    </row>
    <row r="105" spans="1:35" ht="18.75" customHeight="1" thickBot="1">
      <c r="A105" s="3182"/>
      <c r="B105" s="2523" t="s">
        <v>2300</v>
      </c>
      <c r="C105" s="740" t="e">
        <f ca="1">I118</f>
        <v>#REF!</v>
      </c>
      <c r="D105" s="741"/>
      <c r="E105" s="2268" t="s">
        <v>2305</v>
      </c>
      <c r="F105" s="2259"/>
      <c r="G105" s="2521" t="s">
        <v>2302</v>
      </c>
      <c r="H105" s="1047">
        <f>C37</f>
        <v>0</v>
      </c>
      <c r="I105" s="138"/>
    </row>
    <row r="106" spans="1:35" ht="18.75" customHeight="1">
      <c r="A106" s="2418" t="s">
        <v>2306</v>
      </c>
      <c r="B106" s="2418"/>
      <c r="C106" s="2418"/>
      <c r="D106" s="2418"/>
      <c r="E106" s="2524" t="s">
        <v>2307</v>
      </c>
      <c r="F106" s="2259"/>
      <c r="G106" s="2521" t="s">
        <v>2302</v>
      </c>
      <c r="H106" s="1047">
        <f>C38</f>
        <v>0</v>
      </c>
      <c r="I106" s="138"/>
    </row>
    <row r="107" spans="1:35" ht="18.75" customHeight="1">
      <c r="A107" s="138"/>
      <c r="B107" s="138"/>
      <c r="C107" s="138"/>
      <c r="D107" s="138"/>
      <c r="E107" s="3171" t="str">
        <f>IF(项目基本情况!E8="已注销","——","3.房地产抵押价值")</f>
        <v>3.房地产抵押价值</v>
      </c>
      <c r="F107" s="3141"/>
      <c r="G107" s="2520" t="s">
        <v>2298</v>
      </c>
      <c r="H107" s="1046" t="e">
        <f ca="1">IF(E107="——","——",H101-H103)</f>
        <v>#REF!</v>
      </c>
      <c r="I107" s="138"/>
    </row>
    <row r="108" spans="1:35" ht="18.75" customHeight="1">
      <c r="A108" s="138"/>
      <c r="B108" s="138"/>
      <c r="C108" s="138"/>
      <c r="D108" s="138"/>
      <c r="E108" s="3171"/>
      <c r="F108" s="3141"/>
      <c r="G108" s="2520" t="s">
        <v>2300</v>
      </c>
      <c r="H108" s="371" t="e">
        <f ca="1">ROUND(H107*10000/'数据-汇总表'!E3,0)</f>
        <v>#REF!</v>
      </c>
      <c r="I108" s="138"/>
    </row>
    <row r="109" spans="1:35" ht="18.75" customHeight="1">
      <c r="A109" s="138"/>
      <c r="B109" s="138"/>
      <c r="C109" s="138"/>
      <c r="D109" s="138"/>
      <c r="E109" s="3171" t="str">
        <f>IF(项目基本情况!E8="已注销及未注销","4.抵押担保权已注销时的房地产抵押价值",IF(项目基本情况!E8="已注销","3.抵押担保权已注销时的房地产抵押价值","——"))</f>
        <v>——</v>
      </c>
      <c r="F109" s="3141"/>
      <c r="G109" s="2520" t="s">
        <v>2298</v>
      </c>
      <c r="H109" s="348" t="str">
        <f>IF(E109="——","——",H101-H105-H106)</f>
        <v>——</v>
      </c>
      <c r="I109" s="138"/>
    </row>
    <row r="110" spans="1:35" ht="18.75" customHeight="1">
      <c r="A110" s="138"/>
      <c r="B110" s="138"/>
      <c r="C110" s="138"/>
      <c r="D110" s="138"/>
      <c r="E110" s="3171"/>
      <c r="F110" s="3141"/>
      <c r="G110" s="2520" t="s">
        <v>2300</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20" t="s">
        <v>2298</v>
      </c>
      <c r="H111" s="1046" t="str">
        <f>IF(E111="——","——",N59)</f>
        <v>——</v>
      </c>
      <c r="I111" s="138"/>
    </row>
    <row r="112" spans="1:35" ht="18.75" customHeight="1" thickBot="1">
      <c r="A112" s="138"/>
      <c r="B112" s="138"/>
      <c r="C112" s="138"/>
      <c r="D112" s="138"/>
      <c r="E112" s="3174"/>
      <c r="F112" s="3175"/>
      <c r="G112" s="2525" t="s">
        <v>2300</v>
      </c>
      <c r="H112" s="788" t="str">
        <f>IF(E111="——","——",N61)</f>
        <v>——</v>
      </c>
      <c r="I112" s="138"/>
    </row>
    <row r="113" spans="1:11" ht="18.75" customHeight="1">
      <c r="A113" s="138"/>
      <c r="B113" s="138"/>
      <c r="C113" s="138"/>
      <c r="D113" s="138"/>
      <c r="E113" s="3183" t="s">
        <v>2306</v>
      </c>
      <c r="F113" s="3183"/>
      <c r="G113" s="3183"/>
      <c r="H113" s="3183"/>
      <c r="I113" s="138"/>
    </row>
    <row r="114" spans="1:11" ht="3.75" customHeight="1">
      <c r="A114" s="2418"/>
      <c r="B114" s="2418"/>
      <c r="C114" s="2418"/>
      <c r="D114" s="2418"/>
      <c r="E114" s="2496"/>
      <c r="F114" s="2496"/>
      <c r="G114" s="2496"/>
      <c r="H114" s="2496"/>
      <c r="I114" s="2418"/>
    </row>
    <row r="115" spans="1:11" ht="18.75" customHeight="1">
      <c r="A115" s="3196" t="s">
        <v>2308</v>
      </c>
      <c r="B115" s="3197"/>
      <c r="C115" s="3197"/>
      <c r="D115" s="3197"/>
      <c r="E115" s="3197"/>
      <c r="F115" s="3197"/>
      <c r="G115" s="3197"/>
      <c r="H115" s="3197"/>
      <c r="I115" s="3198"/>
    </row>
    <row r="116" spans="1:11" ht="27" customHeight="1">
      <c r="A116" s="3107" t="s">
        <v>2309</v>
      </c>
      <c r="B116" s="3150" t="s">
        <v>2310</v>
      </c>
      <c r="C116" s="3150" t="s">
        <v>2311</v>
      </c>
      <c r="D116" s="3156" t="s">
        <v>2312</v>
      </c>
      <c r="E116" s="3157"/>
      <c r="F116" s="3192" t="s">
        <v>2313</v>
      </c>
      <c r="G116" s="3192"/>
      <c r="H116" s="3107" t="s">
        <v>2314</v>
      </c>
      <c r="I116" s="3107"/>
    </row>
    <row r="117" spans="1:11" ht="18.75" customHeight="1">
      <c r="A117" s="3107"/>
      <c r="B117" s="3151"/>
      <c r="C117" s="3151"/>
      <c r="D117" s="1795" t="s">
        <v>2315</v>
      </c>
      <c r="E117" s="1795" t="s">
        <v>2316</v>
      </c>
      <c r="F117" s="1795" t="s">
        <v>2315</v>
      </c>
      <c r="G117" s="1795" t="s">
        <v>2317</v>
      </c>
      <c r="H117" s="1795" t="s">
        <v>2315</v>
      </c>
      <c r="I117" s="1795" t="s">
        <v>2317</v>
      </c>
    </row>
    <row r="118" spans="1:11" ht="24.75" customHeight="1">
      <c r="A118" s="2526" t="str">
        <f>项目基本情况!S2</f>
        <v>北京市房地产</v>
      </c>
      <c r="B118" s="1795">
        <f>M18</f>
        <v>1</v>
      </c>
      <c r="C118" s="1795">
        <f>M19</f>
        <v>0.44</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107" t="s">
        <v>2318</v>
      </c>
      <c r="B119" s="3107"/>
      <c r="C119" s="3107"/>
      <c r="D119" s="3152" t="e">
        <f ca="1">NUMBERSTRING(INT(D118*10000),2)&amp;"元整"</f>
        <v>#REF!</v>
      </c>
      <c r="E119" s="3153"/>
      <c r="F119" s="3152" t="e">
        <f ca="1">NUMBERSTRING(INT(F118*10000),2)&amp;"元整"</f>
        <v>#REF!</v>
      </c>
      <c r="G119" s="3153"/>
      <c r="H119" s="3152" t="e">
        <f ca="1">NUMBERSTRING(INT(H118*10000),2)&amp;"元整"</f>
        <v>#REF!</v>
      </c>
      <c r="I119" s="3153"/>
    </row>
    <row r="120" spans="1:11" ht="18.75" customHeight="1">
      <c r="A120" s="3147" t="str">
        <f>IF(项目基本情况!B9="房地产市场价值","",MID(E103,3,LEN(E103)-2))</f>
        <v/>
      </c>
      <c r="B120" s="3148"/>
      <c r="C120" s="3149"/>
      <c r="D120" s="3147">
        <f>H103</f>
        <v>0</v>
      </c>
      <c r="E120" s="3148"/>
      <c r="F120" s="3148"/>
      <c r="G120" s="3148"/>
      <c r="H120" s="3148"/>
      <c r="I120" s="3149"/>
      <c r="K120" s="2423" t="str">
        <f>IF(D120=0,"故，本次评估不存在"&amp;A120,"故，本次评估"&amp;A120&amp;"为人民币"&amp;D120&amp;"万元整。")</f>
        <v>故，本次评估不存在</v>
      </c>
    </row>
    <row r="121" spans="1:11" ht="18.75" customHeight="1">
      <c r="A121" s="3193" t="s">
        <v>2318</v>
      </c>
      <c r="B121" s="3194"/>
      <c r="C121" s="3195"/>
      <c r="D121" s="3152" t="str">
        <f>IF(D120=0,"零元整",NUMBERSTRING(INT(D120*10000),2)&amp;"元整")</f>
        <v>零元整</v>
      </c>
      <c r="E121" s="3154"/>
      <c r="F121" s="3154"/>
      <c r="G121" s="3154"/>
      <c r="H121" s="3154"/>
      <c r="I121" s="3153"/>
    </row>
    <row r="122" spans="1:11" ht="18.75" customHeight="1">
      <c r="A122" s="3158" t="str">
        <f>IF(项目基本情况!B9="房地产市场价值","",MID(E107,3,LEN(E107)-2))</f>
        <v/>
      </c>
      <c r="B122" s="3158"/>
      <c r="C122" s="3158"/>
      <c r="D122" s="3147" t="e">
        <f ca="1">H107</f>
        <v>#REF!</v>
      </c>
      <c r="E122" s="3148"/>
      <c r="F122" s="3148"/>
      <c r="G122" s="3148"/>
      <c r="H122" s="3148"/>
      <c r="I122" s="3149"/>
    </row>
    <row r="123" spans="1:11" ht="18.75" customHeight="1">
      <c r="A123" s="3107" t="s">
        <v>2318</v>
      </c>
      <c r="B123" s="3107"/>
      <c r="C123" s="3107"/>
      <c r="D123" s="3152" t="e">
        <f ca="1">NUMBERSTRING(INT(D122*10000),2)&amp;"元整"</f>
        <v>#REF!</v>
      </c>
      <c r="E123" s="3154"/>
      <c r="F123" s="3154"/>
      <c r="G123" s="3154"/>
      <c r="H123" s="3154"/>
      <c r="I123" s="3153"/>
    </row>
    <row r="124" spans="1:11" ht="18.75" customHeight="1">
      <c r="A124" s="3158" t="str">
        <f>IF(项目基本情况!B9="房地产市场价值","",MID(E109,3,LEN(E109)-2))</f>
        <v/>
      </c>
      <c r="B124" s="3158"/>
      <c r="C124" s="3158"/>
      <c r="D124" s="3147" t="str">
        <f>H109</f>
        <v>——</v>
      </c>
      <c r="E124" s="3148"/>
      <c r="F124" s="3148"/>
      <c r="G124" s="3148"/>
      <c r="H124" s="3148"/>
      <c r="I124" s="3149"/>
    </row>
    <row r="125" spans="1:11" ht="18.75" customHeight="1">
      <c r="A125" s="3107" t="s">
        <v>2318</v>
      </c>
      <c r="B125" s="3107"/>
      <c r="C125" s="3107"/>
      <c r="D125" s="3152" t="e">
        <f>NUMBERSTRING(INT(D124*10000),2)&amp;"元整"</f>
        <v>#VALUE!</v>
      </c>
      <c r="E125" s="3154"/>
      <c r="F125" s="3154"/>
      <c r="G125" s="3154"/>
      <c r="H125" s="3154"/>
      <c r="I125" s="3153"/>
    </row>
    <row r="126" spans="1:11" ht="18.75" customHeight="1">
      <c r="A126" s="3158" t="str">
        <f>IF(项目基本情况!B9="房地产市场价值","",MID(E111,3,LEN(E111)-2))</f>
        <v/>
      </c>
      <c r="B126" s="3158"/>
      <c r="C126" s="3158"/>
      <c r="D126" s="3147" t="str">
        <f>H111</f>
        <v>——</v>
      </c>
      <c r="E126" s="3148"/>
      <c r="F126" s="3148"/>
      <c r="G126" s="3148"/>
      <c r="H126" s="3148"/>
      <c r="I126" s="3149"/>
    </row>
    <row r="127" spans="1:11" ht="18.75" customHeight="1">
      <c r="A127" s="3107" t="s">
        <v>2318</v>
      </c>
      <c r="B127" s="3107"/>
      <c r="C127" s="3107"/>
      <c r="D127" s="3152" t="e">
        <f>NUMBERSTRING(INT(D126*10000),2)&amp;"元整"</f>
        <v>#VALUE!</v>
      </c>
      <c r="E127" s="3154"/>
      <c r="F127" s="3154"/>
      <c r="G127" s="3154"/>
      <c r="H127" s="3154"/>
      <c r="I127" s="3153"/>
    </row>
    <row r="128" spans="1:11" ht="21.75" customHeight="1">
      <c r="A128" s="3155" t="s">
        <v>2319</v>
      </c>
      <c r="B128" s="3155"/>
      <c r="C128" s="3155"/>
      <c r="D128" s="3155"/>
      <c r="E128" s="3155"/>
      <c r="F128" s="3155"/>
      <c r="G128" s="3155"/>
      <c r="H128" s="3155"/>
      <c r="I128" s="3155"/>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2322</v>
      </c>
      <c r="G135" s="2544"/>
      <c r="H135" s="2544"/>
      <c r="I135" s="2545" t="s">
        <v>2323</v>
      </c>
    </row>
    <row r="136" spans="1:35" ht="21.75" customHeight="1">
      <c r="A136" s="793"/>
      <c r="B136" s="2546"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2325</v>
      </c>
    </row>
    <row r="139" spans="1:35" ht="21.75" customHeight="1">
      <c r="A139" s="793"/>
      <c r="B139" s="2546" t="s">
        <v>2326</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2325</v>
      </c>
    </row>
    <row r="142" spans="1:35" ht="21.75" customHeight="1">
      <c r="A142" s="793"/>
      <c r="B142" s="2546"/>
      <c r="C142" s="2547"/>
      <c r="D142" s="2548"/>
      <c r="E142" s="2548"/>
      <c r="F142" s="2342"/>
      <c r="G142" s="793"/>
      <c r="H142" s="793"/>
      <c r="I142" s="793"/>
    </row>
    <row r="143" spans="1:35" s="139" customFormat="1" ht="21.75" customHeight="1">
      <c r="A143" s="793"/>
      <c r="B143" s="2546"/>
      <c r="C143" s="2547"/>
      <c r="D143" s="2548"/>
      <c r="E143" s="2548"/>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c r="C1" s="242"/>
      <c r="D1" s="242"/>
      <c r="E1" s="242"/>
      <c r="F1" s="242"/>
      <c r="G1" s="1380">
        <f>MATCH(B1,'数据-取费表'!A6:A16,0)+5</f>
        <v>7</v>
      </c>
    </row>
    <row r="2" spans="1:9" s="244" customFormat="1" ht="18" customHeight="1">
      <c r="A2" s="245" t="s">
        <v>2328</v>
      </c>
      <c r="B2" s="246">
        <f ca="1">IF(D2="——",C52,C52-E2)</f>
        <v>7039</v>
      </c>
      <c r="C2" s="243" t="s">
        <v>2329</v>
      </c>
      <c r="D2" s="2549" t="s">
        <v>70</v>
      </c>
      <c r="E2" s="1440"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70390000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0" t="s">
        <v>2338</v>
      </c>
      <c r="B6" s="259" t="s">
        <v>2339</v>
      </c>
      <c r="C6" s="260"/>
      <c r="D6" s="261"/>
      <c r="E6" s="262"/>
      <c r="F6" s="262"/>
      <c r="G6" s="263"/>
    </row>
    <row r="7" spans="1:9" s="258" customFormat="1" ht="13.5" customHeight="1">
      <c r="A7" s="950" t="s">
        <v>2340</v>
      </c>
      <c r="B7" s="259" t="s">
        <v>2341</v>
      </c>
      <c r="C7" s="264">
        <f>ROUND(C6*F7,0)</f>
        <v>0</v>
      </c>
      <c r="D7" s="264"/>
      <c r="E7" s="262"/>
      <c r="F7" s="265">
        <f>'数据-取费表'!B48+'数据-取费表'!B49</f>
        <v>3.0499999999999999E-2</v>
      </c>
      <c r="G7" s="263"/>
    </row>
    <row r="8" spans="1:9" s="267" customFormat="1">
      <c r="A8" s="950" t="s">
        <v>2342</v>
      </c>
      <c r="B8" s="259" t="s">
        <v>2343</v>
      </c>
      <c r="C8" s="264">
        <f>IF(G8="已包含在土地购买价格中","0",IF(B1="",'数据-取费表'!B29,IF(G9="全部缴纳",C9+C10,H9)))</f>
        <v>0</v>
      </c>
      <c r="D8" s="266"/>
      <c r="E8" s="264"/>
      <c r="F8" s="265"/>
      <c r="G8" s="2552"/>
    </row>
    <row r="9" spans="1:9" s="258" customFormat="1" ht="13.5" customHeight="1">
      <c r="A9" s="951" t="s">
        <v>800</v>
      </c>
      <c r="B9" s="268" t="s">
        <v>2344</v>
      </c>
      <c r="C9" s="269">
        <f ca="1">ROUND(D9*E9/10000,0)</f>
        <v>0</v>
      </c>
      <c r="D9" s="1033">
        <f ca="1">IF(B1="",'数据-汇总表'!E5,IF(INDIRECT("'数据-取费表'!c"&amp;$G$1)="住宅",INDIRECT("'数据-取费表'!k"&amp;$G$1),0))</f>
        <v>1</v>
      </c>
      <c r="E9" s="269">
        <f>'数据-取费表'!B27</f>
        <v>160</v>
      </c>
      <c r="F9" s="265"/>
      <c r="G9" s="2553"/>
      <c r="H9" s="1390"/>
      <c r="I9" s="2554" t="s">
        <v>2345</v>
      </c>
    </row>
    <row r="10" spans="1:9" s="258" customFormat="1" ht="13.5" customHeight="1">
      <c r="A10" s="951" t="s">
        <v>801</v>
      </c>
      <c r="B10" s="268" t="s">
        <v>2346</v>
      </c>
      <c r="C10" s="269">
        <f ca="1">ROUND(D10*E10/10000,0)</f>
        <v>0</v>
      </c>
      <c r="D10" s="1033">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f ca="1">IF(G19="已包含在土地取得成本中","0",ROUND(D19*E19/10000,0))</f>
        <v>0</v>
      </c>
      <c r="D19" s="1037">
        <f ca="1">D9+D10</f>
        <v>1</v>
      </c>
      <c r="E19" s="255">
        <f>'数据-取费表'!B31</f>
        <v>0</v>
      </c>
      <c r="F19" s="275"/>
      <c r="G19" s="2552"/>
    </row>
    <row r="20" spans="1:7" s="258" customFormat="1" ht="13.5" customHeight="1">
      <c r="A20" s="299" t="s">
        <v>2359</v>
      </c>
      <c r="B20" s="254" t="s">
        <v>2360</v>
      </c>
      <c r="C20" s="276">
        <f ca="1">ROUND((C5+C19)*F20,0)</f>
        <v>0</v>
      </c>
      <c r="D20" s="276"/>
      <c r="E20" s="276"/>
      <c r="F20" s="277">
        <f>'数据-取费表'!B37</f>
        <v>0.02</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5">
        <f ca="1">ROUND(SUM(C23:C25),0)</f>
        <v>0</v>
      </c>
      <c r="D22" s="279">
        <f ca="1">C26</f>
        <v>5.0000000000000001E-4</v>
      </c>
      <c r="E22" s="280" t="s">
        <v>2364</v>
      </c>
      <c r="F22" s="281">
        <f ca="1">'数据-取费表'!B40</f>
        <v>4.7500000000000001E-2</v>
      </c>
      <c r="G22" s="278" t="str">
        <f>IF('数据-取费表'!B22&lt;=1,"单利计息","复利计息")</f>
        <v>复利计息</v>
      </c>
    </row>
    <row r="23" spans="1:7" s="258" customFormat="1" ht="13.5" customHeight="1">
      <c r="A23" s="952" t="s">
        <v>2368</v>
      </c>
      <c r="B23" s="259" t="s">
        <v>2369</v>
      </c>
      <c r="C23" s="1356">
        <f ca="1">ROUND(IF('数据-取费表'!B22&lt;=1,C5*F22*'数据-取费表'!B23,C5*(POWER((1+F22),'数据-取费表'!B23)-1)),0)</f>
        <v>0</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0</v>
      </c>
      <c r="D24" s="282"/>
      <c r="E24" s="282"/>
      <c r="F24" s="283"/>
      <c r="G24" s="284" t="s">
        <v>2373</v>
      </c>
    </row>
    <row r="25" spans="1:7" s="258" customFormat="1" ht="24">
      <c r="A25" s="952" t="s">
        <v>2374</v>
      </c>
      <c r="B25" s="259" t="s">
        <v>2375</v>
      </c>
      <c r="C25" s="1356">
        <f ca="1">ROUND(IF('数据-取费表'!B22&lt;=1,C20*F22*'数据-取费表'!B23/2,C20*(POWER((1+F22),'数据-取费表'!B23/2)-1)),0)</f>
        <v>0</v>
      </c>
      <c r="D25" s="282"/>
      <c r="E25" s="285"/>
      <c r="F25" s="283"/>
      <c r="G25" s="286" t="s">
        <v>2376</v>
      </c>
    </row>
    <row r="26" spans="1:7" s="258" customFormat="1">
      <c r="A26" s="952" t="s">
        <v>795</v>
      </c>
      <c r="B26" s="259" t="s">
        <v>2377</v>
      </c>
      <c r="C26" s="282">
        <f ca="1">ROUND(IF('数据-取费表'!B22&lt;=1,F21*F22*'数据-取费表'!B23/2,F21*(POWER((1+F22),'数据-取费表'!B23/2)-1)),4)</f>
        <v>5.0000000000000001E-4</v>
      </c>
      <c r="D26" s="282"/>
      <c r="E26" s="285"/>
      <c r="F26" s="283"/>
      <c r="G26" s="287"/>
    </row>
    <row r="27" spans="1:7" s="258" customFormat="1" ht="24.75">
      <c r="A27" s="299" t="s">
        <v>2378</v>
      </c>
      <c r="B27" s="288" t="s">
        <v>2379</v>
      </c>
      <c r="C27" s="289">
        <f ca="1">C28</f>
        <v>0</v>
      </c>
      <c r="D27" s="279">
        <f ca="1">C29</f>
        <v>8.0000000000000004E-4</v>
      </c>
      <c r="E27" s="280" t="s">
        <v>2380</v>
      </c>
      <c r="F27" s="290">
        <f ca="1">IF(B1="",'数据-取费表'!Q16,INDIRECT("'数据-取费表'!q"&amp;$G$1))</f>
        <v>0.08</v>
      </c>
      <c r="G27" s="291" t="s">
        <v>2381</v>
      </c>
    </row>
    <row r="28" spans="1:7" s="258" customFormat="1" ht="13.5" customHeight="1">
      <c r="A28" s="952" t="s">
        <v>791</v>
      </c>
      <c r="B28" s="292" t="s">
        <v>2382</v>
      </c>
      <c r="C28" s="293">
        <f ca="1">ROUND((C5+C19+C20)*F27*'数据-取费表'!B21/'数据-取费表'!B20,0)</f>
        <v>0</v>
      </c>
      <c r="D28" s="279"/>
      <c r="E28" s="280"/>
      <c r="F28" s="290"/>
      <c r="G28" s="291"/>
    </row>
    <row r="29" spans="1:7" s="258" customFormat="1" ht="13.5" customHeight="1">
      <c r="A29" s="952" t="s">
        <v>792</v>
      </c>
      <c r="B29" s="292" t="s">
        <v>2383</v>
      </c>
      <c r="C29" s="282">
        <f ca="1">ROUND(C21*F27*'数据-取费表'!B21/'数据-取费表'!B20,4)</f>
        <v>8.0000000000000004E-4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5725</v>
      </c>
      <c r="D33" s="276"/>
      <c r="E33" s="256"/>
      <c r="F33" s="285"/>
      <c r="G33" s="278"/>
    </row>
    <row r="34" spans="1:7" s="302" customFormat="1" ht="13.5" customHeight="1">
      <c r="A34" s="952" t="s">
        <v>791</v>
      </c>
      <c r="B34" s="259" t="s">
        <v>2391</v>
      </c>
      <c r="C34" s="264">
        <f ca="1">IF(B1="",IF(F34=100%,'数据-取费表'!M16,'数据-取费表'!O16),IF(F34=100%,INDIRECT("'数据-取费表'!m"&amp;$G$1)+INDIRECT("'数据-取费表'!t"&amp;$G$1),INDIRECT("'数据-取费表'!o"&amp;$G$1)+INDIRECT("'数据-取费表'!aq"&amp;$G$1)))</f>
        <v>5000</v>
      </c>
      <c r="D34" s="261"/>
      <c r="E34" s="264"/>
      <c r="F34" s="301">
        <f ca="1">IF('数据-取费表'!B24=0,1,IF(B1="",'数据-取费表'!N16,INDIRECT("'数据-取费表'!n"&amp;$G$1)))</f>
        <v>1</v>
      </c>
      <c r="G34" s="263" t="s">
        <v>2392</v>
      </c>
    </row>
    <row r="35" spans="1:7" ht="13.5" customHeight="1">
      <c r="A35" s="952" t="s">
        <v>796</v>
      </c>
      <c r="B35" s="259" t="s">
        <v>2393</v>
      </c>
      <c r="C35" s="264">
        <f ca="1">ROUND(C34*F35,0)</f>
        <v>150</v>
      </c>
      <c r="D35" s="264"/>
      <c r="E35" s="264"/>
      <c r="F35" s="303">
        <f>'数据-取费表'!B33</f>
        <v>0.03</v>
      </c>
      <c r="G35" s="263" t="s">
        <v>2394</v>
      </c>
    </row>
    <row r="36" spans="1:7" ht="24">
      <c r="A36" s="952" t="s">
        <v>797</v>
      </c>
      <c r="B36" s="259" t="s">
        <v>2395</v>
      </c>
      <c r="C36" s="264">
        <f ca="1">ROUND(IF(B1="",SUMIF('数据-取费表'!C:C,"住宅",IF(F34=100%,'数据-取费表'!M:M,'数据-取费表'!O:O))*F36,IF(INDIRECT("'数据-取费表'!c"&amp;$G$1)="住宅",IF(F34=100%,INDIRECT("'数据-取费表'!m"&amp;$G$1)*F36,INDIRECT("'数据-取费表'!o"&amp;$G$1)*F36),0)),0)</f>
        <v>500</v>
      </c>
      <c r="D36" s="264"/>
      <c r="E36" s="264"/>
      <c r="F36" s="303">
        <f>'数据-取费表'!B34</f>
        <v>0.1</v>
      </c>
      <c r="G36" s="304" t="s">
        <v>2396</v>
      </c>
    </row>
    <row r="37" spans="1:7" s="302" customFormat="1" ht="13.5" customHeight="1">
      <c r="A37" s="952" t="s">
        <v>798</v>
      </c>
      <c r="B37" s="259" t="s">
        <v>2397</v>
      </c>
      <c r="C37" s="293">
        <f ca="1">ROUND(E37*D37*F34/10000,0)</f>
        <v>0</v>
      </c>
      <c r="D37" s="261">
        <f ca="1">D19</f>
        <v>1</v>
      </c>
      <c r="E37" s="293">
        <f>'数据-取费表'!B35</f>
        <v>200</v>
      </c>
      <c r="F37" s="303"/>
      <c r="G37" s="305" t="s">
        <v>2398</v>
      </c>
    </row>
    <row r="38" spans="1:7" ht="13.5" customHeight="1">
      <c r="A38" s="952" t="s">
        <v>799</v>
      </c>
      <c r="B38" s="259" t="s">
        <v>2399</v>
      </c>
      <c r="C38" s="264">
        <f ca="1">ROUND(C34*F38,0)</f>
        <v>75</v>
      </c>
      <c r="D38" s="264"/>
      <c r="E38" s="264"/>
      <c r="F38" s="303">
        <f>'数据-取费表'!B36</f>
        <v>1.4999999999999999E-2</v>
      </c>
      <c r="G38" s="263" t="s">
        <v>2394</v>
      </c>
    </row>
    <row r="39" spans="1:7" s="258" customFormat="1" ht="13.5" customHeight="1">
      <c r="A39" s="299" t="s">
        <v>2400</v>
      </c>
      <c r="B39" s="254" t="s">
        <v>2401</v>
      </c>
      <c r="C39" s="276">
        <f ca="1">ROUND(C33*F20,0)</f>
        <v>115</v>
      </c>
      <c r="D39" s="276"/>
      <c r="E39" s="276"/>
      <c r="F39" s="277"/>
      <c r="G39" s="278" t="s">
        <v>2402</v>
      </c>
    </row>
    <row r="40" spans="1:7" s="258" customFormat="1" ht="13.5" customHeight="1">
      <c r="A40" s="299" t="s">
        <v>2403</v>
      </c>
      <c r="B40" s="254" t="s">
        <v>2404</v>
      </c>
      <c r="C40" s="1728">
        <f>F21</f>
        <v>0.01</v>
      </c>
      <c r="D40" s="280" t="s">
        <v>2405</v>
      </c>
      <c r="E40" s="276"/>
      <c r="F40" s="277"/>
      <c r="G40" s="278" t="s">
        <v>2406</v>
      </c>
    </row>
    <row r="41" spans="1:7" s="258" customFormat="1" ht="13.5" customHeight="1">
      <c r="A41" s="299" t="s">
        <v>2407</v>
      </c>
      <c r="B41" s="254" t="s">
        <v>2408</v>
      </c>
      <c r="C41" s="276">
        <f ca="1">ROUND(SUM(C42:C43),0)</f>
        <v>277</v>
      </c>
      <c r="D41" s="279">
        <f ca="1">C44</f>
        <v>5.0000000000000001E-4</v>
      </c>
      <c r="E41" s="280" t="s">
        <v>2405</v>
      </c>
      <c r="F41" s="281"/>
      <c r="G41" s="278" t="str">
        <f>IF('数据-取费表'!B22&lt;=1,"单利计息","复利计息")</f>
        <v>复利计息</v>
      </c>
    </row>
    <row r="42" spans="1:7" ht="13.5" customHeight="1">
      <c r="A42" s="952" t="s">
        <v>791</v>
      </c>
      <c r="B42" s="259" t="s">
        <v>2409</v>
      </c>
      <c r="C42" s="282">
        <f ca="1">ROUND(IF('数据-取费表'!B22&lt;=1,C33*F22*'数据-取费表'!B21/2,C33*(POWER((1+F22),'数据-取费表'!B21/2)-1)),0)</f>
        <v>272</v>
      </c>
      <c r="D42" s="282"/>
      <c r="E42" s="282"/>
      <c r="F42" s="283"/>
      <c r="G42" s="3227" t="s">
        <v>2410</v>
      </c>
    </row>
    <row r="43" spans="1:7" ht="13.5" customHeight="1">
      <c r="A43" s="952" t="s">
        <v>792</v>
      </c>
      <c r="B43" s="259" t="s">
        <v>2411</v>
      </c>
      <c r="C43" s="282">
        <f ca="1">ROUND(IF('数据-取费表'!B22&lt;=1,C39*F22*'数据-取费表'!B21/2,C39*(POWER((1+F22),'数据-取费表'!B21/2)-1)),0)</f>
        <v>5</v>
      </c>
      <c r="D43" s="282"/>
      <c r="E43" s="282"/>
      <c r="F43" s="283"/>
      <c r="G43" s="3228"/>
    </row>
    <row r="44" spans="1:7" ht="13.5" customHeight="1">
      <c r="A44" s="952" t="s">
        <v>793</v>
      </c>
      <c r="B44" s="259" t="s">
        <v>2412</v>
      </c>
      <c r="C44" s="282">
        <f ca="1">ROUND(IF('数据-取费表'!B22&lt;=1,C40*F22*'数据-取费表'!B21/2,C40*(POWER((1+F22),'数据-取费表'!B21/2)-1)),4)</f>
        <v>5.0000000000000001E-4</v>
      </c>
      <c r="D44" s="282"/>
      <c r="E44" s="282"/>
      <c r="F44" s="283"/>
      <c r="G44" s="3229"/>
    </row>
    <row r="45" spans="1:7" s="258" customFormat="1" ht="13.5" customHeight="1">
      <c r="A45" s="299" t="s">
        <v>2413</v>
      </c>
      <c r="B45" s="288" t="s">
        <v>2379</v>
      </c>
      <c r="C45" s="289">
        <f ca="1">C46</f>
        <v>467</v>
      </c>
      <c r="D45" s="279">
        <f ca="1">C47</f>
        <v>8.0000000000000004E-4</v>
      </c>
      <c r="E45" s="280" t="s">
        <v>2405</v>
      </c>
      <c r="F45" s="290"/>
      <c r="G45" s="291" t="s">
        <v>2414</v>
      </c>
    </row>
    <row r="46" spans="1:7" s="258" customFormat="1" ht="13.5" customHeight="1">
      <c r="A46" s="952" t="s">
        <v>791</v>
      </c>
      <c r="B46" s="292" t="s">
        <v>2415</v>
      </c>
      <c r="C46" s="293">
        <f ca="1">ROUND((C33+C39)*F27,0)</f>
        <v>467</v>
      </c>
      <c r="D46" s="307"/>
      <c r="E46" s="280"/>
      <c r="F46" s="290"/>
      <c r="G46" s="291"/>
    </row>
    <row r="47" spans="1:7" s="258" customFormat="1" ht="13.5" customHeight="1">
      <c r="A47" s="952" t="s">
        <v>792</v>
      </c>
      <c r="B47" s="292" t="s">
        <v>2416</v>
      </c>
      <c r="C47" s="282">
        <f ca="1">ROUND(C40*F27,4)</f>
        <v>8.0000000000000004E-4</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7039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7039</v>
      </c>
      <c r="D51" s="276"/>
      <c r="E51" s="276"/>
      <c r="F51" s="308"/>
      <c r="G51" s="278" t="s">
        <v>2426</v>
      </c>
    </row>
    <row r="52" spans="1:7" s="252" customFormat="1" ht="16.5" thickBot="1">
      <c r="A52" s="309" t="s">
        <v>2427</v>
      </c>
      <c r="B52" s="310"/>
      <c r="C52" s="311">
        <f ca="1">C31+C51</f>
        <v>7039</v>
      </c>
      <c r="D52" s="310"/>
      <c r="E52" s="310"/>
      <c r="F52" s="310"/>
      <c r="G52" s="312"/>
    </row>
    <row r="55" spans="1:7" ht="15">
      <c r="B55" s="314" t="s">
        <v>2428</v>
      </c>
      <c r="C55" s="315"/>
    </row>
    <row r="56" spans="1:7">
      <c r="B56" s="317" t="s">
        <v>1513</v>
      </c>
      <c r="C56" s="319">
        <f ca="1">1-C57</f>
        <v>0</v>
      </c>
    </row>
    <row r="57" spans="1:7">
      <c r="B57" s="317" t="s">
        <v>1514</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41" t="str">
        <f>项目基本情况!B1</f>
        <v>北京市房地产市场价值预评估</v>
      </c>
      <c r="C37" s="3041"/>
      <c r="D37" s="3041"/>
      <c r="E37" s="3041"/>
      <c r="F37" s="3041"/>
      <c r="G37" s="3041"/>
      <c r="H37" s="3041"/>
      <c r="I37" s="3041"/>
    </row>
    <row r="38" spans="1:9">
      <c r="A38" s="1017"/>
      <c r="B38" s="1017"/>
    </row>
    <row r="39" spans="1:9">
      <c r="A39" s="1015" t="s">
        <v>818</v>
      </c>
      <c r="B39" s="1015" t="s">
        <v>820</v>
      </c>
    </row>
    <row r="40" spans="1:9">
      <c r="A40" s="1015"/>
      <c r="B40" s="1942">
        <f>项目基本情况!B5</f>
        <v>0</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叶凌（注册号：1119970111)、陈颖（注册号：1120060040)</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B1"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t="s">
        <v>3048</v>
      </c>
      <c r="C1" s="2555" t="s">
        <v>2429</v>
      </c>
      <c r="D1" s="242"/>
      <c r="E1" s="242"/>
      <c r="F1" s="242"/>
      <c r="G1" s="1380">
        <f>MATCH(B1,'数据-取费表'!A6:A16,0)+5</f>
        <v>6</v>
      </c>
      <c r="H1" s="1283" t="str">
        <f>IF(ISERROR(FIND("住宅",B1)),"非住宅","住宅")</f>
        <v>住宅</v>
      </c>
    </row>
    <row r="2" spans="1:8" s="244" customFormat="1" ht="18" customHeight="1">
      <c r="A2" s="245" t="s">
        <v>2328</v>
      </c>
      <c r="B2" s="246">
        <f ca="1">ROUND(IF(D2="——",C52/10000,C52/10000-E2),0)</f>
        <v>4</v>
      </c>
      <c r="C2" s="243" t="s">
        <v>2329</v>
      </c>
      <c r="D2" s="2549" t="s">
        <v>70</v>
      </c>
      <c r="E2" s="1440"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40000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29017</v>
      </c>
      <c r="D5" s="255" t="s">
        <v>2335</v>
      </c>
      <c r="E5" s="256" t="s">
        <v>2336</v>
      </c>
      <c r="F5" s="256" t="s">
        <v>2337</v>
      </c>
      <c r="G5" s="257"/>
    </row>
    <row r="6" spans="1:8" s="258" customFormat="1" ht="13.5" customHeight="1">
      <c r="A6" s="950" t="s">
        <v>2338</v>
      </c>
      <c r="B6" s="259" t="s">
        <v>2339</v>
      </c>
      <c r="C6" s="260">
        <f>ROUND('土地比较法-住宅、综合'!C48,0)</f>
        <v>28003</v>
      </c>
      <c r="D6" s="261"/>
      <c r="E6" s="262"/>
      <c r="F6" s="262"/>
      <c r="G6" s="263"/>
    </row>
    <row r="7" spans="1:8" s="258" customFormat="1" ht="13.5" customHeight="1">
      <c r="A7" s="950" t="s">
        <v>2340</v>
      </c>
      <c r="B7" s="259" t="s">
        <v>2341</v>
      </c>
      <c r="C7" s="264">
        <f>ROUND(C6*F7,0)</f>
        <v>854</v>
      </c>
      <c r="D7" s="264"/>
      <c r="E7" s="262"/>
      <c r="F7" s="265">
        <f>'数据-取费表'!B48+'数据-取费表'!B49</f>
        <v>3.0499999999999999E-2</v>
      </c>
      <c r="G7" s="263"/>
    </row>
    <row r="8" spans="1:8" s="267" customFormat="1">
      <c r="A8" s="950" t="s">
        <v>2342</v>
      </c>
      <c r="B8" s="259" t="s">
        <v>2343</v>
      </c>
      <c r="C8" s="264">
        <f ca="1">IF(G8="已包含在土地购买价格中",0,C9+C10)</f>
        <v>160</v>
      </c>
      <c r="D8" s="266"/>
      <c r="E8" s="264"/>
      <c r="F8" s="265"/>
      <c r="G8" s="2552" t="s">
        <v>3063</v>
      </c>
    </row>
    <row r="9" spans="1:8" s="258" customFormat="1" ht="13.5" customHeight="1">
      <c r="A9" s="951" t="s">
        <v>800</v>
      </c>
      <c r="B9" s="268" t="s">
        <v>2344</v>
      </c>
      <c r="C9" s="269">
        <f ca="1">ROUND(D9*E9,0)</f>
        <v>160</v>
      </c>
      <c r="D9" s="1033">
        <f ca="1">IF(B1="",'数据-汇总表'!E5,IF(INDIRECT("'数据-取费表'!c"&amp;$G$1)="住宅",INDIRECT("'数据-取费表'!k"&amp;$G$1),0))</f>
        <v>1</v>
      </c>
      <c r="E9" s="269">
        <f>'数据-取费表'!B27</f>
        <v>160</v>
      </c>
      <c r="F9" s="265"/>
      <c r="G9" s="270"/>
    </row>
    <row r="10" spans="1:8" s="258" customFormat="1" ht="13.5" customHeight="1">
      <c r="A10" s="951" t="s">
        <v>801</v>
      </c>
      <c r="B10" s="268" t="s">
        <v>2346</v>
      </c>
      <c r="C10" s="269">
        <f ca="1">ROUND(D10*E10,0)</f>
        <v>0</v>
      </c>
      <c r="D10" s="1033">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IF(G19="已包含在土地取得成本中","0",ROUND(D19*E19,0))</f>
        <v>0</v>
      </c>
      <c r="D19" s="1037">
        <f ca="1">D9+D10</f>
        <v>1</v>
      </c>
      <c r="E19" s="255">
        <f>'数据-取费表'!B31</f>
        <v>0</v>
      </c>
      <c r="F19" s="275"/>
      <c r="G19" s="2552" t="s">
        <v>1074</v>
      </c>
    </row>
    <row r="20" spans="1:7" s="258" customFormat="1" ht="13.5" customHeight="1">
      <c r="A20" s="299" t="s">
        <v>2440</v>
      </c>
      <c r="B20" s="254" t="s">
        <v>2441</v>
      </c>
      <c r="C20" s="276">
        <f ca="1">ROUND((C5+C19)*F20,0)</f>
        <v>580</v>
      </c>
      <c r="D20" s="276"/>
      <c r="E20" s="276"/>
      <c r="F20" s="277">
        <f>'数据-取费表'!B37</f>
        <v>0.02</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1">
        <f ca="1">ROUND(SUM(C23:C25),0)</f>
        <v>2850</v>
      </c>
      <c r="D22" s="279">
        <f ca="1">C26</f>
        <v>5.0000000000000001E-4</v>
      </c>
      <c r="E22" s="280" t="s">
        <v>2445</v>
      </c>
      <c r="F22" s="281">
        <f ca="1">'数据-取费表'!B40</f>
        <v>4.7500000000000001E-2</v>
      </c>
      <c r="G22" s="278" t="str">
        <f>IF('数据-取费表'!B22&lt;=1,"单利计息","复利计息")</f>
        <v>复利计息</v>
      </c>
    </row>
    <row r="23" spans="1:7" s="258" customFormat="1" ht="13.5" customHeight="1">
      <c r="A23" s="952" t="s">
        <v>2338</v>
      </c>
      <c r="B23" s="259" t="s">
        <v>2449</v>
      </c>
      <c r="C23" s="1382">
        <f ca="1">ROUND(IF('数据-取费表'!B22&lt;=1,C5*F22*'数据-取费表'!B22,C5*(POWER((1+F22),'数据-取费表'!B22)-1)),0)</f>
        <v>2822</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0</v>
      </c>
      <c r="D24" s="282"/>
      <c r="E24" s="282"/>
      <c r="F24" s="283"/>
      <c r="G24" s="284" t="s">
        <v>2452</v>
      </c>
    </row>
    <row r="25" spans="1:7" s="258" customFormat="1" ht="24">
      <c r="A25" s="952" t="s">
        <v>2342</v>
      </c>
      <c r="B25" s="259" t="s">
        <v>2453</v>
      </c>
      <c r="C25" s="1382">
        <f ca="1">ROUND(IF('数据-取费表'!B22&lt;=1,C20*F22*'数据-取费表'!B22/2,C20*(POWER((1+F22),'数据-取费表'!B22/2)-1)),0)</f>
        <v>28</v>
      </c>
      <c r="D25" s="282"/>
      <c r="E25" s="285"/>
      <c r="F25" s="283"/>
      <c r="G25" s="286" t="s">
        <v>2454</v>
      </c>
    </row>
    <row r="26" spans="1:7" s="258" customFormat="1">
      <c r="A26" s="952" t="s">
        <v>795</v>
      </c>
      <c r="B26" s="259" t="s">
        <v>2377</v>
      </c>
      <c r="C26" s="282">
        <f ca="1">ROUND(IF('数据-取费表'!B22&lt;=1,F21*F22*'数据-取费表'!B22/2,F21*(POWER((1+F22),'数据-取费表'!B22/2)-1)),4)</f>
        <v>5.0000000000000001E-4</v>
      </c>
      <c r="D26" s="282"/>
      <c r="E26" s="285"/>
      <c r="F26" s="283"/>
      <c r="G26" s="287"/>
    </row>
    <row r="27" spans="1:7" s="258" customFormat="1" ht="24.75">
      <c r="A27" s="299" t="s">
        <v>2378</v>
      </c>
      <c r="B27" s="288" t="s">
        <v>2379</v>
      </c>
      <c r="C27" s="289">
        <f ca="1">C28</f>
        <v>2368</v>
      </c>
      <c r="D27" s="279">
        <f ca="1">C29</f>
        <v>8.0000000000000004E-4</v>
      </c>
      <c r="E27" s="280" t="s">
        <v>2380</v>
      </c>
      <c r="F27" s="290">
        <f ca="1">IF(B1="",'数据-取费表'!Q16,INDIRECT("'数据-取费表'!q"&amp;$G$1))</f>
        <v>0.08</v>
      </c>
      <c r="G27" s="291" t="s">
        <v>2381</v>
      </c>
    </row>
    <row r="28" spans="1:7" s="258" customFormat="1" ht="13.5" customHeight="1">
      <c r="A28" s="952" t="s">
        <v>791</v>
      </c>
      <c r="B28" s="292" t="s">
        <v>2382</v>
      </c>
      <c r="C28" s="293">
        <f ca="1">ROUND((C5+C19+C20)*F27,0)</f>
        <v>2368</v>
      </c>
      <c r="D28" s="279"/>
      <c r="E28" s="280"/>
      <c r="F28" s="290"/>
      <c r="G28" s="291"/>
    </row>
    <row r="29" spans="1:7" s="258" customFormat="1" ht="13.5" customHeight="1">
      <c r="A29" s="952" t="s">
        <v>792</v>
      </c>
      <c r="B29" s="292" t="s">
        <v>2383</v>
      </c>
      <c r="C29" s="282">
        <f ca="1">ROUND(C21*F27,4)</f>
        <v>8.0000000000000004E-4</v>
      </c>
      <c r="D29" s="279"/>
      <c r="E29" s="280"/>
      <c r="F29" s="290"/>
      <c r="G29" s="291"/>
    </row>
    <row r="30" spans="1:7" s="258" customFormat="1" ht="13.5" customHeight="1">
      <c r="A30" s="299" t="s">
        <v>2384</v>
      </c>
      <c r="B30" s="254" t="s">
        <v>2385</v>
      </c>
      <c r="C30" s="3023">
        <f>ROUND((1/1.1*0.1-C21/1.06*0.06)*(1+'数据-取费表'!B44+'数据-取费表'!B45+'数据-取费表'!B46),4)</f>
        <v>0.1012</v>
      </c>
      <c r="D30" s="3024">
        <f>ROUND(C6/1.1*0.1*(1+'数据-取费表'!B44+'数据-取费表'!B45+'数据-取费表'!B46),0)</f>
        <v>2851</v>
      </c>
      <c r="E30" s="285"/>
      <c r="F30" s="281">
        <f>'数据-取费表'!B41</f>
        <v>5.6000000000000001E-2</v>
      </c>
      <c r="G30" s="278" t="s">
        <v>2386</v>
      </c>
    </row>
    <row r="31" spans="1:7" ht="16.5" customHeight="1">
      <c r="A31" s="253">
        <v>1</v>
      </c>
      <c r="B31" s="254" t="s">
        <v>2387</v>
      </c>
      <c r="C31" s="3025">
        <f ca="1">ROUND((C5+C19+C20+C22+C27-D30)/(1-C21-D22-D27-C30),0)</f>
        <v>36016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5925</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5000</v>
      </c>
      <c r="D34" s="261"/>
      <c r="E34" s="264"/>
      <c r="F34" s="301"/>
      <c r="G34" s="263"/>
    </row>
    <row r="35" spans="1:7" ht="13.5" customHeight="1">
      <c r="A35" s="952" t="s">
        <v>796</v>
      </c>
      <c r="B35" s="259" t="s">
        <v>2393</v>
      </c>
      <c r="C35" s="264">
        <f ca="1">ROUND(C34*F35,0)</f>
        <v>150</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500</v>
      </c>
      <c r="D36" s="264"/>
      <c r="E36" s="264"/>
      <c r="F36" s="303">
        <f>'数据-取费表'!B34</f>
        <v>0.1</v>
      </c>
      <c r="G36" s="304" t="s">
        <v>2396</v>
      </c>
    </row>
    <row r="37" spans="1:7" s="302" customFormat="1" ht="13.5" customHeight="1">
      <c r="A37" s="952" t="s">
        <v>798</v>
      </c>
      <c r="B37" s="259" t="s">
        <v>2397</v>
      </c>
      <c r="C37" s="293">
        <f ca="1">ROUND(E37*D37,0)</f>
        <v>200</v>
      </c>
      <c r="D37" s="261">
        <f ca="1">D19</f>
        <v>1</v>
      </c>
      <c r="E37" s="293">
        <f>'数据-取费表'!B35</f>
        <v>200</v>
      </c>
      <c r="F37" s="303"/>
      <c r="G37" s="305"/>
    </row>
    <row r="38" spans="1:7" ht="13.5" customHeight="1">
      <c r="A38" s="952" t="s">
        <v>799</v>
      </c>
      <c r="B38" s="259" t="s">
        <v>2399</v>
      </c>
      <c r="C38" s="264">
        <f ca="1">ROUND(C34*F38,0)</f>
        <v>75</v>
      </c>
      <c r="D38" s="264"/>
      <c r="E38" s="264"/>
      <c r="F38" s="303">
        <f>'数据-取费表'!B36</f>
        <v>1.4999999999999999E-2</v>
      </c>
      <c r="G38" s="263" t="s">
        <v>2394</v>
      </c>
    </row>
    <row r="39" spans="1:7" s="258" customFormat="1" ht="13.5" customHeight="1">
      <c r="A39" s="299" t="s">
        <v>2400</v>
      </c>
      <c r="B39" s="254" t="s">
        <v>2401</v>
      </c>
      <c r="C39" s="276">
        <f ca="1">ROUND(C33*F20,0)</f>
        <v>119</v>
      </c>
      <c r="D39" s="276"/>
      <c r="E39" s="276"/>
      <c r="F39" s="277"/>
      <c r="G39" s="278" t="s">
        <v>2402</v>
      </c>
    </row>
    <row r="40" spans="1:7" s="258" customFormat="1" ht="13.5" customHeight="1">
      <c r="A40" s="299" t="s">
        <v>2403</v>
      </c>
      <c r="B40" s="254" t="s">
        <v>2404</v>
      </c>
      <c r="C40" s="1728">
        <f>F21</f>
        <v>0.01</v>
      </c>
      <c r="D40" s="280" t="s">
        <v>2405</v>
      </c>
      <c r="E40" s="276"/>
      <c r="F40" s="277"/>
      <c r="G40" s="278" t="s">
        <v>2406</v>
      </c>
    </row>
    <row r="41" spans="1:7" s="258" customFormat="1" ht="13.5" customHeight="1">
      <c r="A41" s="299" t="s">
        <v>2407</v>
      </c>
      <c r="B41" s="254" t="s">
        <v>2408</v>
      </c>
      <c r="C41" s="276">
        <f ca="1">ROUND(SUM(C42:C43),0)</f>
        <v>287</v>
      </c>
      <c r="D41" s="279">
        <f ca="1">C44</f>
        <v>5.0000000000000001E-4</v>
      </c>
      <c r="E41" s="280" t="s">
        <v>2405</v>
      </c>
      <c r="F41" s="281"/>
      <c r="G41" s="278" t="str">
        <f>IF('数据-取费表'!B22&lt;=1,"单利计息","复利计息")</f>
        <v>复利计息</v>
      </c>
    </row>
    <row r="42" spans="1:7" ht="13.5" customHeight="1">
      <c r="A42" s="952" t="s">
        <v>791</v>
      </c>
      <c r="B42" s="259" t="s">
        <v>2409</v>
      </c>
      <c r="C42" s="282">
        <f ca="1">ROUND(IF('数据-取费表'!B22&lt;=1,C33*F22*'数据-取费表'!B20/2,C33*(POWER((1+F22),'数据-取费表'!B20/2)-1)),0)</f>
        <v>281</v>
      </c>
      <c r="D42" s="282"/>
      <c r="E42" s="282"/>
      <c r="F42" s="283"/>
      <c r="G42" s="3227" t="s">
        <v>2457</v>
      </c>
    </row>
    <row r="43" spans="1:7" ht="13.5" customHeight="1">
      <c r="A43" s="952" t="s">
        <v>792</v>
      </c>
      <c r="B43" s="259" t="s">
        <v>2411</v>
      </c>
      <c r="C43" s="282">
        <f ca="1">ROUND(IF('数据-取费表'!B22&lt;=1,C39*F22*'数据-取费表'!B20/2,C39*(POWER((1+F22),'数据-取费表'!B20/2)-1)),0)</f>
        <v>6</v>
      </c>
      <c r="D43" s="282"/>
      <c r="E43" s="282"/>
      <c r="F43" s="283"/>
      <c r="G43" s="3228"/>
    </row>
    <row r="44" spans="1:7" ht="13.5" customHeight="1">
      <c r="A44" s="952" t="s">
        <v>793</v>
      </c>
      <c r="B44" s="259" t="s">
        <v>2412</v>
      </c>
      <c r="C44" s="282">
        <f ca="1">ROUND(IF('数据-取费表'!B22&lt;=1,C40*F22*'数据-取费表'!B20/2,C40*(POWER((1+F22),'数据-取费表'!B20/2)-1)),4)</f>
        <v>5.0000000000000001E-4</v>
      </c>
      <c r="D44" s="282"/>
      <c r="E44" s="282"/>
      <c r="F44" s="283"/>
      <c r="G44" s="3229"/>
    </row>
    <row r="45" spans="1:7" s="258" customFormat="1" ht="13.5" customHeight="1">
      <c r="A45" s="299" t="s">
        <v>2413</v>
      </c>
      <c r="B45" s="288" t="s">
        <v>2379</v>
      </c>
      <c r="C45" s="289">
        <f ca="1">C46</f>
        <v>484</v>
      </c>
      <c r="D45" s="279">
        <f ca="1">C47</f>
        <v>8.0000000000000004E-4</v>
      </c>
      <c r="E45" s="280" t="s">
        <v>2405</v>
      </c>
      <c r="F45" s="290"/>
      <c r="G45" s="291" t="s">
        <v>2414</v>
      </c>
    </row>
    <row r="46" spans="1:7" s="258" customFormat="1" ht="13.5" customHeight="1">
      <c r="A46" s="952" t="s">
        <v>791</v>
      </c>
      <c r="B46" s="292" t="s">
        <v>2415</v>
      </c>
      <c r="C46" s="293">
        <f ca="1">ROUND((C33+C39)*F27,0)</f>
        <v>484</v>
      </c>
      <c r="D46" s="307"/>
      <c r="E46" s="280"/>
      <c r="F46" s="290"/>
      <c r="G46" s="291"/>
    </row>
    <row r="47" spans="1:7" s="258" customFormat="1" ht="13.5" customHeight="1">
      <c r="A47" s="952" t="s">
        <v>792</v>
      </c>
      <c r="B47" s="292" t="s">
        <v>2416</v>
      </c>
      <c r="C47" s="282">
        <f ca="1">ROUND(C40*F27,4)</f>
        <v>8.0000000000000004E-4</v>
      </c>
      <c r="D47" s="307"/>
      <c r="E47" s="280"/>
      <c r="F47" s="290"/>
      <c r="G47" s="291"/>
    </row>
    <row r="48" spans="1:7" s="258" customFormat="1" ht="13.5" customHeight="1">
      <c r="A48" s="299" t="s">
        <v>2378</v>
      </c>
      <c r="B48" s="254" t="s">
        <v>2417</v>
      </c>
      <c r="C48" s="3026">
        <f>ROUND((1/1.1*0.1-C40/1.06*0.06)*(1+'数据-取费表'!B44+'数据-取费表'!B45+'数据-取费表'!B46),4)</f>
        <v>0.1012</v>
      </c>
      <c r="D48" s="3024">
        <f ca="1">ROUND(((C34+C36+C37)/1.1*0.1+(C35)/1.06*0.06)*(1+'数据-取费表'!B44+'数据-取费表'!B45+'数据-取费表'!B46),0)</f>
        <v>590</v>
      </c>
      <c r="E48" s="276"/>
      <c r="F48" s="281"/>
      <c r="G48" s="278" t="s">
        <v>2418</v>
      </c>
    </row>
    <row r="49" spans="1:7" ht="16.5" customHeight="1">
      <c r="A49" s="299" t="s">
        <v>2384</v>
      </c>
      <c r="B49" s="254" t="s">
        <v>2458</v>
      </c>
      <c r="C49" s="3027">
        <f ca="1">ROUND((C33+C39+C41+C45-D48)/(1-C40-D41-D45-C48),0)</f>
        <v>7014</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7014</v>
      </c>
      <c r="D51" s="276"/>
      <c r="E51" s="276"/>
      <c r="F51" s="308"/>
      <c r="G51" s="278" t="s">
        <v>2426</v>
      </c>
    </row>
    <row r="52" spans="1:7" s="252" customFormat="1" ht="16.5" thickBot="1">
      <c r="A52" s="309" t="s">
        <v>2427</v>
      </c>
      <c r="B52" s="310"/>
      <c r="C52" s="311">
        <f ca="1">C31+C51</f>
        <v>43030</v>
      </c>
      <c r="D52" s="310"/>
      <c r="E52" s="310"/>
      <c r="F52" s="310"/>
      <c r="G52" s="312"/>
    </row>
    <row r="55" spans="1:7" ht="15">
      <c r="B55" s="314" t="s">
        <v>2428</v>
      </c>
      <c r="C55" s="315"/>
    </row>
    <row r="56" spans="1:7">
      <c r="B56" s="317" t="s">
        <v>1513</v>
      </c>
      <c r="C56" s="319">
        <f ca="1">1-C57</f>
        <v>0.83699999999999997</v>
      </c>
    </row>
    <row r="57" spans="1:7">
      <c r="B57" s="317" t="s">
        <v>1514</v>
      </c>
      <c r="C57" s="318">
        <f ca="1">ROUND(C51/C52,3)</f>
        <v>0.16300000000000001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6" t="s">
        <v>2466</v>
      </c>
      <c r="D5" s="2556" t="s">
        <v>2467</v>
      </c>
      <c r="E5" s="2556" t="s">
        <v>2468</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1334</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2482</v>
      </c>
      <c r="C12" s="24">
        <f ca="1">ROUND(C11*F12,0)</f>
        <v>0</v>
      </c>
      <c r="D12" s="974"/>
      <c r="E12" s="375"/>
      <c r="F12" s="977">
        <f>'数据-取费表'!B33</f>
        <v>0.03</v>
      </c>
      <c r="G12" s="8" t="s">
        <v>2483</v>
      </c>
      <c r="H12" s="969"/>
      <c r="I12" s="969"/>
      <c r="J12" s="969"/>
      <c r="K12" s="970"/>
    </row>
    <row r="13" spans="1:33" s="976" customFormat="1" ht="13.5" customHeight="1">
      <c r="A13" s="972" t="s">
        <v>1336</v>
      </c>
      <c r="B13" s="973" t="s">
        <v>2484</v>
      </c>
      <c r="C13" s="24">
        <f ca="1">ROUND(IF(C1="",SUMIF('数据-取费表'!C:C,"住宅",'数据-取费表'!P:P)*F13,IF(INDIRECT("'数据-取费表'!c"&amp;$K$1)="住宅",INDIRECT("'数据-取费表'!P"&amp;$K$1)*F13,0)),0)</f>
        <v>0</v>
      </c>
      <c r="D13" s="1034"/>
      <c r="E13" s="375"/>
      <c r="F13" s="977">
        <f>'数据-取费表'!B34</f>
        <v>0.1</v>
      </c>
      <c r="G13" s="8" t="s">
        <v>2485</v>
      </c>
      <c r="H13" s="969"/>
      <c r="I13" s="969"/>
      <c r="J13" s="969"/>
      <c r="K13" s="970"/>
    </row>
    <row r="14" spans="1:33" s="978" customFormat="1" ht="13.5" customHeight="1">
      <c r="A14" s="972" t="s">
        <v>1337</v>
      </c>
      <c r="B14" s="973" t="s">
        <v>2486</v>
      </c>
      <c r="C14" s="24">
        <f ca="1">ROUND(D14*E14*F11/10000,0)</f>
        <v>0</v>
      </c>
      <c r="D14" s="1034">
        <f ca="1">IF(C1="",'数据-汇总表'!E3,INDIRECT("'数据-取费表'!K"&amp;$K$1)+INDIRECT("'数据-取费表'!S"&amp;$K$1))</f>
        <v>1</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1</v>
      </c>
      <c r="E17" s="24">
        <f>'数据-取费表'!B32</f>
        <v>0</v>
      </c>
      <c r="F17" s="979"/>
      <c r="G17" s="140" t="s">
        <v>2492</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2493</v>
      </c>
      <c r="C18" s="24">
        <f ca="1">C19+C20-IF(C1="",'数据-取费表'!B29,IF(G18="已全部缴纳",C19+C20,H18))</f>
        <v>0</v>
      </c>
      <c r="D18" s="1034"/>
      <c r="E18" s="24"/>
      <c r="F18" s="977"/>
      <c r="G18" s="2558"/>
      <c r="H18" s="1577"/>
      <c r="I18" s="2559"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1</v>
      </c>
      <c r="E19" s="24">
        <f>'数据-取费表'!B27</f>
        <v>160</v>
      </c>
      <c r="F19" s="977"/>
      <c r="G19" s="15"/>
      <c r="H19" s="1579"/>
      <c r="I19" s="982"/>
      <c r="J19" s="982"/>
      <c r="K19" s="983"/>
    </row>
    <row r="20" spans="1:33" s="976" customFormat="1" ht="13.5" customHeight="1">
      <c r="A20" s="972" t="s">
        <v>806</v>
      </c>
      <c r="B20" s="973" t="s">
        <v>2496</v>
      </c>
      <c r="C20" s="24">
        <f ca="1">ROUND(D20*E20/10000,0)</f>
        <v>0</v>
      </c>
      <c r="D20" s="1034">
        <f ca="1">IF(C1="",'数据-汇总表'!E6,IF(INDIRECT("'数据-取费表'!c"&amp;$K$1)="住宅",INDIRECT("'数据-取费表'!s"&amp;$K$1),INDIRECT("'数据-取费表'!k"&amp;$K$1)+INDIRECT("'数据-取费表'!s"&amp;$K$1)))</f>
        <v>0</v>
      </c>
      <c r="E20" s="24">
        <f>'数据-取费表'!B28</f>
        <v>0</v>
      </c>
      <c r="F20" s="977"/>
      <c r="G20" s="15"/>
      <c r="H20" s="982"/>
      <c r="I20" s="982"/>
      <c r="J20" s="982"/>
      <c r="K20" s="983"/>
    </row>
    <row r="21" spans="1:33" s="976" customFormat="1" ht="13.5" customHeight="1">
      <c r="A21" s="962" t="s">
        <v>802</v>
      </c>
      <c r="B21" s="986" t="s">
        <v>2497</v>
      </c>
      <c r="C21" s="987">
        <f ca="1">C16+C17+C18</f>
        <v>0</v>
      </c>
      <c r="D21" s="988"/>
      <c r="E21" s="325"/>
      <c r="F21" s="325"/>
      <c r="G21" s="140" t="s">
        <v>2498</v>
      </c>
      <c r="H21" s="980"/>
      <c r="I21" s="980"/>
      <c r="J21" s="980"/>
      <c r="K21" s="981"/>
    </row>
    <row r="22" spans="1:33" s="976" customFormat="1" ht="13.5" customHeight="1">
      <c r="A22" s="962" t="s">
        <v>2470</v>
      </c>
      <c r="B22" s="986" t="s">
        <v>2499</v>
      </c>
      <c r="C22" s="987">
        <f ca="1">ROUND(C21*F22,0)</f>
        <v>0</v>
      </c>
      <c r="D22" s="325"/>
      <c r="E22" s="325"/>
      <c r="F22" s="989">
        <f>'数据-取费表'!B37</f>
        <v>0.02</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0.01</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0"/>
      <c r="I27" s="980"/>
      <c r="J27" s="980"/>
      <c r="K27" s="981"/>
    </row>
    <row r="28" spans="1:33" s="333" customFormat="1" ht="13.5" customHeight="1">
      <c r="A28" s="962" t="s">
        <v>2510</v>
      </c>
      <c r="B28" s="2561" t="s">
        <v>2511</v>
      </c>
      <c r="C28" s="331">
        <f ca="1">C30</f>
        <v>0</v>
      </c>
      <c r="D28" s="324">
        <f ca="1">C29</f>
        <v>0</v>
      </c>
      <c r="E28" s="326" t="s">
        <v>15</v>
      </c>
      <c r="F28" s="332">
        <f ca="1">IF(C1="",'数据-取费表'!Q16,INDIRECT("'数据-取费表'!q"&amp;$K$1))</f>
        <v>0.08</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0</v>
      </c>
      <c r="D30" s="328"/>
      <c r="E30" s="329"/>
      <c r="F30" s="334"/>
      <c r="G30" s="140"/>
      <c r="H30" s="980"/>
      <c r="I30" s="980"/>
      <c r="J30" s="980"/>
      <c r="K30" s="981"/>
    </row>
    <row r="31" spans="1:33" s="976" customFormat="1" ht="13.5" customHeight="1" thickBot="1">
      <c r="A31" s="2562" t="s">
        <v>2515</v>
      </c>
      <c r="B31" s="1006" t="s">
        <v>2516</v>
      </c>
      <c r="C31" s="1007">
        <f>ROUND(C4*F31/(1+'数据-取费表'!C42),0)</f>
        <v>0</v>
      </c>
      <c r="D31" s="1008"/>
      <c r="E31" s="1009"/>
      <c r="F31" s="1010">
        <f>'数据-取费表'!B41</f>
        <v>5.6000000000000001E-2</v>
      </c>
      <c r="G31" s="1011" t="s">
        <v>2517</v>
      </c>
      <c r="H31" s="1012"/>
      <c r="I31" s="1012"/>
      <c r="J31" s="1012"/>
      <c r="K31" s="1013"/>
    </row>
    <row r="32" spans="1:33" s="971" customFormat="1" ht="13.5" customHeight="1" thickBot="1">
      <c r="A32" s="1001" t="s">
        <v>2518</v>
      </c>
      <c r="B32" s="1002"/>
      <c r="C32" s="1003">
        <f ca="1">ROUND((C4-C21-C22-C23-C25-C28-C31)/(1+C24+D25+D28),0)</f>
        <v>0</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2"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0</v>
      </c>
      <c r="D5" s="1822" t="s">
        <v>1402</v>
      </c>
      <c r="E5" s="1294"/>
      <c r="F5" s="1295"/>
      <c r="G5" s="1851"/>
      <c r="H5" s="344">
        <v>1</v>
      </c>
      <c r="I5" s="345" t="s">
        <v>1401</v>
      </c>
      <c r="J5" s="1293">
        <f ca="1">J6+J10+J12</f>
        <v>0</v>
      </c>
      <c r="K5" s="1822" t="s">
        <v>1402</v>
      </c>
      <c r="L5" s="1294"/>
      <c r="M5" s="1295"/>
    </row>
    <row r="6" spans="1:37" ht="18" customHeight="1">
      <c r="A6" s="1292" t="s">
        <v>1035</v>
      </c>
      <c r="B6" s="3232" t="s">
        <v>1403</v>
      </c>
      <c r="C6" s="1297">
        <f ca="1">ROUND(F6*F8*F7*(1-F9)/10000,0)</f>
        <v>0</v>
      </c>
      <c r="D6" s="164" t="s">
        <v>3032</v>
      </c>
      <c r="E6" s="347" t="s">
        <v>1405</v>
      </c>
      <c r="F6" s="348">
        <f ca="1">INDIRECT("'数据-取费表'!u"&amp;$G$1)</f>
        <v>0</v>
      </c>
      <c r="G6" s="1851"/>
      <c r="H6" s="1292" t="s">
        <v>1035</v>
      </c>
      <c r="I6" s="3232" t="s">
        <v>1403</v>
      </c>
      <c r="J6" s="346">
        <f ca="1">ROUND(M6*M8*M7*(1-M9)/10000,0)</f>
        <v>0</v>
      </c>
      <c r="K6" s="164" t="s">
        <v>3031</v>
      </c>
      <c r="L6" s="347" t="s">
        <v>1405</v>
      </c>
      <c r="M6" s="348">
        <f ca="1">INDIRECT("'数据-取费表'!z"&amp;$G$1)</f>
        <v>0</v>
      </c>
    </row>
    <row r="7" spans="1:37" ht="18" customHeight="1">
      <c r="A7" s="1296"/>
      <c r="B7" s="3233"/>
      <c r="C7" s="1298"/>
      <c r="D7" s="352"/>
      <c r="E7" s="1299" t="s">
        <v>1406</v>
      </c>
      <c r="F7" s="348">
        <f ca="1">IF(INDIRECT("'数据-取费表'!ah"&amp;$G$1)="",INDIRECT("'数据-取费表'!k"&amp;$G$1),INDIRECT("'数据-取费表'!ah"&amp;$G$1))</f>
        <v>0</v>
      </c>
      <c r="G7" s="1851"/>
      <c r="H7" s="349"/>
      <c r="I7" s="3233"/>
      <c r="J7" s="351"/>
      <c r="K7" s="352"/>
      <c r="L7" s="347" t="s">
        <v>1406</v>
      </c>
      <c r="M7" s="348">
        <f ca="1">F7</f>
        <v>0</v>
      </c>
    </row>
    <row r="8" spans="1:37" ht="18" customHeight="1">
      <c r="A8" s="349"/>
      <c r="B8" s="3233"/>
      <c r="C8" s="351"/>
      <c r="D8" s="352"/>
      <c r="E8" s="347" t="s">
        <v>1407</v>
      </c>
      <c r="F8" s="348">
        <f ca="1">INDIRECT("'数据-取费表'!ai"&amp;$G$1)</f>
        <v>0</v>
      </c>
      <c r="G8" s="1851"/>
      <c r="H8" s="349"/>
      <c r="I8" s="3233"/>
      <c r="J8" s="351"/>
      <c r="K8" s="352"/>
      <c r="L8" s="347" t="s">
        <v>1407</v>
      </c>
      <c r="M8" s="348">
        <f ca="1">INDIRECT("'数据-取费表'!ai"&amp;$G$1)</f>
        <v>0</v>
      </c>
    </row>
    <row r="9" spans="1:37" ht="18" customHeight="1">
      <c r="A9" s="349"/>
      <c r="B9" s="3234"/>
      <c r="C9" s="351"/>
      <c r="D9" s="352"/>
      <c r="E9" s="347" t="s">
        <v>1408</v>
      </c>
      <c r="F9" s="357">
        <f ca="1">INDIRECT("'数据-取费表'!w"&amp;$G$1)</f>
        <v>0</v>
      </c>
      <c r="G9" s="1851"/>
      <c r="H9" s="349"/>
      <c r="I9" s="3234"/>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3041</v>
      </c>
      <c r="E10" s="358" t="s">
        <v>1410</v>
      </c>
      <c r="F10" s="1367"/>
      <c r="G10" s="1851"/>
      <c r="H10" s="1292" t="s">
        <v>1039</v>
      </c>
      <c r="I10" s="1823" t="s">
        <v>1409</v>
      </c>
      <c r="J10" s="346">
        <f ca="1">ROUND(IF(M10="押一",J6/12*M11,IF(M10="押二",J6/12*2*M11,IF(M10="押三",J6/12*3*M11,J11*M11))),0)</f>
        <v>0</v>
      </c>
      <c r="K10" s="1824" t="s">
        <v>3040</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0</v>
      </c>
      <c r="D17" s="347" t="s">
        <v>1427</v>
      </c>
      <c r="E17" s="347" t="s">
        <v>1428</v>
      </c>
      <c r="F17" s="26">
        <f>'数据-取费表'!B35</f>
        <v>200</v>
      </c>
      <c r="G17" s="1854"/>
      <c r="H17" s="1202"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IF(项目基本情况!B11="自然人","——",ROUND(C5*F32/(1+'数据-取费表'!C42),2))</f>
        <v>0</v>
      </c>
      <c r="D32" s="1798" t="s">
        <v>1434</v>
      </c>
      <c r="E32" s="347" t="s">
        <v>1422</v>
      </c>
      <c r="F32" s="377">
        <f>'数据-取费表'!B41</f>
        <v>5.6000000000000001E-2</v>
      </c>
      <c r="G32" s="1851"/>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IF(项目基本情况!B11="自然人","——",ROUND(F34*F35/10000,2))</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ROUND(C29*F36,1)</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ROUND(C13*F37,1)</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ROUND(C40*10000/F43,0)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ROUND(F49*F51*F50*(1-F52)/10000,0)</f>
        <v>0</v>
      </c>
      <c r="D49" s="1277" t="s">
        <v>3033</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369"/>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3040</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30" t="s">
        <v>1548</v>
      </c>
      <c r="L53" s="3231"/>
      <c r="O53" s="1884" t="s">
        <v>1046</v>
      </c>
      <c r="P53" s="1885" t="s">
        <v>1549</v>
      </c>
      <c r="Q53" s="1886" t="e">
        <f ca="1">Q47+Q48</f>
        <v>#DIV/0!</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7">
        <v>2</v>
      </c>
      <c r="B56" s="1178"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ROUND(C48*F66,1)</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c r="O70" s="1894" t="s">
        <v>1049</v>
      </c>
      <c r="P70" s="1934" t="s">
        <v>1585</v>
      </c>
      <c r="Q70" s="1886">
        <f ca="1">C13</f>
        <v>0</v>
      </c>
      <c r="R70" s="1886" t="s">
        <v>1529</v>
      </c>
    </row>
    <row r="71" spans="1:18" s="1842" customFormat="1" ht="13.5" thickBot="1">
      <c r="A71" s="1191" t="s">
        <v>1033</v>
      </c>
      <c r="B71" s="1192" t="s">
        <v>1487</v>
      </c>
      <c r="C71" s="382" t="e">
        <f ca="1">ROUND(C68*10000/F71,0)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0</v>
      </c>
      <c r="D5" s="1822" t="s">
        <v>1601</v>
      </c>
      <c r="E5" s="1294"/>
      <c r="F5" s="1295"/>
      <c r="G5" s="1851"/>
      <c r="H5" s="344">
        <v>1</v>
      </c>
      <c r="I5" s="345" t="s">
        <v>1600</v>
      </c>
      <c r="J5" s="1293">
        <f ca="1">J6+J10+J12</f>
        <v>0</v>
      </c>
      <c r="K5" s="1822" t="s">
        <v>1601</v>
      </c>
      <c r="L5" s="1294"/>
      <c r="M5" s="1295"/>
    </row>
    <row r="6" spans="1:37" ht="18" customHeight="1">
      <c r="A6" s="1292" t="s">
        <v>1035</v>
      </c>
      <c r="B6" s="3232" t="s">
        <v>1403</v>
      </c>
      <c r="C6" s="1297">
        <f ca="1">ROUND(F6*F8*F7*(1-F9),0)</f>
        <v>0</v>
      </c>
      <c r="D6" s="164" t="s">
        <v>3029</v>
      </c>
      <c r="E6" s="347" t="s">
        <v>1405</v>
      </c>
      <c r="F6" s="348">
        <f ca="1">INDIRECT("'数据-取费表'!u"&amp;$G$1)</f>
        <v>0</v>
      </c>
      <c r="G6" s="1851"/>
      <c r="H6" s="1292" t="s">
        <v>1035</v>
      </c>
      <c r="I6" s="3232" t="s">
        <v>1403</v>
      </c>
      <c r="J6" s="346">
        <f ca="1">ROUND(M6*M8*M7*(1-M9),0)</f>
        <v>0</v>
      </c>
      <c r="K6" s="1834" t="s">
        <v>3030</v>
      </c>
      <c r="L6" s="347" t="s">
        <v>1405</v>
      </c>
      <c r="M6" s="348">
        <f ca="1">INDIRECT("'数据-取费表'!z"&amp;$G$1)</f>
        <v>0</v>
      </c>
    </row>
    <row r="7" spans="1:37" ht="18" customHeight="1">
      <c r="A7" s="1296"/>
      <c r="B7" s="3233"/>
      <c r="C7" s="1298"/>
      <c r="D7" s="352"/>
      <c r="E7" s="1299" t="s">
        <v>1406</v>
      </c>
      <c r="F7" s="348">
        <f ca="1">IF(INDIRECT("'数据-取费表'!ah"&amp;$G$1)="",INDIRECT("'数据-取费表'!k"&amp;$G$1),INDIRECT("'数据-取费表'!ah"&amp;$G$1))</f>
        <v>0</v>
      </c>
      <c r="G7" s="1851"/>
      <c r="H7" s="349"/>
      <c r="I7" s="3233"/>
      <c r="J7" s="351"/>
      <c r="K7" s="352"/>
      <c r="L7" s="347" t="s">
        <v>1406</v>
      </c>
      <c r="M7" s="348">
        <f ca="1">F7</f>
        <v>0</v>
      </c>
    </row>
    <row r="8" spans="1:37" ht="18" customHeight="1">
      <c r="A8" s="349"/>
      <c r="B8" s="3233"/>
      <c r="C8" s="351"/>
      <c r="D8" s="352"/>
      <c r="E8" s="347" t="s">
        <v>1407</v>
      </c>
      <c r="F8" s="348">
        <f ca="1">INDIRECT("'数据-取费表'!ai"&amp;$G$1)</f>
        <v>0</v>
      </c>
      <c r="G8" s="1851"/>
      <c r="H8" s="349"/>
      <c r="I8" s="3233"/>
      <c r="J8" s="351"/>
      <c r="K8" s="352"/>
      <c r="L8" s="347" t="s">
        <v>1407</v>
      </c>
      <c r="M8" s="348">
        <f ca="1">INDIRECT("'数据-取费表'!ai"&amp;$G$1)</f>
        <v>0</v>
      </c>
    </row>
    <row r="9" spans="1:37" ht="18" customHeight="1">
      <c r="A9" s="349"/>
      <c r="B9" s="3234"/>
      <c r="C9" s="351"/>
      <c r="D9" s="352"/>
      <c r="E9" s="347" t="s">
        <v>1408</v>
      </c>
      <c r="F9" s="357">
        <f ca="1">INDIRECT("'数据-取费表'!w"&amp;$G$1)</f>
        <v>0</v>
      </c>
      <c r="G9" s="1851"/>
      <c r="H9" s="349"/>
      <c r="I9" s="3234"/>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3040</v>
      </c>
      <c r="E10" s="358" t="s">
        <v>1410</v>
      </c>
      <c r="F10" s="1367"/>
      <c r="G10" s="1851"/>
      <c r="H10" s="1292" t="s">
        <v>1039</v>
      </c>
      <c r="I10" s="1823" t="s">
        <v>1409</v>
      </c>
      <c r="J10" s="346">
        <f ca="1">ROUND(IF(M10="押一",J6/12*M11,IF(M10="押二",J6/12*2*M11,IF(M10="押三",J6/12*3*M11,J11*M11))),0)</f>
        <v>0</v>
      </c>
      <c r="K10" s="1835" t="s">
        <v>3042</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ROUND(F17*(F43+INDIRECT("'数据-取费表'!S"&amp;$G$1)),0)</f>
        <v>0</v>
      </c>
      <c r="D17" s="347" t="s">
        <v>1427</v>
      </c>
      <c r="E17" s="347" t="s">
        <v>1428</v>
      </c>
      <c r="F17" s="26">
        <f>'数据-取费表'!B35</f>
        <v>200</v>
      </c>
      <c r="G17" s="1854"/>
      <c r="H17" s="1202"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IF(项目基本情况!B11="自然人","——",ROUND(C5*F32/(1+'数据-取费表'!C42),0))</f>
        <v>0</v>
      </c>
      <c r="D32" s="1798" t="s">
        <v>1434</v>
      </c>
      <c r="E32" s="347" t="s">
        <v>1422</v>
      </c>
      <c r="F32" s="377">
        <f>'数据-取费表'!B41</f>
        <v>5.6000000000000001E-2</v>
      </c>
      <c r="G32" s="1851"/>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ROUND(C29*F36,0)</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ROUND(C13*F37,0)</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ROUND(F49*F51*F50*(1-F52),0)</f>
        <v>0</v>
      </c>
      <c r="D49" s="1277" t="s">
        <v>1404</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200"/>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30.75" customHeight="1" thickBot="1">
      <c r="A53" s="1362" t="s">
        <v>1137</v>
      </c>
      <c r="B53" s="369" t="s">
        <v>1409</v>
      </c>
      <c r="C53" s="361">
        <f ca="1">ROUND(IF(F53="押一",C49/12*F11,IF(F53="押二",C49/12*2*F11,IF(F53="押三",C49/12*3*F11,C54*F11))),0)</f>
        <v>0</v>
      </c>
      <c r="D53" s="1824" t="s">
        <v>3043</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30" t="s">
        <v>1548</v>
      </c>
      <c r="L53" s="3231"/>
      <c r="O53" s="1884" t="s">
        <v>1046</v>
      </c>
      <c r="P53" s="1885" t="s">
        <v>1549</v>
      </c>
      <c r="Q53" s="1886" t="e">
        <f ca="1">Q47+Q48</f>
        <v>#DIV/0!</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IF(项目基本情况!B11="自然人","——",ROUND(F62*F63,0))</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ROUND(C48*F66,0)</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f ca="1">F42</f>
        <v>0</v>
      </c>
      <c r="O70" s="1894" t="s">
        <v>1049</v>
      </c>
      <c r="P70" s="1934" t="s">
        <v>1585</v>
      </c>
      <c r="Q70" s="1886">
        <f ca="1">C13</f>
        <v>0</v>
      </c>
      <c r="R70" s="1886" t="s">
        <v>1529</v>
      </c>
    </row>
    <row r="71" spans="1:18" s="1842" customFormat="1" ht="13.5" thickBot="1">
      <c r="A71" s="1191" t="s">
        <v>1033</v>
      </c>
      <c r="B71" s="1192" t="s">
        <v>1487</v>
      </c>
      <c r="C71" s="382" t="e">
        <f ca="1">ROUND(C68/F71,0)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2527</v>
      </c>
      <c r="B1" s="2564"/>
      <c r="C1" s="2564"/>
      <c r="D1" s="2564"/>
      <c r="E1" s="2565"/>
    </row>
    <row r="2" spans="1:6" ht="15.75">
      <c r="A2" s="2566" t="s">
        <v>2328</v>
      </c>
      <c r="B2" s="2567">
        <f ca="1">SUMIF(B6:B13,"&lt;&gt;#ref!",B6:B13)</f>
        <v>4</v>
      </c>
      <c r="C2" s="2568" t="s">
        <v>2520</v>
      </c>
      <c r="D2" s="2569" t="s">
        <v>2521</v>
      </c>
      <c r="E2" s="2570">
        <f>SUM(E6:E13)</f>
        <v>1</v>
      </c>
    </row>
    <row r="3" spans="1:6" ht="15.75">
      <c r="A3" s="2566" t="s">
        <v>1395</v>
      </c>
      <c r="B3" s="2567">
        <f ca="1">ROUND(B2*10000/E2,0)</f>
        <v>40000</v>
      </c>
      <c r="C3" s="2568" t="s">
        <v>2528</v>
      </c>
      <c r="D3" s="2571"/>
      <c r="E3" s="2572"/>
    </row>
    <row r="4" spans="1:6" ht="15.75">
      <c r="A4" s="2573"/>
      <c r="B4" s="2571"/>
      <c r="C4" s="2571"/>
      <c r="D4" s="2571"/>
      <c r="E4" s="2572"/>
    </row>
    <row r="5" spans="1:6" ht="15">
      <c r="A5" s="2574" t="s">
        <v>2522</v>
      </c>
      <c r="B5" s="3235" t="s">
        <v>2523</v>
      </c>
      <c r="C5" s="3235"/>
      <c r="D5" s="2575"/>
      <c r="E5" s="2576" t="s">
        <v>2524</v>
      </c>
      <c r="F5" s="2577" t="s">
        <v>2525</v>
      </c>
    </row>
    <row r="6" spans="1:6">
      <c r="A6" s="2578" t="str">
        <f>'数据-取费表'!AN6</f>
        <v>成本法 (元)</v>
      </c>
      <c r="B6" s="2577">
        <f ca="1">IF(F6="是",'数据-取费表'!AO6,0)</f>
        <v>4</v>
      </c>
      <c r="C6" s="2568" t="s">
        <v>2520</v>
      </c>
      <c r="D6" s="2571"/>
      <c r="E6" s="2579">
        <f>IF(OR(A6=0,F6="否"),0,'数据-取费表'!K6+'数据-取费表'!S6)</f>
        <v>1</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36" t="s">
        <v>1076</v>
      </c>
      <c r="B1" s="3237"/>
      <c r="C1" s="3238"/>
      <c r="D1" s="3239">
        <f>SUM(I10,I15,I20,I21,I23)</f>
        <v>0</v>
      </c>
      <c r="E1" s="3239"/>
      <c r="F1" s="3239"/>
      <c r="G1" s="3239"/>
      <c r="H1" s="3239"/>
      <c r="I1" s="3240"/>
    </row>
    <row r="2" spans="1:9">
      <c r="A2" s="3241" t="s">
        <v>1077</v>
      </c>
      <c r="B2" s="3242" t="s">
        <v>1078</v>
      </c>
      <c r="C2" s="3242"/>
      <c r="D2" s="1302" t="s">
        <v>1079</v>
      </c>
      <c r="E2" s="1302" t="s">
        <v>1080</v>
      </c>
      <c r="F2" s="1302" t="s">
        <v>1081</v>
      </c>
      <c r="G2" s="1302" t="s">
        <v>1082</v>
      </c>
      <c r="H2" s="1302" t="s">
        <v>1083</v>
      </c>
      <c r="I2" s="1303" t="s">
        <v>1084</v>
      </c>
    </row>
    <row r="3" spans="1:9">
      <c r="A3" s="3241"/>
      <c r="B3" s="3242" t="s">
        <v>1085</v>
      </c>
      <c r="C3" s="3242"/>
      <c r="D3" s="1304"/>
      <c r="E3" s="1302"/>
      <c r="F3" s="1305"/>
      <c r="G3" s="1305"/>
      <c r="H3" s="1306"/>
      <c r="I3" s="1307">
        <f>ROUND(D3*E3*F3*G3*H3/10000,0)</f>
        <v>0</v>
      </c>
    </row>
    <row r="4" spans="1:9">
      <c r="A4" s="3241"/>
      <c r="B4" s="3242" t="s">
        <v>1086</v>
      </c>
      <c r="C4" s="3242"/>
      <c r="D4" s="1304"/>
      <c r="E4" s="1302"/>
      <c r="F4" s="1305"/>
      <c r="G4" s="1305"/>
      <c r="H4" s="1306"/>
      <c r="I4" s="1307">
        <f t="shared" ref="I4:I9" si="0">ROUND(D4*E4*F4*G4*H4/10000,0)</f>
        <v>0</v>
      </c>
    </row>
    <row r="5" spans="1:9">
      <c r="A5" s="3241"/>
      <c r="B5" s="3242" t="s">
        <v>1087</v>
      </c>
      <c r="C5" s="3242"/>
      <c r="D5" s="1304"/>
      <c r="E5" s="1302"/>
      <c r="F5" s="1305"/>
      <c r="G5" s="1305"/>
      <c r="H5" s="1306"/>
      <c r="I5" s="1307">
        <f t="shared" si="0"/>
        <v>0</v>
      </c>
    </row>
    <row r="6" spans="1:9">
      <c r="A6" s="3241"/>
      <c r="B6" s="3242" t="s">
        <v>1088</v>
      </c>
      <c r="C6" s="3242"/>
      <c r="D6" s="1304"/>
      <c r="E6" s="1302"/>
      <c r="F6" s="1305"/>
      <c r="G6" s="1305"/>
      <c r="H6" s="1306"/>
      <c r="I6" s="1307">
        <f t="shared" si="0"/>
        <v>0</v>
      </c>
    </row>
    <row r="7" spans="1:9">
      <c r="A7" s="3241"/>
      <c r="B7" s="3242" t="s">
        <v>1089</v>
      </c>
      <c r="C7" s="3242"/>
      <c r="D7" s="1304"/>
      <c r="E7" s="1302"/>
      <c r="F7" s="1305"/>
      <c r="G7" s="1305"/>
      <c r="H7" s="1306"/>
      <c r="I7" s="1307">
        <f t="shared" si="0"/>
        <v>0</v>
      </c>
    </row>
    <row r="8" spans="1:9">
      <c r="A8" s="3241"/>
      <c r="B8" s="3242" t="s">
        <v>1090</v>
      </c>
      <c r="C8" s="3242"/>
      <c r="D8" s="1304"/>
      <c r="E8" s="1302"/>
      <c r="F8" s="1305"/>
      <c r="G8" s="1305"/>
      <c r="H8" s="1306"/>
      <c r="I8" s="1307">
        <f t="shared" si="0"/>
        <v>0</v>
      </c>
    </row>
    <row r="9" spans="1:9">
      <c r="A9" s="3241"/>
      <c r="B9" s="3242" t="s">
        <v>1091</v>
      </c>
      <c r="C9" s="3242"/>
      <c r="D9" s="1304"/>
      <c r="E9" s="1302"/>
      <c r="F9" s="1305"/>
      <c r="G9" s="1305"/>
      <c r="H9" s="1306"/>
      <c r="I9" s="1307">
        <f t="shared" si="0"/>
        <v>0</v>
      </c>
    </row>
    <row r="10" spans="1:9">
      <c r="A10" s="3241"/>
      <c r="B10" s="3243" t="s">
        <v>1092</v>
      </c>
      <c r="C10" s="3243"/>
      <c r="D10" s="1308"/>
      <c r="E10" s="1308" t="e">
        <f>ROUND(D1*10000/D10/H9,0)</f>
        <v>#DIV/0!</v>
      </c>
      <c r="F10" s="1309"/>
      <c r="G10" s="1309"/>
      <c r="H10" s="1310"/>
      <c r="I10" s="1311">
        <f>SUM(I3:I9)</f>
        <v>0</v>
      </c>
    </row>
    <row r="11" spans="1:9" ht="14.25">
      <c r="A11" s="3241" t="s">
        <v>1093</v>
      </c>
      <c r="B11" s="3242" t="s">
        <v>1094</v>
      </c>
      <c r="C11" s="3242"/>
      <c r="D11" s="1304" t="s">
        <v>1095</v>
      </c>
      <c r="E11" s="1304" t="s">
        <v>1096</v>
      </c>
      <c r="F11" s="1305" t="s">
        <v>1097</v>
      </c>
      <c r="G11" s="1305" t="s">
        <v>1083</v>
      </c>
      <c r="H11" s="1312" t="s">
        <v>1098</v>
      </c>
      <c r="I11" s="1303" t="s">
        <v>1084</v>
      </c>
    </row>
    <row r="12" spans="1:9">
      <c r="A12" s="3241"/>
      <c r="B12" s="3242" t="s">
        <v>1099</v>
      </c>
      <c r="C12" s="3242"/>
      <c r="D12" s="1304"/>
      <c r="E12" s="1304"/>
      <c r="F12" s="1305"/>
      <c r="G12" s="1306"/>
      <c r="H12" s="1313"/>
      <c r="I12" s="1303">
        <f>ROUND(D12*E12*F12*G12/10000,0)</f>
        <v>0</v>
      </c>
    </row>
    <row r="13" spans="1:9">
      <c r="A13" s="3241"/>
      <c r="B13" s="3242" t="s">
        <v>1100</v>
      </c>
      <c r="C13" s="3242"/>
      <c r="D13" s="1304"/>
      <c r="E13" s="1304"/>
      <c r="F13" s="1305"/>
      <c r="G13" s="1306"/>
      <c r="H13" s="1313"/>
      <c r="I13" s="1303">
        <f>ROUND(D13*E13*F13*G13/10000,0)</f>
        <v>0</v>
      </c>
    </row>
    <row r="14" spans="1:9">
      <c r="A14" s="3241"/>
      <c r="B14" s="3242" t="s">
        <v>1101</v>
      </c>
      <c r="C14" s="3242"/>
      <c r="D14" s="1304"/>
      <c r="E14" s="1304"/>
      <c r="F14" s="1305"/>
      <c r="G14" s="1306"/>
      <c r="H14" s="1313"/>
      <c r="I14" s="1303">
        <f>ROUND(D14*E14*F14*G14/10000,0)</f>
        <v>0</v>
      </c>
    </row>
    <row r="15" spans="1:9">
      <c r="A15" s="3241"/>
      <c r="B15" s="3243" t="s">
        <v>1092</v>
      </c>
      <c r="C15" s="3243"/>
      <c r="D15" s="1308"/>
      <c r="E15" s="1308">
        <f>SUM(E12:E14)</f>
        <v>0</v>
      </c>
      <c r="F15" s="1309"/>
      <c r="G15" s="1306"/>
      <c r="H15" s="1313"/>
      <c r="I15" s="1314">
        <f>SUM(I12:I14)</f>
        <v>0</v>
      </c>
    </row>
    <row r="16" spans="1:9" ht="24">
      <c r="A16" s="3241" t="s">
        <v>1102</v>
      </c>
      <c r="B16" s="3242" t="s">
        <v>1103</v>
      </c>
      <c r="C16" s="3242"/>
      <c r="D16" s="1304" t="s">
        <v>1079</v>
      </c>
      <c r="E16" s="1315" t="s">
        <v>1104</v>
      </c>
      <c r="F16" s="1305" t="s">
        <v>1105</v>
      </c>
      <c r="G16" s="1306" t="s">
        <v>1083</v>
      </c>
      <c r="H16" s="1312" t="s">
        <v>1098</v>
      </c>
      <c r="I16" s="1303" t="s">
        <v>1084</v>
      </c>
    </row>
    <row r="17" spans="1:9" ht="14.25">
      <c r="A17" s="3241"/>
      <c r="B17" s="3242" t="s">
        <v>1106</v>
      </c>
      <c r="C17" s="3242"/>
      <c r="D17" s="1304"/>
      <c r="E17" s="1304"/>
      <c r="F17" s="1305"/>
      <c r="G17" s="1306"/>
      <c r="H17" s="1316"/>
      <c r="I17" s="1317">
        <f>ROUND(D17*E17*F17*G17/10000,0)</f>
        <v>0</v>
      </c>
    </row>
    <row r="18" spans="1:9" ht="14.25">
      <c r="A18" s="3241"/>
      <c r="B18" s="3242" t="s">
        <v>1107</v>
      </c>
      <c r="C18" s="3242"/>
      <c r="D18" s="1304"/>
      <c r="E18" s="1304"/>
      <c r="F18" s="1305"/>
      <c r="G18" s="1306"/>
      <c r="H18" s="1316"/>
      <c r="I18" s="1317">
        <f>ROUND(D18*E18*F18*G18/10000,0)</f>
        <v>0</v>
      </c>
    </row>
    <row r="19" spans="1:9" ht="14.25">
      <c r="A19" s="3241"/>
      <c r="B19" s="3242" t="s">
        <v>1108</v>
      </c>
      <c r="C19" s="3242"/>
      <c r="D19" s="1304"/>
      <c r="E19" s="1304"/>
      <c r="F19" s="1305"/>
      <c r="G19" s="1306"/>
      <c r="H19" s="1316"/>
      <c r="I19" s="1317">
        <f>ROUND(D19*E19*F19*G19/10000,0)</f>
        <v>0</v>
      </c>
    </row>
    <row r="20" spans="1:9">
      <c r="A20" s="3241"/>
      <c r="B20" s="3243" t="s">
        <v>1092</v>
      </c>
      <c r="C20" s="3243"/>
      <c r="D20" s="1308">
        <f>SUM(D17:D19)</f>
        <v>0</v>
      </c>
      <c r="E20" s="1308"/>
      <c r="F20" s="1309"/>
      <c r="G20" s="1306"/>
      <c r="H20" s="1313"/>
      <c r="I20" s="1314">
        <f>SUM(I17:I19)</f>
        <v>0</v>
      </c>
    </row>
    <row r="21" spans="1:9">
      <c r="A21" s="3241" t="s">
        <v>1109</v>
      </c>
      <c r="B21" s="3245"/>
      <c r="C21" s="3245"/>
      <c r="D21" s="3245"/>
      <c r="E21" s="3245"/>
      <c r="F21" s="3245"/>
      <c r="G21" s="3245"/>
      <c r="H21" s="1765">
        <v>0.1</v>
      </c>
      <c r="I21" s="1311">
        <f>ROUND(I10*H21,0)</f>
        <v>0</v>
      </c>
    </row>
    <row r="22" spans="1:9" ht="14.25">
      <c r="A22" s="3246" t="s">
        <v>1110</v>
      </c>
      <c r="B22" s="3247"/>
      <c r="C22" s="3248"/>
      <c r="D22" s="1318" t="s">
        <v>1111</v>
      </c>
      <c r="E22" s="1318" t="s">
        <v>1112</v>
      </c>
      <c r="F22" s="1319" t="s">
        <v>1113</v>
      </c>
      <c r="G22" s="1319" t="s">
        <v>1114</v>
      </c>
      <c r="H22" s="1312" t="s">
        <v>1115</v>
      </c>
      <c r="I22" s="1303" t="s">
        <v>1116</v>
      </c>
    </row>
    <row r="23" spans="1:9" ht="14.25" thickBot="1">
      <c r="A23" s="3249"/>
      <c r="B23" s="3250"/>
      <c r="C23" s="3251"/>
      <c r="D23" s="1320"/>
      <c r="E23" s="1320"/>
      <c r="F23" s="1320"/>
      <c r="G23" s="1321"/>
      <c r="H23" s="1322"/>
      <c r="I23" s="1323">
        <f>ROUND(E23*D23*F23*(1-G23)/10000,0)</f>
        <v>0</v>
      </c>
    </row>
    <row r="26" spans="1:9">
      <c r="A26" s="1324" t="s">
        <v>1117</v>
      </c>
      <c r="B26" s="1324"/>
      <c r="C26" s="1324"/>
      <c r="D26" s="1324"/>
      <c r="E26" s="3252">
        <f>C27-C30-C31-C32</f>
        <v>0</v>
      </c>
      <c r="F26" s="3252"/>
      <c r="G26" s="3252"/>
      <c r="H26" s="1737" t="s">
        <v>1340</v>
      </c>
    </row>
    <row r="27" spans="1:9">
      <c r="A27" s="1325">
        <v>1</v>
      </c>
      <c r="B27" s="1326" t="s">
        <v>1118</v>
      </c>
      <c r="C27" s="1326">
        <f>C28+C29</f>
        <v>0</v>
      </c>
      <c r="D27" s="1326"/>
      <c r="E27" s="3253"/>
      <c r="F27" s="3253"/>
      <c r="G27" s="3253"/>
    </row>
    <row r="28" spans="1:9">
      <c r="A28" s="1327" t="s">
        <v>1119</v>
      </c>
      <c r="B28" s="1326" t="s">
        <v>1120</v>
      </c>
      <c r="C28" s="1326"/>
      <c r="D28" s="1326"/>
      <c r="E28" s="3253"/>
      <c r="F28" s="3253"/>
      <c r="G28" s="325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44"/>
      <c r="F32" s="3244"/>
      <c r="G32" s="3244"/>
    </row>
    <row r="33" spans="1:7" hidden="1">
      <c r="A33" s="3254" t="s">
        <v>1129</v>
      </c>
      <c r="B33" s="3255"/>
      <c r="C33" s="3255"/>
      <c r="D33" s="3256"/>
      <c r="E33" s="3252"/>
      <c r="F33" s="3252"/>
      <c r="G33" s="3252"/>
    </row>
    <row r="34" spans="1:7" hidden="1">
      <c r="A34" s="1329">
        <v>1</v>
      </c>
      <c r="B34" s="1326" t="s">
        <v>1130</v>
      </c>
      <c r="C34" s="1326"/>
      <c r="D34" s="1326"/>
      <c r="E34" s="3253"/>
      <c r="F34" s="3253"/>
      <c r="G34" s="3253"/>
    </row>
    <row r="35" spans="1:7" hidden="1">
      <c r="A35" s="1329">
        <v>2</v>
      </c>
      <c r="B35" s="1326" t="s">
        <v>1131</v>
      </c>
      <c r="C35" s="1326"/>
      <c r="D35" s="1326"/>
      <c r="E35" s="3253"/>
      <c r="F35" s="3253"/>
      <c r="G35" s="3253"/>
    </row>
    <row r="36" spans="1:7" hidden="1">
      <c r="A36" s="1329">
        <v>3</v>
      </c>
      <c r="B36" s="1326" t="s">
        <v>1132</v>
      </c>
      <c r="C36" s="1326"/>
      <c r="D36" s="1326"/>
      <c r="E36" s="3253"/>
      <c r="F36" s="3253"/>
      <c r="G36" s="3253"/>
    </row>
    <row r="37" spans="1:7" hidden="1">
      <c r="A37" s="1329">
        <v>4</v>
      </c>
      <c r="B37" s="1326" t="s">
        <v>1133</v>
      </c>
      <c r="C37" s="1326"/>
      <c r="D37" s="1326"/>
      <c r="E37" s="3253"/>
      <c r="F37" s="3253"/>
      <c r="G37" s="3253"/>
    </row>
    <row r="38" spans="1:7" hidden="1">
      <c r="A38" s="3254" t="s">
        <v>1134</v>
      </c>
      <c r="B38" s="3255"/>
      <c r="C38" s="3255"/>
      <c r="D38" s="3256"/>
      <c r="E38" s="3252"/>
      <c r="F38" s="3252"/>
      <c r="G38" s="32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2643</v>
      </c>
      <c r="C1" s="1634" t="s">
        <v>2531</v>
      </c>
      <c r="D1" s="1621"/>
      <c r="E1" s="2659"/>
      <c r="F1" s="2586"/>
      <c r="G1" s="1631" t="s">
        <v>2644</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2328</v>
      </c>
      <c r="B2" s="1418" t="e">
        <f ca="1">IF(C2="——",ROUND(C49*D3/10000,0),ROUND(C49*D3/10000,0)-D2)</f>
        <v>#DIV/0!</v>
      </c>
      <c r="C2" s="2588"/>
      <c r="D2" s="1366" t="e">
        <f ca="1">SUMIF(INDIRECT("'"&amp;F2&amp;"'"&amp;"!A:A"),"承租人权益价值",INDIRECT("'"&amp;F2&amp;"'"&amp;"!c:c"))</f>
        <v>#REF!</v>
      </c>
      <c r="E2" s="2589" t="s">
        <v>2329</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8" customFormat="1" ht="28.5" customHeight="1" thickBot="1">
      <c r="A3" s="247" t="s">
        <v>2330</v>
      </c>
      <c r="B3" s="607" t="e">
        <f ca="1">IF(C2="——",C49,ROUND(B2*10000/D3,0))</f>
        <v>#DIV/0!</v>
      </c>
      <c r="C3" s="400" t="s">
        <v>2645</v>
      </c>
      <c r="D3" s="399">
        <f>IF(D1="",'数据-汇总表'!E3,SUMIF('数据-汇总表'!$C19:$C33,D1,'数据-汇总表'!$E19:$E33))</f>
        <v>1</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1" t="s">
        <v>2646</v>
      </c>
      <c r="B4" s="402"/>
      <c r="C4" s="3276" t="s">
        <v>2647</v>
      </c>
      <c r="D4" s="3277"/>
      <c r="E4" s="3278" t="s">
        <v>2648</v>
      </c>
      <c r="F4" s="3279"/>
      <c r="G4" s="3276" t="s">
        <v>2649</v>
      </c>
      <c r="H4" s="3277"/>
      <c r="I4" s="3276" t="s">
        <v>2650</v>
      </c>
      <c r="J4" s="3277"/>
      <c r="K4" s="608" t="s">
        <v>2651</v>
      </c>
      <c r="L4" s="1131"/>
      <c r="M4" s="1132"/>
      <c r="N4" s="1132"/>
      <c r="O4" s="1132"/>
      <c r="P4" s="3280" t="s">
        <v>2652</v>
      </c>
      <c r="Q4" s="3281"/>
      <c r="R4" s="3263" t="s">
        <v>2648</v>
      </c>
      <c r="S4" s="3264"/>
      <c r="T4" s="3263" t="s">
        <v>2649</v>
      </c>
      <c r="U4" s="3264"/>
      <c r="V4" s="3260" t="s">
        <v>2650</v>
      </c>
      <c r="W4" s="3260"/>
      <c r="X4" s="1813"/>
      <c r="Y4" s="3263" t="s">
        <v>2652</v>
      </c>
      <c r="Z4" s="3264"/>
      <c r="AA4" s="3257" t="s">
        <v>2648</v>
      </c>
      <c r="AB4" s="3260" t="s">
        <v>2649</v>
      </c>
      <c r="AC4" s="3257" t="s">
        <v>2650</v>
      </c>
    </row>
    <row r="5" spans="1:29" ht="15">
      <c r="A5" s="404"/>
      <c r="B5" s="405"/>
      <c r="C5" s="3269" t="s">
        <v>2543</v>
      </c>
      <c r="D5" s="3270"/>
      <c r="E5" s="3267" t="s">
        <v>2544</v>
      </c>
      <c r="F5" s="3268"/>
      <c r="G5" s="3269" t="s">
        <v>2545</v>
      </c>
      <c r="H5" s="3270"/>
      <c r="I5" s="3269" t="s">
        <v>2546</v>
      </c>
      <c r="J5" s="3270"/>
      <c r="K5" s="608"/>
      <c r="L5" s="1131"/>
      <c r="M5" s="1132"/>
      <c r="N5" s="1132"/>
      <c r="O5" s="1132"/>
      <c r="P5" s="3282"/>
      <c r="Q5" s="3283"/>
      <c r="R5" s="3265"/>
      <c r="S5" s="3266"/>
      <c r="T5" s="3265"/>
      <c r="U5" s="3266"/>
      <c r="V5" s="3260"/>
      <c r="W5" s="3260"/>
      <c r="X5" s="1813"/>
      <c r="Y5" s="3265"/>
      <c r="Z5" s="3266"/>
      <c r="AA5" s="3258"/>
      <c r="AB5" s="3260"/>
      <c r="AC5" s="3258"/>
    </row>
    <row r="6" spans="1:29" ht="15.75" thickBot="1">
      <c r="A6" s="406"/>
      <c r="B6" s="407"/>
      <c r="C6" s="3271" t="s">
        <v>2547</v>
      </c>
      <c r="D6" s="3272"/>
      <c r="E6" s="3273" t="s">
        <v>2547</v>
      </c>
      <c r="F6" s="3274"/>
      <c r="G6" s="3271" t="s">
        <v>2547</v>
      </c>
      <c r="H6" s="3272"/>
      <c r="I6" s="3271" t="s">
        <v>2547</v>
      </c>
      <c r="J6" s="3272"/>
      <c r="K6" s="608" t="s">
        <v>2548</v>
      </c>
      <c r="L6" s="1131"/>
      <c r="M6" s="1132"/>
      <c r="N6" s="1132"/>
      <c r="O6" s="1132"/>
      <c r="P6" s="3284"/>
      <c r="Q6" s="3285"/>
      <c r="R6" s="3265"/>
      <c r="S6" s="3266"/>
      <c r="T6" s="3286"/>
      <c r="U6" s="3287"/>
      <c r="V6" s="3260"/>
      <c r="W6" s="3260"/>
      <c r="X6" s="1813"/>
      <c r="Y6" s="3286"/>
      <c r="Z6" s="3287"/>
      <c r="AA6" s="3259"/>
      <c r="AB6" s="3260"/>
      <c r="AC6" s="3259"/>
    </row>
    <row r="7" spans="1:29" s="117" customFormat="1" ht="15.75" thickBot="1">
      <c r="A7" s="408" t="s">
        <v>2549</v>
      </c>
      <c r="B7" s="409"/>
      <c r="C7" s="410">
        <f>'数据-取费表'!B2</f>
        <v>43397</v>
      </c>
      <c r="D7" s="411">
        <v>100</v>
      </c>
      <c r="E7" s="412"/>
      <c r="F7" s="413">
        <f>SUMIF(58:58,YEAR(E7)&amp;"-"&amp;MONTH(E7),59:59)</f>
        <v>0</v>
      </c>
      <c r="G7" s="412"/>
      <c r="H7" s="411">
        <f>SUMIF(58:58,YEAR(G7)&amp;"-"&amp;MONTH(G7),59:59)</f>
        <v>0</v>
      </c>
      <c r="I7" s="412"/>
      <c r="J7" s="411">
        <f>SUMIF(58:58,YEAR(I7)&amp;"-"&amp;MONTH(I7),59:59)</f>
        <v>0</v>
      </c>
      <c r="K7" s="609"/>
      <c r="L7" s="1133"/>
      <c r="M7" s="1134"/>
      <c r="N7" s="1134"/>
      <c r="O7" s="1134"/>
      <c r="P7" s="3261" t="s">
        <v>2550</v>
      </c>
      <c r="Q7" s="3288"/>
      <c r="R7" s="768" t="s">
        <v>17</v>
      </c>
      <c r="S7" s="769">
        <f t="shared" ref="S7:S15" si="0">F7</f>
        <v>0</v>
      </c>
      <c r="T7" s="768" t="s">
        <v>17</v>
      </c>
      <c r="U7" s="769">
        <f t="shared" ref="U7:U15" si="1">H7</f>
        <v>0</v>
      </c>
      <c r="V7" s="768" t="s">
        <v>17</v>
      </c>
      <c r="W7" s="769">
        <f t="shared" ref="W7:W15" si="2">J7</f>
        <v>0</v>
      </c>
      <c r="X7" s="770"/>
      <c r="Y7" s="3261" t="s">
        <v>2550</v>
      </c>
      <c r="Z7" s="3262"/>
      <c r="AA7" s="771" t="e">
        <f>D7/F7</f>
        <v>#DIV/0!</v>
      </c>
      <c r="AB7" s="771" t="e">
        <f>D7/H7</f>
        <v>#DIV/0!</v>
      </c>
      <c r="AC7" s="771"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09"/>
      <c r="L8" s="1133"/>
      <c r="M8" s="1134"/>
      <c r="N8" s="1134"/>
      <c r="O8" s="1134"/>
      <c r="P8" s="3261" t="s">
        <v>2553</v>
      </c>
      <c r="Q8" s="3262"/>
      <c r="R8" s="768" t="s">
        <v>17</v>
      </c>
      <c r="S8" s="769">
        <f t="shared" si="0"/>
        <v>0</v>
      </c>
      <c r="T8" s="768" t="s">
        <v>17</v>
      </c>
      <c r="U8" s="769">
        <f t="shared" si="1"/>
        <v>0</v>
      </c>
      <c r="V8" s="768" t="s">
        <v>17</v>
      </c>
      <c r="W8" s="769">
        <f t="shared" si="2"/>
        <v>0</v>
      </c>
      <c r="X8" s="770"/>
      <c r="Y8" s="3261" t="s">
        <v>2553</v>
      </c>
      <c r="Z8" s="3262"/>
      <c r="AA8" s="771" t="e">
        <f t="shared" ref="AA8:AA46" si="3">D8/F8</f>
        <v>#DIV/0!</v>
      </c>
      <c r="AB8" s="771" t="e">
        <f t="shared" ref="AB8:AB46" si="4">D8/H8</f>
        <v>#DIV/0!</v>
      </c>
      <c r="AC8" s="771"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09"/>
      <c r="L9" s="1133"/>
      <c r="M9" s="1134"/>
      <c r="N9" s="1134"/>
      <c r="O9" s="1134"/>
      <c r="P9" s="3275" t="s">
        <v>2556</v>
      </c>
      <c r="Q9" s="1795" t="str">
        <f t="shared" ref="Q9:Q15" si="6">B9</f>
        <v>用途</v>
      </c>
      <c r="R9" s="768" t="s">
        <v>17</v>
      </c>
      <c r="S9" s="769">
        <f t="shared" si="0"/>
        <v>100</v>
      </c>
      <c r="T9" s="768" t="s">
        <v>17</v>
      </c>
      <c r="U9" s="769">
        <f t="shared" si="1"/>
        <v>100</v>
      </c>
      <c r="V9" s="768" t="s">
        <v>17</v>
      </c>
      <c r="W9" s="769">
        <f t="shared" si="2"/>
        <v>100</v>
      </c>
      <c r="X9" s="770"/>
      <c r="Y9" s="3107"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0"/>
      <c r="L10" s="1136"/>
      <c r="M10" s="1137"/>
      <c r="N10" s="1137"/>
      <c r="O10" s="1137"/>
      <c r="P10" s="3275"/>
      <c r="Q10" s="1795" t="str">
        <f t="shared" si="6"/>
        <v>土地使用年限（年）</v>
      </c>
      <c r="R10" s="768" t="s">
        <v>17</v>
      </c>
      <c r="S10" s="769">
        <f t="shared" si="0"/>
        <v>100</v>
      </c>
      <c r="T10" s="768" t="s">
        <v>17</v>
      </c>
      <c r="U10" s="769">
        <f t="shared" si="1"/>
        <v>100</v>
      </c>
      <c r="V10" s="768" t="s">
        <v>17</v>
      </c>
      <c r="W10" s="769">
        <f t="shared" si="2"/>
        <v>100</v>
      </c>
      <c r="X10" s="770"/>
      <c r="Y10" s="3107"/>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0"/>
      <c r="L11" s="1139"/>
      <c r="M11" s="1132"/>
      <c r="N11" s="1132"/>
      <c r="O11" s="1132"/>
      <c r="P11" s="3275"/>
      <c r="Q11" s="1795" t="str">
        <f t="shared" si="6"/>
        <v>容积率</v>
      </c>
      <c r="R11" s="768" t="s">
        <v>17</v>
      </c>
      <c r="S11" s="769" t="e">
        <f t="shared" si="0"/>
        <v>#N/A</v>
      </c>
      <c r="T11" s="768" t="s">
        <v>17</v>
      </c>
      <c r="U11" s="769" t="e">
        <f t="shared" si="1"/>
        <v>#N/A</v>
      </c>
      <c r="V11" s="768" t="s">
        <v>17</v>
      </c>
      <c r="W11" s="769" t="e">
        <f t="shared" si="2"/>
        <v>#N/A</v>
      </c>
      <c r="X11" s="770"/>
      <c r="Y11" s="3107"/>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1"/>
      <c r="L12" s="1133"/>
      <c r="M12" s="1134"/>
      <c r="N12" s="1134"/>
      <c r="O12" s="1134"/>
      <c r="P12" s="3275"/>
      <c r="Q12" s="1795">
        <f t="shared" si="6"/>
        <v>111</v>
      </c>
      <c r="R12" s="768" t="s">
        <v>17</v>
      </c>
      <c r="S12" s="769">
        <f t="shared" si="0"/>
        <v>100</v>
      </c>
      <c r="T12" s="768" t="s">
        <v>17</v>
      </c>
      <c r="U12" s="769">
        <f t="shared" si="1"/>
        <v>100</v>
      </c>
      <c r="V12" s="768" t="s">
        <v>17</v>
      </c>
      <c r="W12" s="769">
        <f t="shared" si="2"/>
        <v>100</v>
      </c>
      <c r="X12" s="770"/>
      <c r="Y12" s="3107"/>
      <c r="Z12" s="55">
        <f t="shared" si="7"/>
        <v>111</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1"/>
      <c r="L13" s="1141"/>
      <c r="M13" s="1132"/>
      <c r="N13" s="1132"/>
      <c r="O13" s="1132"/>
      <c r="P13" s="3275"/>
      <c r="Q13" s="1795">
        <f t="shared" si="6"/>
        <v>111</v>
      </c>
      <c r="R13" s="768" t="s">
        <v>17</v>
      </c>
      <c r="S13" s="769">
        <f t="shared" si="0"/>
        <v>100</v>
      </c>
      <c r="T13" s="768" t="s">
        <v>17</v>
      </c>
      <c r="U13" s="769">
        <f t="shared" si="1"/>
        <v>100</v>
      </c>
      <c r="V13" s="768" t="s">
        <v>17</v>
      </c>
      <c r="W13" s="769">
        <f t="shared" si="2"/>
        <v>100</v>
      </c>
      <c r="X13" s="770"/>
      <c r="Y13" s="3107"/>
      <c r="Z13" s="55">
        <f t="shared" si="7"/>
        <v>111</v>
      </c>
      <c r="AA13" s="771">
        <f t="shared" si="3"/>
        <v>1</v>
      </c>
      <c r="AB13" s="771">
        <f t="shared" si="4"/>
        <v>1</v>
      </c>
      <c r="AC13" s="771">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1"/>
      <c r="L14" s="1141"/>
      <c r="M14" s="1132"/>
      <c r="N14" s="1132"/>
      <c r="O14" s="1132"/>
      <c r="P14" s="3275"/>
      <c r="Q14" s="1795">
        <f t="shared" si="6"/>
        <v>111</v>
      </c>
      <c r="R14" s="768" t="s">
        <v>17</v>
      </c>
      <c r="S14" s="769">
        <f t="shared" si="0"/>
        <v>100</v>
      </c>
      <c r="T14" s="768" t="s">
        <v>17</v>
      </c>
      <c r="U14" s="769">
        <f t="shared" si="1"/>
        <v>100</v>
      </c>
      <c r="V14" s="768" t="s">
        <v>17</v>
      </c>
      <c r="W14" s="769">
        <f t="shared" si="2"/>
        <v>100</v>
      </c>
      <c r="X14" s="770"/>
      <c r="Y14" s="3107"/>
      <c r="Z14" s="55">
        <f t="shared" si="7"/>
        <v>111</v>
      </c>
      <c r="AA14" s="771">
        <f t="shared" si="3"/>
        <v>1</v>
      </c>
      <c r="AB14" s="771">
        <f t="shared" si="4"/>
        <v>1</v>
      </c>
      <c r="AC14" s="771">
        <f t="shared" si="5"/>
        <v>1</v>
      </c>
    </row>
    <row r="15" spans="1:29" ht="15">
      <c r="A15" s="440" t="s">
        <v>2560</v>
      </c>
      <c r="B15" s="69" t="s">
        <v>2654</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2"/>
      <c r="L15" s="1141"/>
      <c r="M15" s="1132"/>
      <c r="N15" s="1132"/>
      <c r="O15" s="1132"/>
      <c r="P15" s="3289" t="s">
        <v>2561</v>
      </c>
      <c r="Q15" s="1810" t="str">
        <f t="shared" si="6"/>
        <v>商业繁华度</v>
      </c>
      <c r="R15" s="772" t="s">
        <v>17</v>
      </c>
      <c r="S15" s="773">
        <f t="shared" si="0"/>
        <v>100</v>
      </c>
      <c r="T15" s="772" t="s">
        <v>17</v>
      </c>
      <c r="U15" s="773">
        <f t="shared" si="1"/>
        <v>100</v>
      </c>
      <c r="V15" s="772" t="s">
        <v>17</v>
      </c>
      <c r="W15" s="773">
        <f t="shared" si="2"/>
        <v>100</v>
      </c>
      <c r="X15" s="1813"/>
      <c r="Y15" s="3291"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32"/>
      <c r="P16" s="3290"/>
      <c r="Q16" s="1810"/>
      <c r="R16" s="772"/>
      <c r="S16" s="773"/>
      <c r="T16" s="772"/>
      <c r="U16" s="773"/>
      <c r="V16" s="772"/>
      <c r="W16" s="773"/>
      <c r="X16" s="1813"/>
      <c r="Y16" s="3292"/>
      <c r="Z16" s="1814"/>
      <c r="AA16" s="1811">
        <v>1</v>
      </c>
      <c r="AB16" s="1811">
        <v>1</v>
      </c>
      <c r="AC16" s="1811">
        <v>1</v>
      </c>
    </row>
    <row r="17" spans="1:29" ht="156.75">
      <c r="A17" s="428"/>
      <c r="B17" s="451" t="s">
        <v>2098</v>
      </c>
      <c r="C17" s="2609" t="str">
        <f>估价对象房地状况!C6</f>
        <v>估价对象紧邻城市支路-门头沟路、附近有公交车站西辛房站，停靠线路有370、960、992、M25等，附近5公里范围内无轨道交通站点，综合评价交通便捷度较好。</v>
      </c>
      <c r="D17" s="450">
        <v>100</v>
      </c>
      <c r="E17" s="452"/>
      <c r="F17" s="453">
        <f>SUMIF(78:78,E18,79:79)-SUMIF(78:78,C18,79:79)+100</f>
        <v>100</v>
      </c>
      <c r="G17" s="454"/>
      <c r="H17" s="455">
        <f>SUMIF(78:78,G18,79:79)-SUMIF(78:78,C18,79:79)+100</f>
        <v>100</v>
      </c>
      <c r="I17" s="452"/>
      <c r="J17" s="455">
        <f>SUMIF(78:78,I18,79:79)-SUMIF(78:78,C18,79:79)+100</f>
        <v>100</v>
      </c>
      <c r="K17" s="612"/>
      <c r="L17" s="1141"/>
      <c r="M17" s="1132"/>
      <c r="N17" s="1132"/>
      <c r="O17" s="1132"/>
      <c r="P17" s="3290"/>
      <c r="Q17" s="1810" t="str">
        <f>B17</f>
        <v>交通便捷度</v>
      </c>
      <c r="R17" s="772" t="s">
        <v>17</v>
      </c>
      <c r="S17" s="773">
        <f>F17</f>
        <v>100</v>
      </c>
      <c r="T17" s="772" t="s">
        <v>17</v>
      </c>
      <c r="U17" s="773">
        <f>H17</f>
        <v>100</v>
      </c>
      <c r="V17" s="772" t="s">
        <v>17</v>
      </c>
      <c r="W17" s="773">
        <f>J17</f>
        <v>100</v>
      </c>
      <c r="X17" s="1813"/>
      <c r="Y17" s="3292"/>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3"/>
      <c r="L18" s="1141"/>
      <c r="M18" s="1132"/>
      <c r="N18" s="1132"/>
      <c r="O18" s="1132"/>
      <c r="P18" s="3290"/>
      <c r="Q18" s="1810"/>
      <c r="R18" s="772"/>
      <c r="S18" s="773"/>
      <c r="T18" s="772"/>
      <c r="U18" s="773"/>
      <c r="V18" s="772"/>
      <c r="W18" s="773"/>
      <c r="X18" s="1813"/>
      <c r="Y18" s="3292"/>
      <c r="Z18" s="1814"/>
      <c r="AA18" s="1811">
        <v>1</v>
      </c>
      <c r="AB18" s="1811">
        <v>1</v>
      </c>
      <c r="AC18" s="1811">
        <v>1</v>
      </c>
    </row>
    <row r="19" spans="1:29" ht="128.25">
      <c r="A19" s="428"/>
      <c r="B19" s="451" t="s">
        <v>2655</v>
      </c>
      <c r="C19" s="2609" t="str">
        <f>估价对象房地状况!C7</f>
        <v>估价对象所在区域有东辛房小学、龙泉医院、京煤公司总医院门矿医院东辛房卫生服务站、邮政储蓄银行、农商银行等，公共配套设施状况较好</v>
      </c>
      <c r="D19" s="455">
        <v>100</v>
      </c>
      <c r="E19" s="457"/>
      <c r="F19" s="458">
        <f>SUMIF(80:80,E20,81:81)-SUMIF(80:80,C20,81:81)+100</f>
        <v>100</v>
      </c>
      <c r="G19" s="459"/>
      <c r="H19" s="450">
        <f>SUMIF(80:80,G20,81:81)-SUMIF(80:80,C20,81:81)+100</f>
        <v>100</v>
      </c>
      <c r="I19" s="457"/>
      <c r="J19" s="450">
        <f>SUMIF(80:80,I20,81:81)-SUMIF(80:80,C20,81:81)+100</f>
        <v>100</v>
      </c>
      <c r="K19" s="612"/>
      <c r="L19" s="1141"/>
      <c r="M19" s="1132"/>
      <c r="N19" s="1132"/>
      <c r="O19" s="1132"/>
      <c r="P19" s="3290"/>
      <c r="Q19" s="1810" t="str">
        <f>B19</f>
        <v>公共配套设施</v>
      </c>
      <c r="R19" s="772" t="s">
        <v>17</v>
      </c>
      <c r="S19" s="773">
        <f>F19</f>
        <v>100</v>
      </c>
      <c r="T19" s="772" t="s">
        <v>17</v>
      </c>
      <c r="U19" s="773">
        <f>H19</f>
        <v>100</v>
      </c>
      <c r="V19" s="772" t="s">
        <v>17</v>
      </c>
      <c r="W19" s="773">
        <f>J19</f>
        <v>100</v>
      </c>
      <c r="X19" s="1813"/>
      <c r="Y19" s="3292"/>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3"/>
      <c r="L20" s="1141"/>
      <c r="M20" s="1132"/>
      <c r="N20" s="1132"/>
      <c r="O20" s="1132"/>
      <c r="P20" s="3290"/>
      <c r="Q20" s="1810"/>
      <c r="R20" s="772"/>
      <c r="S20" s="773"/>
      <c r="T20" s="772"/>
      <c r="U20" s="773"/>
      <c r="V20" s="772"/>
      <c r="W20" s="773"/>
      <c r="X20" s="1813"/>
      <c r="Y20" s="3292"/>
      <c r="Z20" s="1814"/>
      <c r="AA20" s="1811">
        <v>1</v>
      </c>
      <c r="AB20" s="1811">
        <v>1</v>
      </c>
      <c r="AC20" s="1811">
        <v>1</v>
      </c>
    </row>
    <row r="21" spans="1:29" ht="42.75">
      <c r="A21" s="428"/>
      <c r="B21" s="1385" t="s">
        <v>2656</v>
      </c>
      <c r="C21" s="2609" t="str">
        <f>估价对象房地状况!C8</f>
        <v>估价对象所在区域基础设施水平为七通一平</v>
      </c>
      <c r="D21" s="455">
        <v>100</v>
      </c>
      <c r="E21" s="457"/>
      <c r="F21" s="458">
        <f>SUMIF(82:82,E22,83:83)-SUMIF(82:82,C22,83:83)+100</f>
        <v>100</v>
      </c>
      <c r="G21" s="459"/>
      <c r="H21" s="450">
        <f>SUMIF(82:82,G22,83:83)-SUMIF(82:82,C22,83:83)+100</f>
        <v>100</v>
      </c>
      <c r="I21" s="457"/>
      <c r="J21" s="450">
        <f>SUMIF(82:82,I22,83:83)-SUMIF(82:82,C22,83:83)+100</f>
        <v>100</v>
      </c>
      <c r="K21" s="612"/>
      <c r="L21" s="1141"/>
      <c r="M21" s="1132"/>
      <c r="N21" s="1132"/>
      <c r="O21" s="1132"/>
      <c r="P21" s="3290"/>
      <c r="Q21" s="1810" t="str">
        <f>B21</f>
        <v>基础设施水平</v>
      </c>
      <c r="R21" s="772" t="s">
        <v>17</v>
      </c>
      <c r="S21" s="773">
        <f>F21</f>
        <v>100</v>
      </c>
      <c r="T21" s="772" t="s">
        <v>17</v>
      </c>
      <c r="U21" s="773">
        <f>H21</f>
        <v>100</v>
      </c>
      <c r="V21" s="772" t="s">
        <v>17</v>
      </c>
      <c r="W21" s="773">
        <f>J21</f>
        <v>100</v>
      </c>
      <c r="X21" s="1813"/>
      <c r="Y21" s="3292"/>
      <c r="Z21" s="1814" t="str">
        <f>Q21</f>
        <v>基础设施水平</v>
      </c>
      <c r="AA21" s="1811">
        <f t="shared" ref="AA21" si="8">D21/F21</f>
        <v>1</v>
      </c>
      <c r="AB21" s="1811">
        <f t="shared" ref="AB21" si="9">D21/H21</f>
        <v>1</v>
      </c>
      <c r="AC21" s="1811">
        <f t="shared" ref="AC21" si="10">D21/J21</f>
        <v>1</v>
      </c>
    </row>
    <row r="22" spans="1:29" ht="15">
      <c r="A22" s="428"/>
      <c r="B22" s="1385"/>
      <c r="C22" s="2610"/>
      <c r="D22" s="448"/>
      <c r="E22" s="447"/>
      <c r="F22" s="449"/>
      <c r="G22" s="447"/>
      <c r="H22" s="448"/>
      <c r="I22" s="447"/>
      <c r="J22" s="448"/>
      <c r="K22" s="1384"/>
      <c r="L22" s="1141"/>
      <c r="M22" s="1132"/>
      <c r="N22" s="1132"/>
      <c r="O22" s="1132"/>
      <c r="P22" s="3290"/>
      <c r="Q22" s="1810"/>
      <c r="R22" s="772"/>
      <c r="S22" s="773"/>
      <c r="T22" s="772"/>
      <c r="U22" s="773"/>
      <c r="V22" s="772"/>
      <c r="W22" s="773"/>
      <c r="X22" s="1813"/>
      <c r="Y22" s="3292"/>
      <c r="Z22" s="1814"/>
      <c r="AA22" s="1811">
        <v>1</v>
      </c>
      <c r="AB22" s="1811">
        <v>1</v>
      </c>
      <c r="AC22" s="1811">
        <v>1</v>
      </c>
    </row>
    <row r="23" spans="1:29" ht="99.75">
      <c r="A23" s="428"/>
      <c r="B23" s="451" t="s">
        <v>2103</v>
      </c>
      <c r="C23" s="2666" t="str">
        <f>估价对象房地状况!C9</f>
        <v>估价对象临黑河沟及其绿化带；周边2公里范围内有门头沟博物馆等人文设施；综合评价环境状况较好。加油站？</v>
      </c>
      <c r="D23" s="450">
        <v>100</v>
      </c>
      <c r="E23" s="452"/>
      <c r="F23" s="453">
        <f>SUMIF(84:84,E24,85:85)-SUMIF(84:84,C24,85:85)+100</f>
        <v>100</v>
      </c>
      <c r="G23" s="454"/>
      <c r="H23" s="450">
        <f>SUMIF(84:84,G24,85:85)-SUMIF(84:84,C24,85:85)+100</f>
        <v>100</v>
      </c>
      <c r="I23" s="452"/>
      <c r="J23" s="450">
        <f>SUMIF(84:84,I24,85:85)-SUMIF(84:84,C24,85:85)+100</f>
        <v>100</v>
      </c>
      <c r="K23" s="612"/>
      <c r="L23" s="1141"/>
      <c r="M23" s="1132"/>
      <c r="N23" s="1132"/>
      <c r="O23" s="1132"/>
      <c r="P23" s="3290"/>
      <c r="Q23" s="1810" t="str">
        <f>B23</f>
        <v>自然及人文环境</v>
      </c>
      <c r="R23" s="772" t="s">
        <v>17</v>
      </c>
      <c r="S23" s="773">
        <f>F23</f>
        <v>100</v>
      </c>
      <c r="T23" s="772" t="s">
        <v>17</v>
      </c>
      <c r="U23" s="773">
        <f>H23</f>
        <v>100</v>
      </c>
      <c r="V23" s="772" t="s">
        <v>17</v>
      </c>
      <c r="W23" s="773">
        <f>J23</f>
        <v>100</v>
      </c>
      <c r="X23" s="1813"/>
      <c r="Y23" s="3292"/>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3"/>
      <c r="L24" s="1141"/>
      <c r="M24" s="1132"/>
      <c r="N24" s="1132"/>
      <c r="O24" s="1132"/>
      <c r="P24" s="3290"/>
      <c r="Q24" s="1810"/>
      <c r="R24" s="772"/>
      <c r="S24" s="773"/>
      <c r="T24" s="772"/>
      <c r="U24" s="773"/>
      <c r="V24" s="772"/>
      <c r="W24" s="773"/>
      <c r="X24" s="1813"/>
      <c r="Y24" s="3292"/>
      <c r="Z24" s="1814"/>
      <c r="AA24" s="1811">
        <v>1</v>
      </c>
      <c r="AB24" s="1811">
        <v>1</v>
      </c>
      <c r="AC24" s="1811">
        <v>1</v>
      </c>
    </row>
    <row r="25" spans="1:29" ht="15">
      <c r="A25" s="428"/>
      <c r="B25" s="422" t="s">
        <v>2657</v>
      </c>
      <c r="C25" s="614"/>
      <c r="D25" s="435">
        <v>100</v>
      </c>
      <c r="E25" s="614"/>
      <c r="F25" s="461">
        <f>SUMIF(86:86,E25,87:87)-SUMIF(86:86,C25,87:87)+100</f>
        <v>100</v>
      </c>
      <c r="G25" s="614"/>
      <c r="H25" s="435">
        <f>SUMIF(86:86,G25,87:87)-SUMIF(86:86,C25,87:87)+100</f>
        <v>100</v>
      </c>
      <c r="I25" s="614"/>
      <c r="J25" s="435">
        <f>SUMIF(86:86,I25,87:87)-SUMIF(86:86,C25,87:87)+100</f>
        <v>100</v>
      </c>
      <c r="K25" s="610"/>
      <c r="L25" s="1141"/>
      <c r="M25" s="1132"/>
      <c r="N25" s="1132"/>
      <c r="O25" s="1132"/>
      <c r="P25" s="3290"/>
      <c r="Q25" s="1810" t="str">
        <f t="shared" ref="Q25:Q46" si="11">B25</f>
        <v>临街状况</v>
      </c>
      <c r="R25" s="772" t="s">
        <v>17</v>
      </c>
      <c r="S25" s="773">
        <f>F25</f>
        <v>100</v>
      </c>
      <c r="T25" s="772" t="s">
        <v>17</v>
      </c>
      <c r="U25" s="773">
        <f>H25</f>
        <v>100</v>
      </c>
      <c r="V25" s="772" t="s">
        <v>17</v>
      </c>
      <c r="W25" s="773">
        <f>J25</f>
        <v>100</v>
      </c>
      <c r="X25" s="1813"/>
      <c r="Y25" s="3292"/>
      <c r="Z25" s="1814" t="str">
        <f>Q25</f>
        <v>临街状况</v>
      </c>
      <c r="AA25" s="1811">
        <f t="shared" si="3"/>
        <v>1</v>
      </c>
      <c r="AB25" s="1811">
        <f t="shared" si="4"/>
        <v>1</v>
      </c>
      <c r="AC25" s="1811">
        <f t="shared" si="5"/>
        <v>1</v>
      </c>
    </row>
    <row r="26" spans="1:29" ht="15">
      <c r="A26" s="428"/>
      <c r="B26" s="1387" t="s">
        <v>2658</v>
      </c>
      <c r="C26" s="434"/>
      <c r="D26" s="435">
        <v>100</v>
      </c>
      <c r="E26" s="434"/>
      <c r="F26" s="461">
        <f>SUMIF(88:88,E26,89:89)-SUMIF(88:88,C26,89:89)+100</f>
        <v>100</v>
      </c>
      <c r="G26" s="434"/>
      <c r="H26" s="435">
        <f>SUMIF(88:88,G26,89:89)-SUMIF(88:88,C26,89:89)+100</f>
        <v>100</v>
      </c>
      <c r="I26" s="434"/>
      <c r="J26" s="435">
        <f>SUMIF(88:88,I26,89:89)-SUMIF(88:88,C26,89:89)+100</f>
        <v>100</v>
      </c>
      <c r="K26" s="611"/>
      <c r="L26" s="1141"/>
      <c r="M26" s="1132"/>
      <c r="N26" s="1132"/>
      <c r="O26" s="1132"/>
      <c r="P26" s="3290"/>
      <c r="Q26" s="1810" t="str">
        <f t="shared" si="11"/>
        <v>平面位置/可视性</v>
      </c>
      <c r="R26" s="772" t="s">
        <v>17</v>
      </c>
      <c r="S26" s="773">
        <f>F26</f>
        <v>100</v>
      </c>
      <c r="T26" s="772" t="s">
        <v>17</v>
      </c>
      <c r="U26" s="773">
        <f>H26</f>
        <v>100</v>
      </c>
      <c r="V26" s="772" t="s">
        <v>17</v>
      </c>
      <c r="W26" s="773">
        <f>J26</f>
        <v>100</v>
      </c>
      <c r="X26" s="1813"/>
      <c r="Y26" s="3292"/>
      <c r="Z26" s="1814" t="str">
        <f>Q26</f>
        <v>平面位置/可视性</v>
      </c>
      <c r="AA26" s="1811">
        <f t="shared" si="3"/>
        <v>1</v>
      </c>
      <c r="AB26" s="1811">
        <f t="shared" si="4"/>
        <v>1</v>
      </c>
      <c r="AC26" s="1811">
        <f t="shared" si="5"/>
        <v>1</v>
      </c>
    </row>
    <row r="27" spans="1:29" s="117" customFormat="1" ht="15">
      <c r="A27" s="431"/>
      <c r="B27" s="451" t="s">
        <v>2659</v>
      </c>
      <c r="C27" s="2667"/>
      <c r="D27" s="462">
        <v>100</v>
      </c>
      <c r="E27" s="2667"/>
      <c r="F27" s="463">
        <f>SUMIF(90:90,E27,91:91)-SUMIF(90:90,C27,91:91)+100</f>
        <v>100</v>
      </c>
      <c r="G27" s="2667"/>
      <c r="H27" s="462">
        <f>SUMIF(90:90,G27,91:91)-SUMIF(90:90,C27,91:91)+100</f>
        <v>100</v>
      </c>
      <c r="I27" s="2667"/>
      <c r="J27" s="462">
        <f>SUMIF(90:90,I27,91:91)-SUMIF(90:90,C27,91:91)+100</f>
        <v>100</v>
      </c>
      <c r="K27" s="610"/>
      <c r="L27" s="1133"/>
      <c r="M27" s="1134"/>
      <c r="N27" s="1134"/>
      <c r="O27" s="1134"/>
      <c r="P27" s="3290"/>
      <c r="Q27" s="1795" t="str">
        <f t="shared" si="11"/>
        <v>人流量</v>
      </c>
      <c r="R27" s="768" t="s">
        <v>17</v>
      </c>
      <c r="S27" s="769">
        <f>F27</f>
        <v>100</v>
      </c>
      <c r="T27" s="768" t="s">
        <v>17</v>
      </c>
      <c r="U27" s="769">
        <f>H27</f>
        <v>100</v>
      </c>
      <c r="V27" s="768" t="s">
        <v>17</v>
      </c>
      <c r="W27" s="769">
        <f>J27</f>
        <v>100</v>
      </c>
      <c r="X27" s="770"/>
      <c r="Y27" s="3292"/>
      <c r="Z27" s="55" t="str">
        <f>Q27</f>
        <v>人流量</v>
      </c>
      <c r="AA27" s="1811">
        <f>D27/F27</f>
        <v>1</v>
      </c>
      <c r="AB27" s="1811">
        <f>D27/H27</f>
        <v>1</v>
      </c>
      <c r="AC27" s="1811">
        <f>D27/J27</f>
        <v>1</v>
      </c>
    </row>
    <row r="28" spans="1:29" ht="15">
      <c r="A28" s="428"/>
      <c r="B28" s="422" t="s">
        <v>2660</v>
      </c>
      <c r="C28" s="614"/>
      <c r="D28" s="435">
        <v>100</v>
      </c>
      <c r="E28" s="614"/>
      <c r="F28" s="461">
        <f>SUMIF(92:92,E28,93:93)-SUMIF(92:92,C28,93:93)+100</f>
        <v>100</v>
      </c>
      <c r="G28" s="614"/>
      <c r="H28" s="435">
        <f>SUMIF(92:92,G28,93:93)-SUMIF(92:92,C28,93:93)+100</f>
        <v>100</v>
      </c>
      <c r="I28" s="614"/>
      <c r="J28" s="435">
        <f>SUMIF(92:92,I28,93:93)-SUMIF(92:92,C28,93:93)+100</f>
        <v>100</v>
      </c>
      <c r="K28" s="611"/>
      <c r="L28" s="1141"/>
      <c r="M28" s="1132"/>
      <c r="N28" s="1132"/>
      <c r="O28" s="1132"/>
      <c r="P28" s="3290"/>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92"/>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1"/>
      <c r="L29" s="1141"/>
      <c r="M29" s="1132"/>
      <c r="N29" s="1132"/>
      <c r="O29" s="1132"/>
      <c r="P29" s="3290"/>
      <c r="Q29" s="1810">
        <f t="shared" si="11"/>
        <v>111</v>
      </c>
      <c r="R29" s="772" t="s">
        <v>17</v>
      </c>
      <c r="S29" s="773">
        <f t="shared" si="12"/>
        <v>100</v>
      </c>
      <c r="T29" s="772" t="s">
        <v>17</v>
      </c>
      <c r="U29" s="773">
        <f t="shared" si="13"/>
        <v>100</v>
      </c>
      <c r="V29" s="772" t="s">
        <v>17</v>
      </c>
      <c r="W29" s="773">
        <f t="shared" si="14"/>
        <v>100</v>
      </c>
      <c r="X29" s="1813"/>
      <c r="Y29" s="3292"/>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1"/>
      <c r="L30" s="1141"/>
      <c r="M30" s="1132"/>
      <c r="N30" s="1132"/>
      <c r="O30" s="1132"/>
      <c r="P30" s="3290"/>
      <c r="Q30" s="1810">
        <f t="shared" si="11"/>
        <v>111</v>
      </c>
      <c r="R30" s="772" t="s">
        <v>17</v>
      </c>
      <c r="S30" s="773">
        <f t="shared" si="12"/>
        <v>100</v>
      </c>
      <c r="T30" s="772" t="s">
        <v>17</v>
      </c>
      <c r="U30" s="773">
        <f t="shared" si="13"/>
        <v>100</v>
      </c>
      <c r="V30" s="772" t="s">
        <v>17</v>
      </c>
      <c r="W30" s="773">
        <f t="shared" si="14"/>
        <v>100</v>
      </c>
      <c r="X30" s="1813"/>
      <c r="Y30" s="3292"/>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1"/>
      <c r="L31" s="1141"/>
      <c r="M31" s="1132"/>
      <c r="N31" s="1132"/>
      <c r="O31" s="1132"/>
      <c r="P31" s="3290"/>
      <c r="Q31" s="1810">
        <f t="shared" si="11"/>
        <v>111</v>
      </c>
      <c r="R31" s="772" t="s">
        <v>17</v>
      </c>
      <c r="S31" s="773">
        <f t="shared" si="12"/>
        <v>100</v>
      </c>
      <c r="T31" s="772" t="s">
        <v>17</v>
      </c>
      <c r="U31" s="773">
        <f t="shared" si="13"/>
        <v>100</v>
      </c>
      <c r="V31" s="772" t="s">
        <v>17</v>
      </c>
      <c r="W31" s="773">
        <f t="shared" si="14"/>
        <v>100</v>
      </c>
      <c r="X31" s="1813"/>
      <c r="Y31" s="3292"/>
      <c r="Z31" s="1814">
        <f t="shared" si="15"/>
        <v>111</v>
      </c>
      <c r="AA31" s="1811">
        <f t="shared" si="3"/>
        <v>1</v>
      </c>
      <c r="AB31" s="1811">
        <f t="shared" si="4"/>
        <v>1</v>
      </c>
      <c r="AC31" s="1811">
        <f t="shared" si="5"/>
        <v>1</v>
      </c>
    </row>
    <row r="32" spans="1:29" ht="15">
      <c r="A32" s="440" t="s">
        <v>2564</v>
      </c>
      <c r="B32" s="71" t="s">
        <v>2661</v>
      </c>
      <c r="C32" s="2619"/>
      <c r="D32" s="465">
        <v>100</v>
      </c>
      <c r="E32" s="2619"/>
      <c r="F32" s="461">
        <f>SUMIF(100:100,E32,101:101)-SUMIF(100:100,C32,101:101)+100</f>
        <v>100</v>
      </c>
      <c r="G32" s="2619"/>
      <c r="H32" s="435">
        <f>SUMIF(100:100,G32,101:101)-SUMIF(100:100,C32,101:101)+100</f>
        <v>100</v>
      </c>
      <c r="I32" s="2619"/>
      <c r="J32" s="465">
        <f>SUMIF(100:100,I32,101:101)-SUMIF(100:100,C32,101:101)+100</f>
        <v>100</v>
      </c>
      <c r="K32" s="610"/>
      <c r="L32" s="1141"/>
      <c r="M32" s="1132"/>
      <c r="N32" s="1132"/>
      <c r="O32" s="1132"/>
      <c r="P32" s="3293" t="s">
        <v>2566</v>
      </c>
      <c r="Q32" s="1810" t="str">
        <f t="shared" si="11"/>
        <v>商业类型</v>
      </c>
      <c r="R32" s="772" t="s">
        <v>17</v>
      </c>
      <c r="S32" s="773">
        <f t="shared" si="12"/>
        <v>100</v>
      </c>
      <c r="T32" s="772" t="s">
        <v>17</v>
      </c>
      <c r="U32" s="773">
        <f t="shared" si="13"/>
        <v>100</v>
      </c>
      <c r="V32" s="772" t="s">
        <v>17</v>
      </c>
      <c r="W32" s="773">
        <f t="shared" si="14"/>
        <v>100</v>
      </c>
      <c r="X32" s="1813"/>
      <c r="Y32" s="3296" t="s">
        <v>2566</v>
      </c>
      <c r="Z32" s="1814" t="str">
        <f t="shared" si="15"/>
        <v>商业类型</v>
      </c>
      <c r="AA32" s="1811">
        <f t="shared" si="3"/>
        <v>1</v>
      </c>
      <c r="AB32" s="1811">
        <f t="shared" si="4"/>
        <v>1</v>
      </c>
      <c r="AC32" s="1811">
        <f t="shared" si="5"/>
        <v>1</v>
      </c>
    </row>
    <row r="33" spans="1:29" s="469" customFormat="1" ht="15">
      <c r="A33" s="466"/>
      <c r="B33" s="422" t="s">
        <v>2567</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11"/>
      <c r="L33" s="1139"/>
      <c r="M33" s="1142"/>
      <c r="N33" s="1142"/>
      <c r="O33" s="1142"/>
      <c r="P33" s="3294"/>
      <c r="Q33" s="774" t="str">
        <f t="shared" si="11"/>
        <v>项目建筑规模</v>
      </c>
      <c r="R33" s="775" t="s">
        <v>17</v>
      </c>
      <c r="S33" s="776" t="e">
        <f t="shared" si="12"/>
        <v>#N/A</v>
      </c>
      <c r="T33" s="775" t="s">
        <v>17</v>
      </c>
      <c r="U33" s="776" t="e">
        <f t="shared" si="13"/>
        <v>#N/A</v>
      </c>
      <c r="V33" s="775" t="s">
        <v>17</v>
      </c>
      <c r="W33" s="776" t="e">
        <f t="shared" si="14"/>
        <v>#N/A</v>
      </c>
      <c r="X33" s="777"/>
      <c r="Y33" s="3296"/>
      <c r="Z33" s="778" t="str">
        <f t="shared" si="15"/>
        <v>项目建筑规模</v>
      </c>
      <c r="AA33" s="1811" t="e">
        <f t="shared" si="3"/>
        <v>#N/A</v>
      </c>
      <c r="AB33" s="1811" t="e">
        <f t="shared" si="4"/>
        <v>#N/A</v>
      </c>
      <c r="AC33" s="1811" t="e">
        <f t="shared" si="5"/>
        <v>#N/A</v>
      </c>
    </row>
    <row r="34" spans="1:29" ht="15">
      <c r="A34" s="470"/>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0"/>
      <c r="L34" s="1141"/>
      <c r="M34" s="1132"/>
      <c r="N34" s="1132"/>
      <c r="O34" s="1132"/>
      <c r="P34" s="3294"/>
      <c r="Q34" s="1810" t="str">
        <f t="shared" si="11"/>
        <v>建筑结构</v>
      </c>
      <c r="R34" s="772" t="s">
        <v>17</v>
      </c>
      <c r="S34" s="773">
        <f t="shared" si="12"/>
        <v>100</v>
      </c>
      <c r="T34" s="772" t="s">
        <v>17</v>
      </c>
      <c r="U34" s="773">
        <f t="shared" si="13"/>
        <v>100</v>
      </c>
      <c r="V34" s="772" t="s">
        <v>17</v>
      </c>
      <c r="W34" s="773">
        <f t="shared" si="14"/>
        <v>100</v>
      </c>
      <c r="X34" s="1813"/>
      <c r="Y34" s="3296"/>
      <c r="Z34" s="1814" t="str">
        <f t="shared" si="15"/>
        <v>建筑结构</v>
      </c>
      <c r="AA34" s="1811">
        <f t="shared" si="3"/>
        <v>1</v>
      </c>
      <c r="AB34" s="1811">
        <f t="shared" si="4"/>
        <v>1</v>
      </c>
      <c r="AC34" s="1811">
        <f t="shared" si="5"/>
        <v>1</v>
      </c>
    </row>
    <row r="35" spans="1:29" ht="15">
      <c r="A35" s="470"/>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0"/>
      <c r="L35" s="1141"/>
      <c r="M35" s="1132"/>
      <c r="N35" s="1132"/>
      <c r="O35" s="1132"/>
      <c r="P35" s="3294"/>
      <c r="Q35" s="1810" t="str">
        <f t="shared" si="11"/>
        <v>公共部分装修</v>
      </c>
      <c r="R35" s="772" t="s">
        <v>17</v>
      </c>
      <c r="S35" s="773">
        <f t="shared" si="12"/>
        <v>100</v>
      </c>
      <c r="T35" s="772" t="s">
        <v>17</v>
      </c>
      <c r="U35" s="773">
        <f t="shared" si="13"/>
        <v>100</v>
      </c>
      <c r="V35" s="772" t="s">
        <v>17</v>
      </c>
      <c r="W35" s="773">
        <f t="shared" si="14"/>
        <v>100</v>
      </c>
      <c r="X35" s="1813"/>
      <c r="Y35" s="3296"/>
      <c r="Z35" s="1814" t="str">
        <f t="shared" si="15"/>
        <v>公共部分装修</v>
      </c>
      <c r="AA35" s="1811">
        <f t="shared" si="3"/>
        <v>1</v>
      </c>
      <c r="AB35" s="1811">
        <f t="shared" si="4"/>
        <v>1</v>
      </c>
      <c r="AC35" s="1811">
        <f t="shared" si="5"/>
        <v>1</v>
      </c>
    </row>
    <row r="36" spans="1:29" ht="15">
      <c r="A36" s="470"/>
      <c r="B36" s="422" t="s">
        <v>2663</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10"/>
      <c r="L36" s="1141"/>
      <c r="M36" s="1132"/>
      <c r="N36" s="1132"/>
      <c r="O36" s="1132"/>
      <c r="P36" s="3294"/>
      <c r="Q36" s="1810" t="str">
        <f t="shared" si="11"/>
        <v>成新度</v>
      </c>
      <c r="R36" s="772" t="s">
        <v>17</v>
      </c>
      <c r="S36" s="773" t="e">
        <f t="shared" si="12"/>
        <v>#N/A</v>
      </c>
      <c r="T36" s="772" t="s">
        <v>17</v>
      </c>
      <c r="U36" s="773" t="e">
        <f t="shared" si="13"/>
        <v>#N/A</v>
      </c>
      <c r="V36" s="772" t="s">
        <v>17</v>
      </c>
      <c r="W36" s="773" t="e">
        <f t="shared" si="14"/>
        <v>#N/A</v>
      </c>
      <c r="X36" s="1813"/>
      <c r="Y36" s="3296"/>
      <c r="Z36" s="1814" t="str">
        <f t="shared" si="15"/>
        <v>成新度</v>
      </c>
      <c r="AA36" s="1811" t="e">
        <f t="shared" si="3"/>
        <v>#N/A</v>
      </c>
      <c r="AB36" s="1811" t="e">
        <f t="shared" si="4"/>
        <v>#N/A</v>
      </c>
      <c r="AC36" s="1811" t="e">
        <f t="shared" si="5"/>
        <v>#N/A</v>
      </c>
    </row>
    <row r="37" spans="1:29" s="117" customFormat="1" ht="15">
      <c r="A37" s="471"/>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0"/>
      <c r="L37" s="1133"/>
      <c r="M37" s="1134"/>
      <c r="N37" s="1134"/>
      <c r="O37" s="1134"/>
      <c r="P37" s="3294"/>
      <c r="Q37" s="1795" t="str">
        <f t="shared" si="11"/>
        <v>市政基础设施</v>
      </c>
      <c r="R37" s="768" t="s">
        <v>17</v>
      </c>
      <c r="S37" s="769">
        <f t="shared" si="12"/>
        <v>100</v>
      </c>
      <c r="T37" s="768" t="s">
        <v>17</v>
      </c>
      <c r="U37" s="769">
        <f t="shared" si="13"/>
        <v>100</v>
      </c>
      <c r="V37" s="768" t="s">
        <v>17</v>
      </c>
      <c r="W37" s="769">
        <f t="shared" si="14"/>
        <v>100</v>
      </c>
      <c r="X37" s="770"/>
      <c r="Y37" s="3296"/>
      <c r="Z37" s="55" t="str">
        <f t="shared" si="15"/>
        <v>市政基础设施</v>
      </c>
      <c r="AA37" s="771">
        <f t="shared" si="3"/>
        <v>1</v>
      </c>
      <c r="AB37" s="771">
        <f t="shared" si="4"/>
        <v>1</v>
      </c>
      <c r="AC37" s="771">
        <f t="shared" si="5"/>
        <v>1</v>
      </c>
    </row>
    <row r="38" spans="1:29" ht="15">
      <c r="A38" s="470"/>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0"/>
      <c r="L38" s="1141"/>
      <c r="M38" s="1132"/>
      <c r="N38" s="1132"/>
      <c r="O38" s="1132"/>
      <c r="P38" s="3294" t="s">
        <v>2566</v>
      </c>
      <c r="Q38" s="1810" t="str">
        <f t="shared" si="11"/>
        <v>业态</v>
      </c>
      <c r="R38" s="772" t="s">
        <v>17</v>
      </c>
      <c r="S38" s="773">
        <f t="shared" si="12"/>
        <v>100</v>
      </c>
      <c r="T38" s="772" t="s">
        <v>17</v>
      </c>
      <c r="U38" s="773">
        <f t="shared" si="13"/>
        <v>100</v>
      </c>
      <c r="V38" s="772" t="s">
        <v>17</v>
      </c>
      <c r="W38" s="773">
        <f t="shared" si="14"/>
        <v>100</v>
      </c>
      <c r="X38" s="1813"/>
      <c r="Y38" s="3296" t="s">
        <v>2566</v>
      </c>
      <c r="Z38" s="1814" t="str">
        <f t="shared" si="15"/>
        <v>业态</v>
      </c>
      <c r="AA38" s="1811">
        <f t="shared" si="3"/>
        <v>1</v>
      </c>
      <c r="AB38" s="1811">
        <f t="shared" si="4"/>
        <v>1</v>
      </c>
      <c r="AC38" s="1811">
        <f t="shared" si="5"/>
        <v>1</v>
      </c>
    </row>
    <row r="39" spans="1:29" ht="15">
      <c r="A39" s="470"/>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0"/>
      <c r="L39" s="1141"/>
      <c r="M39" s="1132"/>
      <c r="N39" s="1132"/>
      <c r="O39" s="1132"/>
      <c r="P39" s="3294"/>
      <c r="Q39" s="1810" t="str">
        <f t="shared" si="11"/>
        <v>层高</v>
      </c>
      <c r="R39" s="772" t="s">
        <v>17</v>
      </c>
      <c r="S39" s="773">
        <f t="shared" si="12"/>
        <v>100</v>
      </c>
      <c r="T39" s="772" t="s">
        <v>17</v>
      </c>
      <c r="U39" s="773">
        <f t="shared" si="13"/>
        <v>100</v>
      </c>
      <c r="V39" s="772" t="s">
        <v>17</v>
      </c>
      <c r="W39" s="773">
        <f t="shared" si="14"/>
        <v>100</v>
      </c>
      <c r="X39" s="1813"/>
      <c r="Y39" s="3296"/>
      <c r="Z39" s="1814" t="str">
        <f t="shared" si="15"/>
        <v>层高</v>
      </c>
      <c r="AA39" s="1811">
        <f t="shared" si="3"/>
        <v>1</v>
      </c>
      <c r="AB39" s="1811">
        <f t="shared" si="4"/>
        <v>1</v>
      </c>
      <c r="AC39" s="1811">
        <f t="shared" si="5"/>
        <v>1</v>
      </c>
    </row>
    <row r="40" spans="1:29" ht="15">
      <c r="A40" s="470"/>
      <c r="B40" s="422" t="s">
        <v>2667</v>
      </c>
      <c r="C40" s="615"/>
      <c r="D40" s="435">
        <v>100</v>
      </c>
      <c r="E40" s="616"/>
      <c r="F40" s="461">
        <f>SUMIF(118:118,E40,119:119)-SUMIF(118:118,C40,119:119)+100</f>
        <v>100</v>
      </c>
      <c r="G40" s="616"/>
      <c r="H40" s="435">
        <f>SUMIF(118:118,G40,119:119)-SUMIF(118:118,C40,119:119)+100</f>
        <v>100</v>
      </c>
      <c r="I40" s="616"/>
      <c r="J40" s="435">
        <f>SUMIF(118:118,I40,119:119)-SUMIF(118:118,C40,119:119)+100</f>
        <v>100</v>
      </c>
      <c r="K40" s="611"/>
      <c r="L40" s="1141"/>
      <c r="M40" s="1132"/>
      <c r="N40" s="1132"/>
      <c r="O40" s="1132"/>
      <c r="P40" s="3294"/>
      <c r="Q40" s="1810" t="str">
        <f t="shared" si="11"/>
        <v>单套建筑面积</v>
      </c>
      <c r="R40" s="772" t="s">
        <v>17</v>
      </c>
      <c r="S40" s="773">
        <f t="shared" si="12"/>
        <v>100</v>
      </c>
      <c r="T40" s="772" t="s">
        <v>17</v>
      </c>
      <c r="U40" s="773">
        <f t="shared" si="13"/>
        <v>100</v>
      </c>
      <c r="V40" s="772" t="s">
        <v>17</v>
      </c>
      <c r="W40" s="773">
        <f t="shared" si="14"/>
        <v>100</v>
      </c>
      <c r="X40" s="1813"/>
      <c r="Y40" s="3296"/>
      <c r="Z40" s="1814" t="str">
        <f t="shared" si="15"/>
        <v>单套建筑面积</v>
      </c>
      <c r="AA40" s="1811">
        <f t="shared" si="3"/>
        <v>1</v>
      </c>
      <c r="AB40" s="1811">
        <f t="shared" si="4"/>
        <v>1</v>
      </c>
      <c r="AC40" s="1811">
        <f t="shared" si="5"/>
        <v>1</v>
      </c>
    </row>
    <row r="41" spans="1:29" s="469" customFormat="1" ht="15">
      <c r="A41" s="466"/>
      <c r="B41" s="1812" t="s">
        <v>2668</v>
      </c>
      <c r="C41" s="614"/>
      <c r="D41" s="435">
        <v>100</v>
      </c>
      <c r="E41" s="614"/>
      <c r="F41" s="461">
        <f>SUMIF(120:120,E41,121:121)-SUMIF(120:120,C41,121:121)+100</f>
        <v>100</v>
      </c>
      <c r="G41" s="614"/>
      <c r="H41" s="435">
        <f>SUMIF(120:120,G41,121:121)-SUMIF(120:120,C41,121:121)+100</f>
        <v>100</v>
      </c>
      <c r="I41" s="614"/>
      <c r="J41" s="435">
        <f>SUMIF(120:120,I41,121:121)-SUMIF(120:120,C41,121:121)+100</f>
        <v>100</v>
      </c>
      <c r="K41" s="610"/>
      <c r="L41" s="1139"/>
      <c r="M41" s="1142"/>
      <c r="N41" s="1142"/>
      <c r="O41" s="1142"/>
      <c r="P41" s="3294"/>
      <c r="Q41" s="774" t="str">
        <f t="shared" si="11"/>
        <v>进深比</v>
      </c>
      <c r="R41" s="775" t="s">
        <v>17</v>
      </c>
      <c r="S41" s="776">
        <f t="shared" si="12"/>
        <v>100</v>
      </c>
      <c r="T41" s="775" t="s">
        <v>17</v>
      </c>
      <c r="U41" s="776">
        <f t="shared" si="13"/>
        <v>100</v>
      </c>
      <c r="V41" s="775" t="s">
        <v>17</v>
      </c>
      <c r="W41" s="776">
        <f t="shared" si="14"/>
        <v>100</v>
      </c>
      <c r="X41" s="777"/>
      <c r="Y41" s="3296"/>
      <c r="Z41" s="778" t="str">
        <f t="shared" si="15"/>
        <v>进深比</v>
      </c>
      <c r="AA41" s="1811">
        <f t="shared" si="3"/>
        <v>1</v>
      </c>
      <c r="AB41" s="1811">
        <f t="shared" si="4"/>
        <v>1</v>
      </c>
      <c r="AC41" s="1811">
        <f t="shared" si="5"/>
        <v>1</v>
      </c>
    </row>
    <row r="42" spans="1:29" ht="15">
      <c r="A42" s="470"/>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0"/>
      <c r="L42" s="1141"/>
      <c r="M42" s="1132"/>
      <c r="N42" s="1132"/>
      <c r="O42" s="1132"/>
      <c r="P42" s="3294"/>
      <c r="Q42" s="1810" t="str">
        <f t="shared" si="11"/>
        <v>内部装修</v>
      </c>
      <c r="R42" s="772" t="s">
        <v>17</v>
      </c>
      <c r="S42" s="773">
        <f t="shared" si="12"/>
        <v>100</v>
      </c>
      <c r="T42" s="772" t="s">
        <v>17</v>
      </c>
      <c r="U42" s="773">
        <f t="shared" si="13"/>
        <v>100</v>
      </c>
      <c r="V42" s="772" t="s">
        <v>17</v>
      </c>
      <c r="W42" s="773">
        <f t="shared" si="14"/>
        <v>100</v>
      </c>
      <c r="X42" s="1813"/>
      <c r="Y42" s="3296"/>
      <c r="Z42" s="1814" t="str">
        <f t="shared" si="15"/>
        <v>内部装修</v>
      </c>
      <c r="AA42" s="1811">
        <f t="shared" si="3"/>
        <v>1</v>
      </c>
      <c r="AB42" s="1811">
        <f t="shared" si="4"/>
        <v>1</v>
      </c>
      <c r="AC42" s="1811">
        <f t="shared" si="5"/>
        <v>1</v>
      </c>
    </row>
    <row r="43" spans="1:29" ht="15">
      <c r="A43" s="470"/>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0"/>
      <c r="L43" s="1141"/>
      <c r="M43" s="1132"/>
      <c r="N43" s="1132"/>
      <c r="O43" s="1132"/>
      <c r="P43" s="3294"/>
      <c r="Q43" s="1810" t="str">
        <f t="shared" si="11"/>
        <v>内部装修维护情况</v>
      </c>
      <c r="R43" s="772" t="s">
        <v>17</v>
      </c>
      <c r="S43" s="773">
        <f t="shared" si="12"/>
        <v>100</v>
      </c>
      <c r="T43" s="772" t="s">
        <v>17</v>
      </c>
      <c r="U43" s="773">
        <f t="shared" si="13"/>
        <v>100</v>
      </c>
      <c r="V43" s="772" t="s">
        <v>17</v>
      </c>
      <c r="W43" s="773">
        <f t="shared" si="14"/>
        <v>100</v>
      </c>
      <c r="X43" s="1813"/>
      <c r="Y43" s="3296"/>
      <c r="Z43" s="1814" t="str">
        <f t="shared" si="15"/>
        <v>内部装修维护情况</v>
      </c>
      <c r="AA43" s="1811">
        <f t="shared" si="3"/>
        <v>1</v>
      </c>
      <c r="AB43" s="1811">
        <f t="shared" si="4"/>
        <v>1</v>
      </c>
      <c r="AC43" s="1811">
        <f t="shared" si="5"/>
        <v>1</v>
      </c>
    </row>
    <row r="44" spans="1:29" s="117" customFormat="1" ht="15">
      <c r="A44" s="471"/>
      <c r="B44" s="138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11"/>
      <c r="L44" s="1133"/>
      <c r="M44" s="1134"/>
      <c r="N44" s="1134"/>
      <c r="O44" s="1134"/>
      <c r="P44" s="3294"/>
      <c r="Q44" s="1795">
        <f t="shared" si="11"/>
        <v>111</v>
      </c>
      <c r="R44" s="768" t="s">
        <v>17</v>
      </c>
      <c r="S44" s="769">
        <f t="shared" si="12"/>
        <v>100</v>
      </c>
      <c r="T44" s="768" t="s">
        <v>17</v>
      </c>
      <c r="U44" s="769">
        <f t="shared" si="13"/>
        <v>100</v>
      </c>
      <c r="V44" s="768" t="s">
        <v>17</v>
      </c>
      <c r="W44" s="769">
        <f t="shared" si="14"/>
        <v>100</v>
      </c>
      <c r="X44" s="770"/>
      <c r="Y44" s="3296"/>
      <c r="Z44" s="55">
        <f t="shared" si="15"/>
        <v>111</v>
      </c>
      <c r="AA44" s="771">
        <f t="shared" si="3"/>
        <v>1</v>
      </c>
      <c r="AB44" s="771">
        <f t="shared" si="4"/>
        <v>1</v>
      </c>
      <c r="AC44" s="771">
        <f t="shared" si="5"/>
        <v>1</v>
      </c>
    </row>
    <row r="45" spans="1:29" ht="15">
      <c r="A45" s="470"/>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1"/>
      <c r="L45" s="1141"/>
      <c r="M45" s="1132"/>
      <c r="N45" s="1132"/>
      <c r="O45" s="1132"/>
      <c r="P45" s="3294"/>
      <c r="Q45" s="1810">
        <f t="shared" si="11"/>
        <v>111</v>
      </c>
      <c r="R45" s="772" t="s">
        <v>17</v>
      </c>
      <c r="S45" s="773">
        <f t="shared" si="12"/>
        <v>100</v>
      </c>
      <c r="T45" s="772" t="s">
        <v>17</v>
      </c>
      <c r="U45" s="773">
        <f t="shared" si="13"/>
        <v>100</v>
      </c>
      <c r="V45" s="772" t="s">
        <v>17</v>
      </c>
      <c r="W45" s="773">
        <f t="shared" si="14"/>
        <v>100</v>
      </c>
      <c r="X45" s="1813"/>
      <c r="Y45" s="3296"/>
      <c r="Z45" s="1814">
        <f t="shared" si="15"/>
        <v>111</v>
      </c>
      <c r="AA45" s="1811">
        <f t="shared" si="3"/>
        <v>1</v>
      </c>
      <c r="AB45" s="1811">
        <f t="shared" si="4"/>
        <v>1</v>
      </c>
      <c r="AC45" s="1811">
        <f t="shared" si="5"/>
        <v>1</v>
      </c>
    </row>
    <row r="46" spans="1:29" ht="15.75" thickBot="1">
      <c r="A46" s="476"/>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1"/>
      <c r="L46" s="1141"/>
      <c r="M46" s="1132"/>
      <c r="N46" s="1132"/>
      <c r="O46" s="1132"/>
      <c r="P46" s="3295"/>
      <c r="Q46" s="1810">
        <f t="shared" si="11"/>
        <v>111</v>
      </c>
      <c r="R46" s="772" t="s">
        <v>17</v>
      </c>
      <c r="S46" s="773">
        <f t="shared" si="12"/>
        <v>100</v>
      </c>
      <c r="T46" s="772" t="s">
        <v>17</v>
      </c>
      <c r="U46" s="773">
        <f t="shared" si="13"/>
        <v>100</v>
      </c>
      <c r="V46" s="772" t="s">
        <v>17</v>
      </c>
      <c r="W46" s="773">
        <f t="shared" si="14"/>
        <v>100</v>
      </c>
      <c r="X46" s="1813"/>
      <c r="Y46" s="3297"/>
      <c r="Z46" s="1814">
        <f t="shared" si="15"/>
        <v>111</v>
      </c>
      <c r="AA46" s="1811">
        <f t="shared" si="3"/>
        <v>1</v>
      </c>
      <c r="AB46" s="1811">
        <f t="shared" si="4"/>
        <v>1</v>
      </c>
      <c r="AC46" s="1811">
        <f t="shared" si="5"/>
        <v>1</v>
      </c>
    </row>
    <row r="47" spans="1:29" ht="15">
      <c r="A47" s="477" t="s">
        <v>2578</v>
      </c>
      <c r="B47" s="478"/>
      <c r="C47" s="1407" t="s">
        <v>1</v>
      </c>
      <c r="D47" s="1408"/>
      <c r="E47" s="1409"/>
      <c r="F47" s="1410"/>
      <c r="G47" s="1411"/>
      <c r="H47" s="1412"/>
      <c r="I47" s="1409"/>
      <c r="J47" s="1412"/>
      <c r="K47" s="781"/>
      <c r="L47" s="1144"/>
      <c r="M47" s="1145"/>
      <c r="N47" s="1132"/>
      <c r="O47" s="1145"/>
      <c r="P47" s="3298" t="str">
        <f>A47</f>
        <v>成交单价（元/平方米）</v>
      </c>
      <c r="Q47" s="3298"/>
      <c r="R47" s="3260">
        <f>E47</f>
        <v>0</v>
      </c>
      <c r="S47" s="3260"/>
      <c r="T47" s="3260">
        <f>G47</f>
        <v>0</v>
      </c>
      <c r="U47" s="3260"/>
      <c r="V47" s="3260">
        <f>I47</f>
        <v>0</v>
      </c>
      <c r="W47" s="3260"/>
      <c r="X47" s="757"/>
      <c r="Y47" s="779"/>
      <c r="Z47" s="757"/>
      <c r="AA47" s="757"/>
      <c r="AB47" s="757"/>
      <c r="AC47" s="757"/>
    </row>
    <row r="48" spans="1:29" ht="15.75" thickBot="1">
      <c r="A48" s="484" t="s">
        <v>2670</v>
      </c>
      <c r="B48" s="485"/>
      <c r="C48" s="1413" t="e">
        <f>R49</f>
        <v>#DIV/0!</v>
      </c>
      <c r="D48" s="1414"/>
      <c r="E48" s="1415" t="e">
        <f>R48</f>
        <v>#DIV/0!</v>
      </c>
      <c r="F48" s="1415"/>
      <c r="G48" s="1413" t="e">
        <f>T48</f>
        <v>#DIV/0!</v>
      </c>
      <c r="H48" s="1414"/>
      <c r="I48" s="1415" t="e">
        <f>V48</f>
        <v>#DIV/0!</v>
      </c>
      <c r="J48" s="1414"/>
      <c r="K48" s="782"/>
      <c r="L48" s="1144"/>
      <c r="M48" s="1145"/>
      <c r="N48" s="1132"/>
      <c r="O48" s="1145"/>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757"/>
      <c r="Y48" s="757"/>
      <c r="Z48" s="757"/>
      <c r="AA48" s="757"/>
      <c r="AB48" s="757"/>
      <c r="AC48" s="757"/>
    </row>
    <row r="49" spans="1:29" ht="15.75" thickBot="1">
      <c r="A49" s="490" t="s">
        <v>2671</v>
      </c>
      <c r="B49" s="491"/>
      <c r="C49" s="1417" t="e">
        <f>R49</f>
        <v>#DIV/0!</v>
      </c>
      <c r="D49" s="1417"/>
      <c r="E49" s="1417"/>
      <c r="F49" s="1417"/>
      <c r="G49" s="1417"/>
      <c r="H49" s="1417"/>
      <c r="I49" s="1417"/>
      <c r="J49" s="1417"/>
      <c r="K49" s="783"/>
      <c r="L49" s="1144"/>
      <c r="M49" s="1145"/>
      <c r="N49" s="1132"/>
      <c r="O49" s="1145"/>
      <c r="P49" s="3300" t="str">
        <f>A49</f>
        <v>估价对象XX用房的比较价值（楼面单价，元/平方米）</v>
      </c>
      <c r="Q49" s="3301"/>
      <c r="R49" s="3302" t="e">
        <f>IF(F1="售价",ROUND(AVERAGE(R48:V48),0),ROUND(AVERAGE(R48:V48),1))</f>
        <v>#DIV/0!</v>
      </c>
      <c r="S49" s="3302"/>
      <c r="T49" s="3302"/>
      <c r="U49" s="3302"/>
      <c r="V49" s="3302"/>
      <c r="W49" s="330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8"/>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8"/>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9"/>
      <c r="Q57" s="2670"/>
      <c r="R57" s="757"/>
      <c r="S57" s="757"/>
      <c r="T57" s="757"/>
      <c r="U57" s="757"/>
      <c r="V57" s="757"/>
      <c r="W57" s="757"/>
      <c r="X57" s="757"/>
      <c r="Y57" s="757"/>
      <c r="Z57" s="757"/>
      <c r="AA57" s="757"/>
      <c r="AB57" s="757"/>
      <c r="AC57" s="757"/>
    </row>
    <row r="58" spans="1:29" s="506" customFormat="1" ht="15">
      <c r="A58" s="503" t="s">
        <v>2549</v>
      </c>
      <c r="B58" s="504"/>
      <c r="C58" s="1574" t="str">
        <f>YEAR(C7)&amp;"-"&amp;MONTH(C7)</f>
        <v>2018-10</v>
      </c>
      <c r="D58" s="1575">
        <f>EDATE(C58,-1)</f>
        <v>43344</v>
      </c>
      <c r="E58" s="1575">
        <f t="shared" ref="E58:N58" si="16">EDATE(D58,-1)</f>
        <v>43313</v>
      </c>
      <c r="F58" s="1575">
        <f t="shared" si="16"/>
        <v>43282</v>
      </c>
      <c r="G58" s="1575">
        <f t="shared" si="16"/>
        <v>43252</v>
      </c>
      <c r="H58" s="1575">
        <f t="shared" si="16"/>
        <v>43221</v>
      </c>
      <c r="I58" s="1575">
        <f t="shared" si="16"/>
        <v>43191</v>
      </c>
      <c r="J58" s="1575">
        <f t="shared" si="16"/>
        <v>43160</v>
      </c>
      <c r="K58" s="1575">
        <f t="shared" si="16"/>
        <v>43132</v>
      </c>
      <c r="L58" s="1575">
        <f t="shared" si="16"/>
        <v>43101</v>
      </c>
      <c r="M58" s="1575">
        <f t="shared" si="16"/>
        <v>43070</v>
      </c>
      <c r="N58" s="1575">
        <f t="shared" si="16"/>
        <v>43040</v>
      </c>
      <c r="O58" s="1575">
        <f>EDATE(N58,-1)</f>
        <v>43009</v>
      </c>
      <c r="P58" s="1570"/>
    </row>
    <row r="59" spans="1:29" s="117" customFormat="1" ht="15">
      <c r="A59" s="507"/>
      <c r="B59" s="508"/>
      <c r="C59" s="1573">
        <v>100</v>
      </c>
      <c r="D59" s="510"/>
      <c r="E59" s="510"/>
      <c r="F59" s="510"/>
      <c r="G59" s="510"/>
      <c r="H59" s="510"/>
      <c r="I59" s="510"/>
      <c r="J59" s="510"/>
      <c r="K59" s="510"/>
      <c r="L59" s="510"/>
      <c r="M59" s="511"/>
      <c r="N59" s="510"/>
      <c r="O59" s="511"/>
      <c r="P59" s="2630"/>
    </row>
    <row r="60" spans="1:29" s="117" customFormat="1" ht="15.75" thickBot="1">
      <c r="A60" s="513" t="s">
        <v>2586</v>
      </c>
      <c r="B60" s="514"/>
      <c r="C60" s="515"/>
      <c r="D60" s="516"/>
      <c r="E60" s="516"/>
      <c r="F60" s="516"/>
      <c r="G60" s="516"/>
      <c r="H60" s="516"/>
      <c r="I60" s="516"/>
      <c r="J60" s="516"/>
      <c r="K60" s="516"/>
      <c r="L60" s="516"/>
      <c r="M60" s="517"/>
      <c r="N60" s="516"/>
      <c r="O60" s="517"/>
      <c r="P60" s="2630"/>
      <c r="Q60" s="502"/>
    </row>
    <row r="61" spans="1:29" s="117" customFormat="1" ht="15">
      <c r="A61" s="519" t="s">
        <v>2551</v>
      </c>
      <c r="B61" s="508"/>
      <c r="C61" s="520" t="s">
        <v>2653</v>
      </c>
      <c r="D61" s="521"/>
      <c r="E61" s="521"/>
      <c r="F61" s="521"/>
      <c r="G61" s="521"/>
      <c r="H61" s="521"/>
      <c r="I61" s="521"/>
      <c r="J61" s="521"/>
      <c r="K61" s="521"/>
      <c r="L61" s="522"/>
      <c r="M61" s="523"/>
      <c r="N61" s="1152"/>
      <c r="O61" s="1152"/>
      <c r="P61" s="2631"/>
      <c r="Q61" s="502"/>
    </row>
    <row r="62" spans="1:29" s="117" customFormat="1" ht="15.75" thickBot="1">
      <c r="A62" s="519"/>
      <c r="B62" s="508"/>
      <c r="C62" s="509">
        <v>100</v>
      </c>
      <c r="D62" s="510"/>
      <c r="E62" s="510"/>
      <c r="F62" s="510"/>
      <c r="G62" s="510"/>
      <c r="H62" s="510"/>
      <c r="I62" s="510"/>
      <c r="J62" s="510"/>
      <c r="K62" s="510"/>
      <c r="L62" s="510"/>
      <c r="M62" s="512"/>
      <c r="N62" s="1152"/>
      <c r="O62" s="1152"/>
      <c r="P62" s="2630"/>
      <c r="Q62" s="502"/>
    </row>
    <row r="63" spans="1:29">
      <c r="A63" s="525" t="s">
        <v>2589</v>
      </c>
      <c r="B63" s="526" t="s">
        <v>2555</v>
      </c>
      <c r="C63" s="527">
        <f>C9</f>
        <v>0</v>
      </c>
      <c r="D63" s="528"/>
      <c r="E63" s="528"/>
      <c r="F63" s="528"/>
      <c r="G63" s="528"/>
      <c r="H63" s="528"/>
      <c r="I63" s="528"/>
      <c r="J63" s="528"/>
      <c r="K63" s="529"/>
      <c r="L63" s="530"/>
      <c r="M63" s="531"/>
      <c r="N63" s="1153"/>
      <c r="O63" s="1153"/>
      <c r="P63" s="2632"/>
      <c r="Q63" s="502"/>
    </row>
    <row r="64" spans="1:29" ht="15.75" thickBot="1">
      <c r="A64" s="532"/>
      <c r="B64" s="533"/>
      <c r="C64" s="534">
        <v>100</v>
      </c>
      <c r="D64" s="534"/>
      <c r="E64" s="534"/>
      <c r="F64" s="534"/>
      <c r="G64" s="534"/>
      <c r="H64" s="534"/>
      <c r="I64" s="534"/>
      <c r="J64" s="534"/>
      <c r="K64" s="534"/>
      <c r="L64" s="534"/>
      <c r="M64" s="535"/>
      <c r="N64" s="1154"/>
      <c r="O64" s="1154"/>
      <c r="P64" s="2632"/>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3"/>
      <c r="O65" s="1153"/>
      <c r="P65" s="2632"/>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2"/>
      <c r="Q66" s="502"/>
    </row>
    <row r="67" spans="1:17" ht="15.75" thickTop="1">
      <c r="A67" s="532"/>
      <c r="B67" s="544" t="s">
        <v>2559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54"/>
      <c r="O67" s="1154"/>
      <c r="P67" s="2632"/>
      <c r="Q67" s="502"/>
    </row>
    <row r="68" spans="1:17" ht="15">
      <c r="A68" s="532"/>
      <c r="B68" s="546"/>
      <c r="C68" s="547"/>
      <c r="D68" s="547"/>
      <c r="E68" s="547"/>
      <c r="F68" s="547"/>
      <c r="G68" s="547"/>
      <c r="H68" s="547"/>
      <c r="I68" s="547"/>
      <c r="J68" s="547"/>
      <c r="K68" s="548"/>
      <c r="L68" s="549"/>
      <c r="M68" s="550"/>
      <c r="N68" s="1153"/>
      <c r="O68" s="1153"/>
      <c r="P68" s="2632"/>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2"/>
      <c r="Q69" s="502"/>
    </row>
    <row r="70" spans="1:17" s="469" customFormat="1" ht="15.75" thickTop="1">
      <c r="A70" s="551"/>
      <c r="B70" s="536">
        <f>B12</f>
        <v>111</v>
      </c>
      <c r="C70" s="552"/>
      <c r="D70" s="552"/>
      <c r="E70" s="552"/>
      <c r="F70" s="552"/>
      <c r="G70" s="552"/>
      <c r="H70" s="553"/>
      <c r="I70" s="553"/>
      <c r="J70" s="553"/>
      <c r="K70" s="553"/>
      <c r="L70" s="554"/>
      <c r="M70" s="555"/>
      <c r="N70" s="1155"/>
      <c r="O70" s="1155"/>
      <c r="P70" s="2633"/>
      <c r="Q70" s="557"/>
    </row>
    <row r="71" spans="1:17" s="469" customFormat="1" ht="15.75" thickBot="1">
      <c r="A71" s="551"/>
      <c r="B71" s="541"/>
      <c r="C71" s="558"/>
      <c r="D71" s="534"/>
      <c r="E71" s="534"/>
      <c r="F71" s="534"/>
      <c r="G71" s="534"/>
      <c r="H71" s="534"/>
      <c r="I71" s="534"/>
      <c r="J71" s="534"/>
      <c r="K71" s="534"/>
      <c r="L71" s="534"/>
      <c r="M71" s="535"/>
      <c r="N71" s="1154"/>
      <c r="O71" s="1154"/>
      <c r="P71" s="2633"/>
      <c r="Q71" s="557"/>
    </row>
    <row r="72" spans="1:17" s="469" customFormat="1" ht="15.75" thickTop="1">
      <c r="A72" s="551"/>
      <c r="B72" s="536">
        <f>B13</f>
        <v>111</v>
      </c>
      <c r="C72" s="552"/>
      <c r="D72" s="552"/>
      <c r="E72" s="552"/>
      <c r="F72" s="552"/>
      <c r="G72" s="552"/>
      <c r="H72" s="553"/>
      <c r="I72" s="553"/>
      <c r="J72" s="553"/>
      <c r="K72" s="553"/>
      <c r="L72" s="554"/>
      <c r="M72" s="555"/>
      <c r="N72" s="1155"/>
      <c r="O72" s="1155"/>
      <c r="P72" s="2634"/>
      <c r="Q72" s="559"/>
    </row>
    <row r="73" spans="1:17" s="469" customFormat="1" ht="15.75" thickBot="1">
      <c r="A73" s="551"/>
      <c r="B73" s="541"/>
      <c r="C73" s="558"/>
      <c r="D73" s="534"/>
      <c r="E73" s="534"/>
      <c r="F73" s="534"/>
      <c r="G73" s="558"/>
      <c r="H73" s="560"/>
      <c r="I73" s="560"/>
      <c r="J73" s="560"/>
      <c r="K73" s="560"/>
      <c r="L73" s="560"/>
      <c r="M73" s="561"/>
      <c r="N73" s="1155"/>
      <c r="O73" s="1155"/>
      <c r="P73" s="2633"/>
      <c r="Q73" s="557"/>
    </row>
    <row r="74" spans="1:17" s="469" customFormat="1" ht="15.75" thickTop="1">
      <c r="A74" s="551"/>
      <c r="B74" s="544">
        <f>B14</f>
        <v>111</v>
      </c>
      <c r="C74" s="552"/>
      <c r="D74" s="552"/>
      <c r="E74" s="552"/>
      <c r="F74" s="552"/>
      <c r="G74" s="521"/>
      <c r="H74" s="562"/>
      <c r="I74" s="562"/>
      <c r="J74" s="562"/>
      <c r="K74" s="562"/>
      <c r="L74" s="563"/>
      <c r="M74" s="564"/>
      <c r="N74" s="1155"/>
      <c r="O74" s="1155"/>
      <c r="P74" s="2635"/>
      <c r="Q74" s="557"/>
    </row>
    <row r="75" spans="1:17" s="469" customFormat="1" ht="15.75" thickBot="1">
      <c r="A75" s="566"/>
      <c r="B75" s="567"/>
      <c r="C75" s="568"/>
      <c r="D75" s="568"/>
      <c r="E75" s="568"/>
      <c r="F75" s="568"/>
      <c r="G75" s="568"/>
      <c r="H75" s="569"/>
      <c r="I75" s="569"/>
      <c r="J75" s="569"/>
      <c r="K75" s="569"/>
      <c r="L75" s="569"/>
      <c r="M75" s="570"/>
      <c r="N75" s="1155"/>
      <c r="O75" s="1155"/>
      <c r="P75" s="2633"/>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3"/>
      <c r="O76" s="1153"/>
      <c r="P76" s="263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2"/>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3"/>
      <c r="O78" s="1153"/>
      <c r="P78" s="263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2"/>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3"/>
      <c r="O80" s="1153"/>
      <c r="P80" s="263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2"/>
      <c r="Q81" s="502"/>
    </row>
    <row r="82" spans="1:17" ht="15.75" thickTop="1">
      <c r="A82" s="532"/>
      <c r="B82" s="544" t="s">
        <v>2656</v>
      </c>
      <c r="C82" s="658" t="s">
        <v>2676</v>
      </c>
      <c r="D82" s="658" t="s">
        <v>2677</v>
      </c>
      <c r="E82" s="658" t="s">
        <v>2678</v>
      </c>
      <c r="F82" s="658" t="s">
        <v>2679</v>
      </c>
      <c r="G82" s="658" t="s">
        <v>2680</v>
      </c>
      <c r="H82" s="537"/>
      <c r="I82" s="537"/>
      <c r="J82" s="537"/>
      <c r="K82" s="537"/>
      <c r="L82" s="537"/>
      <c r="M82" s="1383"/>
      <c r="N82" s="1154"/>
      <c r="O82" s="1154"/>
      <c r="P82" s="2632"/>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50"/>
      <c r="N83" s="1154"/>
      <c r="O83" s="1154"/>
      <c r="P83" s="2632"/>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3"/>
      <c r="O84" s="1153"/>
      <c r="P84" s="263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2"/>
      <c r="Q85" s="502"/>
    </row>
    <row r="86" spans="1:17" s="117" customFormat="1" ht="15.75" thickTop="1">
      <c r="A86" s="577"/>
      <c r="B86" s="536" t="s">
        <v>2681</v>
      </c>
      <c r="C86" s="552"/>
      <c r="D86" s="552"/>
      <c r="E86" s="552"/>
      <c r="F86" s="552"/>
      <c r="G86" s="552"/>
      <c r="H86" s="552"/>
      <c r="I86" s="552"/>
      <c r="J86" s="552"/>
      <c r="K86" s="552"/>
      <c r="L86" s="578"/>
      <c r="M86" s="579"/>
      <c r="N86" s="1152"/>
      <c r="O86" s="1152"/>
      <c r="P86" s="2632"/>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2"/>
      <c r="Q87" s="502"/>
    </row>
    <row r="88" spans="1:17" s="117" customFormat="1" ht="15.75" thickTop="1">
      <c r="A88" s="577"/>
      <c r="B88" s="536" t="str">
        <f>B26</f>
        <v>平面位置/可视性</v>
      </c>
      <c r="C88" s="552"/>
      <c r="D88" s="552"/>
      <c r="E88" s="552"/>
      <c r="F88" s="2637"/>
      <c r="G88" s="552"/>
      <c r="H88" s="552"/>
      <c r="I88" s="552"/>
      <c r="J88" s="552"/>
      <c r="K88" s="552"/>
      <c r="L88" s="552"/>
      <c r="M88" s="579"/>
      <c r="N88" s="1152"/>
      <c r="O88" s="1152"/>
      <c r="P88" s="2632"/>
      <c r="Q88" s="502"/>
    </row>
    <row r="89" spans="1:17" s="117" customFormat="1" ht="15.75" thickBot="1">
      <c r="A89" s="577"/>
      <c r="B89" s="541"/>
      <c r="C89" s="558"/>
      <c r="D89" s="534"/>
      <c r="E89" s="534"/>
      <c r="F89" s="534"/>
      <c r="G89" s="534"/>
      <c r="H89" s="534"/>
      <c r="I89" s="534"/>
      <c r="J89" s="534"/>
      <c r="K89" s="534"/>
      <c r="L89" s="534"/>
      <c r="M89" s="534"/>
      <c r="N89" s="1154"/>
      <c r="O89" s="1154"/>
      <c r="P89" s="2632"/>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3"/>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3"/>
      <c r="Q91" s="557"/>
    </row>
    <row r="92" spans="1:17" ht="15.75" thickTop="1">
      <c r="A92" s="532"/>
      <c r="B92" s="536" t="str">
        <f>B28</f>
        <v>楼层</v>
      </c>
      <c r="C92" s="552"/>
      <c r="D92" s="552"/>
      <c r="E92" s="552"/>
      <c r="F92" s="552"/>
      <c r="G92" s="552"/>
      <c r="H92" s="552"/>
      <c r="I92" s="552"/>
      <c r="J92" s="552"/>
      <c r="K92" s="552"/>
      <c r="L92" s="578"/>
      <c r="M92" s="579"/>
      <c r="N92" s="1153"/>
      <c r="O92" s="1153"/>
      <c r="P92" s="2632"/>
      <c r="Q92" s="502"/>
    </row>
    <row r="93" spans="1:17" ht="15.75" thickBot="1">
      <c r="A93" s="532"/>
      <c r="B93" s="541"/>
      <c r="C93" s="534"/>
      <c r="D93" s="534"/>
      <c r="E93" s="534"/>
      <c r="F93" s="534"/>
      <c r="G93" s="534"/>
      <c r="H93" s="534"/>
      <c r="I93" s="534"/>
      <c r="J93" s="534"/>
      <c r="K93" s="534"/>
      <c r="L93" s="534"/>
      <c r="M93" s="535"/>
      <c r="N93" s="1154"/>
      <c r="O93" s="1154"/>
      <c r="P93" s="2632"/>
      <c r="Q93" s="502"/>
    </row>
    <row r="94" spans="1:17" ht="15.75" thickTop="1">
      <c r="A94" s="532"/>
      <c r="B94" s="536">
        <f>B29</f>
        <v>111</v>
      </c>
      <c r="C94" s="552"/>
      <c r="D94" s="552"/>
      <c r="E94" s="552"/>
      <c r="F94" s="552"/>
      <c r="G94" s="581"/>
      <c r="H94" s="581"/>
      <c r="I94" s="581"/>
      <c r="J94" s="581"/>
      <c r="K94" s="582"/>
      <c r="L94" s="583"/>
      <c r="M94" s="584"/>
      <c r="N94" s="1153"/>
      <c r="O94" s="1153"/>
      <c r="P94" s="2632"/>
      <c r="Q94" s="502"/>
    </row>
    <row r="95" spans="1:17" ht="15.75" thickBot="1">
      <c r="A95" s="532"/>
      <c r="B95" s="541"/>
      <c r="C95" s="558"/>
      <c r="D95" s="534"/>
      <c r="E95" s="534"/>
      <c r="F95" s="534"/>
      <c r="G95" s="534"/>
      <c r="H95" s="534"/>
      <c r="I95" s="534"/>
      <c r="J95" s="534"/>
      <c r="K95" s="534"/>
      <c r="L95" s="534"/>
      <c r="M95" s="535"/>
      <c r="N95" s="1154"/>
      <c r="O95" s="1154"/>
      <c r="P95" s="2632"/>
      <c r="Q95" s="502"/>
    </row>
    <row r="96" spans="1:17" ht="15.75" thickTop="1">
      <c r="A96" s="532"/>
      <c r="B96" s="536">
        <f>B30</f>
        <v>111</v>
      </c>
      <c r="C96" s="552"/>
      <c r="D96" s="552"/>
      <c r="E96" s="552"/>
      <c r="F96" s="552"/>
      <c r="G96" s="581"/>
      <c r="H96" s="581"/>
      <c r="I96" s="581"/>
      <c r="J96" s="581"/>
      <c r="K96" s="582"/>
      <c r="L96" s="583"/>
      <c r="M96" s="584"/>
      <c r="N96" s="1153"/>
      <c r="O96" s="1153"/>
      <c r="P96" s="2632"/>
      <c r="Q96" s="502"/>
    </row>
    <row r="97" spans="1:17" ht="15.75" thickBot="1">
      <c r="A97" s="532"/>
      <c r="B97" s="541"/>
      <c r="C97" s="558"/>
      <c r="D97" s="534"/>
      <c r="E97" s="534"/>
      <c r="F97" s="534"/>
      <c r="G97" s="534"/>
      <c r="H97" s="534"/>
      <c r="I97" s="534"/>
      <c r="J97" s="534"/>
      <c r="K97" s="534"/>
      <c r="L97" s="534"/>
      <c r="M97" s="535"/>
      <c r="N97" s="1154"/>
      <c r="O97" s="1154"/>
      <c r="P97" s="2632"/>
      <c r="Q97" s="502"/>
    </row>
    <row r="98" spans="1:17" ht="15.75" thickTop="1">
      <c r="A98" s="532"/>
      <c r="B98" s="544">
        <f>B31</f>
        <v>111</v>
      </c>
      <c r="C98" s="552"/>
      <c r="D98" s="552"/>
      <c r="E98" s="552"/>
      <c r="F98" s="552"/>
      <c r="G98" s="585"/>
      <c r="H98" s="585"/>
      <c r="I98" s="585"/>
      <c r="J98" s="585"/>
      <c r="K98" s="586"/>
      <c r="L98" s="587"/>
      <c r="M98" s="588"/>
      <c r="N98" s="1153"/>
      <c r="O98" s="1153"/>
      <c r="P98" s="2632"/>
      <c r="Q98" s="502"/>
    </row>
    <row r="99" spans="1:17" ht="15.75" thickBot="1">
      <c r="A99" s="2638"/>
      <c r="B99" s="567"/>
      <c r="C99" s="568"/>
      <c r="D99" s="568"/>
      <c r="E99" s="568"/>
      <c r="F99" s="568"/>
      <c r="G99" s="589"/>
      <c r="H99" s="589"/>
      <c r="I99" s="589"/>
      <c r="J99" s="589"/>
      <c r="K99" s="589"/>
      <c r="L99" s="589"/>
      <c r="M99" s="590"/>
      <c r="N99" s="1154"/>
      <c r="O99" s="1154"/>
      <c r="P99" s="2632"/>
      <c r="Q99" s="502"/>
    </row>
    <row r="100" spans="1:17">
      <c r="A100" s="525" t="s">
        <v>2564</v>
      </c>
      <c r="B100" s="526" t="s">
        <v>2682</v>
      </c>
      <c r="C100" s="528"/>
      <c r="D100" s="528"/>
      <c r="E100" s="528"/>
      <c r="F100" s="528"/>
      <c r="G100" s="528"/>
      <c r="H100" s="528"/>
      <c r="I100" s="528"/>
      <c r="J100" s="528"/>
      <c r="K100" s="529"/>
      <c r="L100" s="530"/>
      <c r="M100" s="531"/>
      <c r="N100" s="1153"/>
      <c r="O100" s="1153"/>
      <c r="P100" s="2632"/>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2"/>
      <c r="Q101" s="502"/>
    </row>
    <row r="102" spans="1:17" ht="15.75" thickTop="1">
      <c r="A102" s="532"/>
      <c r="B102" s="536" t="s">
        <v>2614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2"/>
      <c r="Q102" s="502"/>
    </row>
    <row r="103" spans="1:17" s="469" customFormat="1">
      <c r="A103" s="591"/>
      <c r="B103" s="592"/>
      <c r="C103" s="593"/>
      <c r="D103" s="593"/>
      <c r="E103" s="593"/>
      <c r="F103" s="593"/>
      <c r="G103" s="593"/>
      <c r="H103" s="593"/>
      <c r="I103" s="593"/>
      <c r="J103" s="594"/>
      <c r="K103" s="594"/>
      <c r="L103" s="595"/>
      <c r="M103" s="596"/>
      <c r="N103" s="1155"/>
      <c r="O103" s="1155"/>
      <c r="P103" s="2633"/>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3"/>
      <c r="Q104" s="557"/>
    </row>
    <row r="105" spans="1:17" ht="15" thickTop="1">
      <c r="A105" s="597"/>
      <c r="B105" s="536" t="s">
        <v>2615</v>
      </c>
      <c r="C105" s="552"/>
      <c r="D105" s="552"/>
      <c r="E105" s="581"/>
      <c r="F105" s="581"/>
      <c r="G105" s="581"/>
      <c r="H105" s="581"/>
      <c r="I105" s="581"/>
      <c r="J105" s="581"/>
      <c r="K105" s="582"/>
      <c r="L105" s="583"/>
      <c r="M105" s="584"/>
      <c r="N105" s="1153"/>
      <c r="O105" s="1153"/>
      <c r="P105" s="2632"/>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2"/>
      <c r="Q106" s="502"/>
    </row>
    <row r="107" spans="1:17" ht="15" thickTop="1">
      <c r="A107" s="597"/>
      <c r="B107" s="536" t="s">
        <v>2617</v>
      </c>
      <c r="C107" s="552"/>
      <c r="D107" s="552"/>
      <c r="E107" s="552"/>
      <c r="F107" s="581"/>
      <c r="G107" s="581"/>
      <c r="H107" s="581"/>
      <c r="I107" s="581"/>
      <c r="J107" s="581"/>
      <c r="K107" s="582"/>
      <c r="L107" s="583"/>
      <c r="M107" s="584"/>
      <c r="N107" s="1153"/>
      <c r="O107" s="1153"/>
      <c r="P107" s="2632"/>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2"/>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2"/>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2"/>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2"/>
      <c r="Q111" s="502"/>
    </row>
    <row r="112" spans="1:17" s="469" customFormat="1" ht="15" thickTop="1">
      <c r="A112" s="591"/>
      <c r="B112" s="536" t="s">
        <v>2619</v>
      </c>
      <c r="C112" s="552"/>
      <c r="D112" s="552"/>
      <c r="E112" s="552"/>
      <c r="F112" s="552"/>
      <c r="G112" s="552"/>
      <c r="H112" s="581"/>
      <c r="I112" s="581"/>
      <c r="J112" s="581"/>
      <c r="K112" s="582"/>
      <c r="L112" s="583"/>
      <c r="M112" s="584"/>
      <c r="N112" s="1155"/>
      <c r="O112" s="1155"/>
      <c r="P112" s="2633"/>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3"/>
      <c r="Q113" s="557"/>
    </row>
    <row r="114" spans="1:17" ht="15" thickTop="1">
      <c r="A114" s="597"/>
      <c r="B114" s="536" t="s">
        <v>2683</v>
      </c>
      <c r="C114" s="552"/>
      <c r="D114" s="552"/>
      <c r="E114" s="581"/>
      <c r="F114" s="581"/>
      <c r="G114" s="581"/>
      <c r="H114" s="581"/>
      <c r="I114" s="581"/>
      <c r="J114" s="581"/>
      <c r="K114" s="582"/>
      <c r="L114" s="583"/>
      <c r="M114" s="584"/>
      <c r="N114" s="1153"/>
      <c r="O114" s="1153"/>
      <c r="P114" s="2632"/>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2"/>
      <c r="Q115" s="502"/>
    </row>
    <row r="116" spans="1:17" ht="15" thickTop="1">
      <c r="A116" s="597"/>
      <c r="B116" s="536" t="s">
        <v>2684</v>
      </c>
      <c r="C116" s="552"/>
      <c r="D116" s="552"/>
      <c r="E116" s="552"/>
      <c r="F116" s="552"/>
      <c r="G116" s="552"/>
      <c r="H116" s="581"/>
      <c r="I116" s="581"/>
      <c r="J116" s="581"/>
      <c r="K116" s="582"/>
      <c r="L116" s="583"/>
      <c r="M116" s="584"/>
      <c r="N116" s="1153"/>
      <c r="O116" s="1153"/>
      <c r="P116" s="263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2"/>
      <c r="Q117" s="502"/>
    </row>
    <row r="118" spans="1:17" ht="15" thickTop="1">
      <c r="A118" s="597"/>
      <c r="B118" s="536" t="s">
        <v>2685</v>
      </c>
      <c r="C118" s="625"/>
      <c r="D118" s="625"/>
      <c r="E118" s="625"/>
      <c r="F118" s="625"/>
      <c r="G118" s="625"/>
      <c r="H118" s="553"/>
      <c r="I118" s="553"/>
      <c r="J118" s="553"/>
      <c r="K118" s="553"/>
      <c r="L118" s="554"/>
      <c r="M118" s="555"/>
      <c r="N118" s="1153"/>
      <c r="O118" s="1153"/>
      <c r="P118" s="2632"/>
      <c r="Q118" s="502"/>
    </row>
    <row r="119" spans="1:17" ht="15.75" thickBot="1">
      <c r="A119" s="532"/>
      <c r="B119" s="541"/>
      <c r="C119" s="558"/>
      <c r="D119" s="534"/>
      <c r="E119" s="534"/>
      <c r="F119" s="534"/>
      <c r="G119" s="534"/>
      <c r="H119" s="534"/>
      <c r="I119" s="534"/>
      <c r="J119" s="534"/>
      <c r="K119" s="534"/>
      <c r="L119" s="534"/>
      <c r="M119" s="535"/>
      <c r="N119" s="1154"/>
      <c r="O119" s="1154"/>
      <c r="P119" s="2632"/>
      <c r="Q119" s="502"/>
    </row>
    <row r="120" spans="1:17" s="469" customFormat="1" ht="15" thickTop="1">
      <c r="A120" s="591"/>
      <c r="B120" s="536" t="s">
        <v>2686</v>
      </c>
      <c r="C120" s="581"/>
      <c r="D120" s="581"/>
      <c r="E120" s="581"/>
      <c r="F120" s="581"/>
      <c r="G120" s="553"/>
      <c r="H120" s="553"/>
      <c r="I120" s="553"/>
      <c r="J120" s="553"/>
      <c r="K120" s="553"/>
      <c r="L120" s="554"/>
      <c r="M120" s="555"/>
      <c r="N120" s="1155"/>
      <c r="O120" s="1155"/>
      <c r="P120" s="2633"/>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3"/>
      <c r="Q121" s="557"/>
    </row>
    <row r="122" spans="1:17" ht="15" thickTop="1">
      <c r="A122" s="597"/>
      <c r="B122" s="536" t="s">
        <v>2621</v>
      </c>
      <c r="C122" s="552"/>
      <c r="D122" s="552"/>
      <c r="E122" s="552"/>
      <c r="F122" s="581"/>
      <c r="G122" s="581"/>
      <c r="H122" s="581"/>
      <c r="I122" s="581"/>
      <c r="J122" s="581"/>
      <c r="K122" s="582"/>
      <c r="L122" s="583"/>
      <c r="M122" s="584"/>
      <c r="N122" s="1153"/>
      <c r="O122" s="1153"/>
      <c r="P122" s="2632"/>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2"/>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3"/>
      <c r="O124" s="1153"/>
      <c r="P124" s="263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2"/>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3"/>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3"/>
      <c r="Q127" s="557"/>
    </row>
    <row r="128" spans="1:17" ht="15" thickTop="1">
      <c r="A128" s="597"/>
      <c r="B128" s="536">
        <f>B45</f>
        <v>111</v>
      </c>
      <c r="C128" s="552"/>
      <c r="D128" s="552"/>
      <c r="E128" s="552"/>
      <c r="F128" s="552"/>
      <c r="G128" s="581"/>
      <c r="H128" s="581"/>
      <c r="I128" s="581"/>
      <c r="J128" s="581"/>
      <c r="K128" s="582"/>
      <c r="L128" s="583"/>
      <c r="M128" s="584"/>
      <c r="N128" s="1153"/>
      <c r="O128" s="1153"/>
      <c r="P128" s="2632"/>
      <c r="Q128" s="502"/>
    </row>
    <row r="129" spans="1:17" ht="15.75" thickBot="1">
      <c r="A129" s="532"/>
      <c r="B129" s="541"/>
      <c r="C129" s="558"/>
      <c r="D129" s="534"/>
      <c r="E129" s="534"/>
      <c r="F129" s="534"/>
      <c r="G129" s="534"/>
      <c r="H129" s="534"/>
      <c r="I129" s="534"/>
      <c r="J129" s="534"/>
      <c r="K129" s="534"/>
      <c r="L129" s="534"/>
      <c r="M129" s="535"/>
      <c r="N129" s="1154"/>
      <c r="O129" s="1154"/>
      <c r="P129" s="2632"/>
      <c r="Q129" s="502"/>
    </row>
    <row r="130" spans="1:17" ht="15" thickTop="1">
      <c r="A130" s="597"/>
      <c r="B130" s="544">
        <f>B46</f>
        <v>111</v>
      </c>
      <c r="C130" s="552"/>
      <c r="D130" s="552"/>
      <c r="E130" s="552"/>
      <c r="F130" s="552"/>
      <c r="G130" s="585"/>
      <c r="H130" s="585"/>
      <c r="I130" s="585"/>
      <c r="J130" s="585"/>
      <c r="K130" s="521"/>
      <c r="L130" s="522"/>
      <c r="M130" s="588"/>
      <c r="N130" s="1153"/>
      <c r="O130" s="1153"/>
      <c r="P130" s="2632"/>
      <c r="Q130" s="502"/>
    </row>
    <row r="131" spans="1:17" ht="15.75" thickBot="1">
      <c r="A131" s="2638"/>
      <c r="B131" s="567"/>
      <c r="C131" s="568"/>
      <c r="D131" s="568"/>
      <c r="E131" s="568"/>
      <c r="F131" s="568"/>
      <c r="G131" s="589"/>
      <c r="H131" s="589"/>
      <c r="I131" s="589"/>
      <c r="J131" s="589"/>
      <c r="K131" s="589"/>
      <c r="L131" s="589"/>
      <c r="M131" s="590"/>
      <c r="N131" s="1154"/>
      <c r="O131" s="1154"/>
      <c r="P131" s="2632"/>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2687</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8"/>
      <c r="D2" s="1366"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7" t="e">
        <f ca="1">IF(C2="——",C50,ROUND(B2*10000/D3,0))</f>
        <v>#DIV/0!</v>
      </c>
      <c r="C3" s="400" t="s">
        <v>2645</v>
      </c>
      <c r="D3" s="399">
        <f>IF(D1="",'数据-汇总表'!E3,SUMIF('数据-汇总表'!$C19:$C33,D1,'数据-汇总表'!$E19:$E33))</f>
        <v>1</v>
      </c>
      <c r="E3" s="2665"/>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276" t="s">
        <v>2647</v>
      </c>
      <c r="D4" s="3277"/>
      <c r="E4" s="3278" t="s">
        <v>2648</v>
      </c>
      <c r="F4" s="3279"/>
      <c r="G4" s="3276" t="s">
        <v>2649</v>
      </c>
      <c r="H4" s="3277"/>
      <c r="I4" s="3276" t="s">
        <v>2650</v>
      </c>
      <c r="J4" s="3277"/>
      <c r="K4" s="608" t="s">
        <v>2651</v>
      </c>
      <c r="L4" s="1131"/>
      <c r="M4" s="1132"/>
      <c r="N4" s="1132"/>
      <c r="O4" s="1132"/>
      <c r="P4" s="3309" t="s">
        <v>2652</v>
      </c>
      <c r="Q4" s="3310"/>
      <c r="R4" s="3304" t="s">
        <v>2648</v>
      </c>
      <c r="S4" s="3305"/>
      <c r="T4" s="3304" t="s">
        <v>2649</v>
      </c>
      <c r="U4" s="3305"/>
      <c r="V4" s="3313" t="s">
        <v>2650</v>
      </c>
      <c r="W4" s="3313"/>
      <c r="X4" s="2672"/>
      <c r="Y4" s="3304" t="s">
        <v>2652</v>
      </c>
      <c r="Z4" s="3305"/>
      <c r="AA4" s="3303" t="s">
        <v>2648</v>
      </c>
      <c r="AB4" s="3303" t="s">
        <v>2649</v>
      </c>
      <c r="AC4" s="3306" t="s">
        <v>2650</v>
      </c>
    </row>
    <row r="5" spans="1:29" ht="15">
      <c r="A5" s="404"/>
      <c r="B5" s="405"/>
      <c r="C5" s="3269" t="s">
        <v>2543</v>
      </c>
      <c r="D5" s="3270"/>
      <c r="E5" s="3267" t="s">
        <v>2544</v>
      </c>
      <c r="F5" s="3268"/>
      <c r="G5" s="3269" t="s">
        <v>2545</v>
      </c>
      <c r="H5" s="3270"/>
      <c r="I5" s="3269" t="s">
        <v>2546</v>
      </c>
      <c r="J5" s="3270"/>
      <c r="K5" s="608"/>
      <c r="L5" s="1131"/>
      <c r="M5" s="1132"/>
      <c r="N5" s="1132"/>
      <c r="O5" s="1132"/>
      <c r="P5" s="3311"/>
      <c r="Q5" s="3283"/>
      <c r="R5" s="3265"/>
      <c r="S5" s="3266"/>
      <c r="T5" s="3265"/>
      <c r="U5" s="3266"/>
      <c r="V5" s="3260"/>
      <c r="W5" s="3260"/>
      <c r="X5" s="1813"/>
      <c r="Y5" s="3265"/>
      <c r="Z5" s="3266"/>
      <c r="AA5" s="3258"/>
      <c r="AB5" s="3258"/>
      <c r="AC5" s="3307"/>
    </row>
    <row r="6" spans="1:29" ht="15.75" thickBot="1">
      <c r="A6" s="406"/>
      <c r="B6" s="407"/>
      <c r="C6" s="3271" t="s">
        <v>2547</v>
      </c>
      <c r="D6" s="3272"/>
      <c r="E6" s="3273" t="s">
        <v>2547</v>
      </c>
      <c r="F6" s="3274"/>
      <c r="G6" s="3271" t="s">
        <v>2547</v>
      </c>
      <c r="H6" s="3272"/>
      <c r="I6" s="3271" t="s">
        <v>2547</v>
      </c>
      <c r="J6" s="3272"/>
      <c r="K6" s="608" t="s">
        <v>2548</v>
      </c>
      <c r="L6" s="1131"/>
      <c r="M6" s="1132"/>
      <c r="N6" s="1132"/>
      <c r="O6" s="1132"/>
      <c r="P6" s="3312"/>
      <c r="Q6" s="3285"/>
      <c r="R6" s="3265"/>
      <c r="S6" s="3266"/>
      <c r="T6" s="3286"/>
      <c r="U6" s="3287"/>
      <c r="V6" s="3260"/>
      <c r="W6" s="3260"/>
      <c r="X6" s="1813"/>
      <c r="Y6" s="3286"/>
      <c r="Z6" s="3287"/>
      <c r="AA6" s="3259"/>
      <c r="AB6" s="3259"/>
      <c r="AC6" s="3308"/>
    </row>
    <row r="7" spans="1:29" s="117" customFormat="1" ht="15.75" thickBot="1">
      <c r="A7" s="408" t="s">
        <v>2549</v>
      </c>
      <c r="B7" s="409"/>
      <c r="C7" s="410">
        <f>'数据-取费表'!B2</f>
        <v>43397</v>
      </c>
      <c r="D7" s="411">
        <v>100</v>
      </c>
      <c r="E7" s="412"/>
      <c r="F7" s="413">
        <f>SUMIF(59:59,YEAR(E7)&amp;"-"&amp;MONTH(E7),60:60)</f>
        <v>0</v>
      </c>
      <c r="G7" s="412"/>
      <c r="H7" s="411">
        <f>SUMIF(59:59,YEAR(G7)&amp;"-"&amp;MONTH(G7),60:60)</f>
        <v>0</v>
      </c>
      <c r="I7" s="412"/>
      <c r="J7" s="411">
        <f>SUMIF(59:59,YEAR(I7)&amp;"-"&amp;MONTH(I7),60:60)</f>
        <v>0</v>
      </c>
      <c r="K7" s="609"/>
      <c r="L7" s="1133"/>
      <c r="M7" s="1134"/>
      <c r="N7" s="1134"/>
      <c r="O7" s="1134"/>
      <c r="P7" s="3314" t="s">
        <v>2550</v>
      </c>
      <c r="Q7" s="3288"/>
      <c r="R7" s="768" t="s">
        <v>17</v>
      </c>
      <c r="S7" s="769">
        <f t="shared" ref="S7:S15" si="0">F7</f>
        <v>0</v>
      </c>
      <c r="T7" s="768" t="s">
        <v>17</v>
      </c>
      <c r="U7" s="769">
        <f t="shared" ref="U7:U15" si="1">H7</f>
        <v>0</v>
      </c>
      <c r="V7" s="768" t="s">
        <v>17</v>
      </c>
      <c r="W7" s="769">
        <f t="shared" ref="W7:W15" si="2">J7</f>
        <v>0</v>
      </c>
      <c r="X7" s="770"/>
      <c r="Y7" s="3261" t="s">
        <v>2550</v>
      </c>
      <c r="Z7" s="3262"/>
      <c r="AA7" s="771" t="e">
        <f>D7/F7</f>
        <v>#DIV/0!</v>
      </c>
      <c r="AB7" s="771"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09"/>
      <c r="L8" s="1133"/>
      <c r="M8" s="1134"/>
      <c r="N8" s="1134"/>
      <c r="O8" s="1134"/>
      <c r="P8" s="3314" t="s">
        <v>2553</v>
      </c>
      <c r="Q8" s="3262"/>
      <c r="R8" s="768" t="s">
        <v>17</v>
      </c>
      <c r="S8" s="769">
        <f t="shared" si="0"/>
        <v>0</v>
      </c>
      <c r="T8" s="768" t="s">
        <v>17</v>
      </c>
      <c r="U8" s="769">
        <f t="shared" si="1"/>
        <v>0</v>
      </c>
      <c r="V8" s="768" t="s">
        <v>17</v>
      </c>
      <c r="W8" s="769">
        <f t="shared" si="2"/>
        <v>0</v>
      </c>
      <c r="X8" s="770"/>
      <c r="Y8" s="3261" t="s">
        <v>2553</v>
      </c>
      <c r="Z8" s="3262"/>
      <c r="AA8" s="771" t="e">
        <f t="shared" ref="AA8:AA47" si="3">D8/F8</f>
        <v>#DIV/0!</v>
      </c>
      <c r="AB8" s="771"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09"/>
      <c r="L9" s="1133"/>
      <c r="M9" s="1134"/>
      <c r="N9" s="1134"/>
      <c r="O9" s="1134"/>
      <c r="P9" s="3275" t="s">
        <v>2556</v>
      </c>
      <c r="Q9" s="1795" t="str">
        <f t="shared" ref="Q9:Q15" si="6">B9</f>
        <v>用途</v>
      </c>
      <c r="R9" s="768" t="s">
        <v>17</v>
      </c>
      <c r="S9" s="769">
        <f t="shared" si="0"/>
        <v>100</v>
      </c>
      <c r="T9" s="768" t="s">
        <v>17</v>
      </c>
      <c r="U9" s="769">
        <f t="shared" si="1"/>
        <v>100</v>
      </c>
      <c r="V9" s="768" t="s">
        <v>17</v>
      </c>
      <c r="W9" s="769">
        <f t="shared" si="2"/>
        <v>100</v>
      </c>
      <c r="X9" s="770"/>
      <c r="Y9" s="3107" t="s">
        <v>2557</v>
      </c>
      <c r="Z9" s="55" t="str">
        <f t="shared" ref="Z9:Z15" si="7">Q9</f>
        <v>用途</v>
      </c>
      <c r="AA9" s="771">
        <f t="shared" si="3"/>
        <v>1</v>
      </c>
      <c r="AB9" s="771">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0"/>
      <c r="L10" s="1136"/>
      <c r="M10" s="1137"/>
      <c r="N10" s="1137"/>
      <c r="O10" s="1137"/>
      <c r="P10" s="3275"/>
      <c r="Q10" s="1795" t="str">
        <f t="shared" si="6"/>
        <v>土地使用年限（年）</v>
      </c>
      <c r="R10" s="768" t="s">
        <v>17</v>
      </c>
      <c r="S10" s="769">
        <f t="shared" si="0"/>
        <v>100</v>
      </c>
      <c r="T10" s="768" t="s">
        <v>17</v>
      </c>
      <c r="U10" s="769">
        <f t="shared" si="1"/>
        <v>100</v>
      </c>
      <c r="V10" s="768" t="s">
        <v>17</v>
      </c>
      <c r="W10" s="769">
        <f t="shared" si="2"/>
        <v>100</v>
      </c>
      <c r="X10" s="770"/>
      <c r="Y10" s="3107"/>
      <c r="Z10" s="55" t="str">
        <f t="shared" si="7"/>
        <v>土地使用年限（年）</v>
      </c>
      <c r="AA10" s="771">
        <f t="shared" si="3"/>
        <v>1</v>
      </c>
      <c r="AB10" s="771">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0"/>
      <c r="L11" s="1139"/>
      <c r="M11" s="1132"/>
      <c r="N11" s="1132"/>
      <c r="O11" s="1132"/>
      <c r="P11" s="3275"/>
      <c r="Q11" s="1795" t="str">
        <f t="shared" si="6"/>
        <v>容积率</v>
      </c>
      <c r="R11" s="768" t="s">
        <v>17</v>
      </c>
      <c r="S11" s="769" t="e">
        <f t="shared" si="0"/>
        <v>#N/A</v>
      </c>
      <c r="T11" s="768" t="s">
        <v>17</v>
      </c>
      <c r="U11" s="769" t="e">
        <f t="shared" si="1"/>
        <v>#N/A</v>
      </c>
      <c r="V11" s="768" t="s">
        <v>17</v>
      </c>
      <c r="W11" s="769" t="e">
        <f t="shared" si="2"/>
        <v>#N/A</v>
      </c>
      <c r="X11" s="770"/>
      <c r="Y11" s="3107"/>
      <c r="Z11" s="55" t="str">
        <f t="shared" si="7"/>
        <v>容积率</v>
      </c>
      <c r="AA11" s="771" t="e">
        <f t="shared" si="3"/>
        <v>#N/A</v>
      </c>
      <c r="AB11" s="771"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1"/>
      <c r="L12" s="1133"/>
      <c r="M12" s="1134"/>
      <c r="N12" s="1134"/>
      <c r="O12" s="1134"/>
      <c r="P12" s="3275"/>
      <c r="Q12" s="1795">
        <f t="shared" si="6"/>
        <v>111</v>
      </c>
      <c r="R12" s="768" t="s">
        <v>17</v>
      </c>
      <c r="S12" s="769">
        <f t="shared" si="0"/>
        <v>100</v>
      </c>
      <c r="T12" s="768" t="s">
        <v>17</v>
      </c>
      <c r="U12" s="769">
        <f t="shared" si="1"/>
        <v>100</v>
      </c>
      <c r="V12" s="768" t="s">
        <v>17</v>
      </c>
      <c r="W12" s="769">
        <f t="shared" si="2"/>
        <v>100</v>
      </c>
      <c r="X12" s="770"/>
      <c r="Y12" s="3107"/>
      <c r="Z12" s="55">
        <f t="shared" si="7"/>
        <v>111</v>
      </c>
      <c r="AA12" s="771">
        <f>D12/F12</f>
        <v>1</v>
      </c>
      <c r="AB12" s="771">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1"/>
      <c r="L13" s="1141"/>
      <c r="M13" s="1132"/>
      <c r="N13" s="1132"/>
      <c r="O13" s="1132"/>
      <c r="P13" s="3275"/>
      <c r="Q13" s="1795">
        <f t="shared" si="6"/>
        <v>111</v>
      </c>
      <c r="R13" s="768" t="s">
        <v>17</v>
      </c>
      <c r="S13" s="769">
        <f t="shared" si="0"/>
        <v>100</v>
      </c>
      <c r="T13" s="768" t="s">
        <v>17</v>
      </c>
      <c r="U13" s="769">
        <f t="shared" si="1"/>
        <v>100</v>
      </c>
      <c r="V13" s="768" t="s">
        <v>17</v>
      </c>
      <c r="W13" s="769">
        <f t="shared" si="2"/>
        <v>100</v>
      </c>
      <c r="X13" s="770"/>
      <c r="Y13" s="3107"/>
      <c r="Z13" s="55">
        <f t="shared" si="7"/>
        <v>111</v>
      </c>
      <c r="AA13" s="771">
        <f t="shared" si="3"/>
        <v>1</v>
      </c>
      <c r="AB13" s="771">
        <f t="shared" si="4"/>
        <v>1</v>
      </c>
      <c r="AC13" s="2673">
        <f t="shared" si="5"/>
        <v>1</v>
      </c>
    </row>
    <row r="14" spans="1:29" ht="15.75" thickBot="1">
      <c r="A14" s="436"/>
      <c r="B14" s="2604">
        <v>111</v>
      </c>
      <c r="C14" s="437"/>
      <c r="D14" s="438">
        <v>100</v>
      </c>
      <c r="E14" s="626"/>
      <c r="F14" s="438">
        <f>SUMIF(75:75,E14,76:76)-SUMIF(75:75,C14,76:76)+100</f>
        <v>100</v>
      </c>
      <c r="G14" s="2674"/>
      <c r="H14" s="438">
        <f>SUMIF(75:75,G14,76:76)-SUMIF(75:75,C14,76:76)+100</f>
        <v>100</v>
      </c>
      <c r="I14" s="432"/>
      <c r="J14" s="438">
        <f>SUMIF(75:75,I14,76:76)-SUMIF(75:75,C14,76:76)+100</f>
        <v>100</v>
      </c>
      <c r="K14" s="611"/>
      <c r="L14" s="1141"/>
      <c r="M14" s="1132"/>
      <c r="N14" s="1132"/>
      <c r="O14" s="1132"/>
      <c r="P14" s="3275"/>
      <c r="Q14" s="1795">
        <f t="shared" si="6"/>
        <v>111</v>
      </c>
      <c r="R14" s="768" t="s">
        <v>17</v>
      </c>
      <c r="S14" s="769">
        <f t="shared" si="0"/>
        <v>100</v>
      </c>
      <c r="T14" s="768" t="s">
        <v>17</v>
      </c>
      <c r="U14" s="769">
        <f t="shared" si="1"/>
        <v>100</v>
      </c>
      <c r="V14" s="768" t="s">
        <v>17</v>
      </c>
      <c r="W14" s="769">
        <f t="shared" si="2"/>
        <v>100</v>
      </c>
      <c r="X14" s="770"/>
      <c r="Y14" s="3107"/>
      <c r="Z14" s="55">
        <f t="shared" si="7"/>
        <v>111</v>
      </c>
      <c r="AA14" s="771">
        <f t="shared" si="3"/>
        <v>1</v>
      </c>
      <c r="AB14" s="771">
        <f t="shared" si="4"/>
        <v>1</v>
      </c>
      <c r="AC14" s="2673">
        <f t="shared" si="5"/>
        <v>1</v>
      </c>
    </row>
    <row r="15" spans="1:29" ht="15">
      <c r="A15" s="440" t="s">
        <v>2560</v>
      </c>
      <c r="B15" s="627"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2"/>
      <c r="L15" s="1141"/>
      <c r="M15" s="1132"/>
      <c r="N15" s="1132"/>
      <c r="O15" s="1132"/>
      <c r="P15" s="3289" t="s">
        <v>2561</v>
      </c>
      <c r="Q15" s="1810" t="str">
        <f t="shared" si="6"/>
        <v>办公集聚程度</v>
      </c>
      <c r="R15" s="772" t="s">
        <v>17</v>
      </c>
      <c r="S15" s="773">
        <f t="shared" si="0"/>
        <v>100</v>
      </c>
      <c r="T15" s="772" t="s">
        <v>17</v>
      </c>
      <c r="U15" s="773">
        <f t="shared" si="1"/>
        <v>100</v>
      </c>
      <c r="V15" s="772" t="s">
        <v>17</v>
      </c>
      <c r="W15" s="773">
        <f t="shared" si="2"/>
        <v>100</v>
      </c>
      <c r="X15" s="1813"/>
      <c r="Y15" s="3291" t="s">
        <v>2561</v>
      </c>
      <c r="Z15" s="1814" t="str">
        <f t="shared" si="7"/>
        <v>办公集聚程度</v>
      </c>
      <c r="AA15" s="1811">
        <f t="shared" si="3"/>
        <v>1</v>
      </c>
      <c r="AB15" s="1811">
        <f t="shared" si="4"/>
        <v>1</v>
      </c>
      <c r="AC15" s="2676">
        <f t="shared" si="5"/>
        <v>1</v>
      </c>
    </row>
    <row r="16" spans="1:29" ht="15">
      <c r="A16" s="428"/>
      <c r="B16" s="628"/>
      <c r="C16" s="2613"/>
      <c r="D16" s="448"/>
      <c r="E16" s="447"/>
      <c r="F16" s="448"/>
      <c r="G16" s="2613"/>
      <c r="H16" s="450"/>
      <c r="I16" s="447"/>
      <c r="J16" s="448"/>
      <c r="K16" s="613"/>
      <c r="L16" s="1141"/>
      <c r="M16" s="1132"/>
      <c r="N16" s="1132"/>
      <c r="O16" s="1132"/>
      <c r="P16" s="3290"/>
      <c r="Q16" s="1810"/>
      <c r="R16" s="772"/>
      <c r="S16" s="773"/>
      <c r="T16" s="772"/>
      <c r="U16" s="773"/>
      <c r="V16" s="772"/>
      <c r="W16" s="773"/>
      <c r="X16" s="1813"/>
      <c r="Y16" s="3292"/>
      <c r="Z16" s="1814"/>
      <c r="AA16" s="1811">
        <v>1</v>
      </c>
      <c r="AB16" s="1811">
        <v>1</v>
      </c>
      <c r="AC16" s="2676">
        <v>1</v>
      </c>
    </row>
    <row r="17" spans="1:29" ht="142.5">
      <c r="A17" s="428"/>
      <c r="B17" s="629" t="s">
        <v>2098</v>
      </c>
      <c r="C17" s="2677" t="str">
        <f>估价对象房地状况!C6</f>
        <v>估价对象紧邻城市支路-门头沟路、附近有公交车站西辛房站，停靠线路有370、960、992、M25等，附近5公里范围内无轨道交通站点，综合评价交通便捷度较好。</v>
      </c>
      <c r="D17" s="450">
        <v>100</v>
      </c>
      <c r="E17" s="454"/>
      <c r="F17" s="450">
        <f>SUMIF(79:79,E18,80:80)-SUMIF(79:79,C18,80:80)+100</f>
        <v>100</v>
      </c>
      <c r="G17" s="452"/>
      <c r="H17" s="455">
        <f>SUMIF(79:79,G18,80:80)-SUMIF(79:79,C18,80:80)+100</f>
        <v>100</v>
      </c>
      <c r="I17" s="452"/>
      <c r="J17" s="455">
        <f>SUMIF(79:79,I18,80:80)-SUMIF(79:79,C18,80:80)+100</f>
        <v>100</v>
      </c>
      <c r="K17" s="612"/>
      <c r="L17" s="1141"/>
      <c r="M17" s="1132"/>
      <c r="N17" s="1132"/>
      <c r="O17" s="1132"/>
      <c r="P17" s="3290"/>
      <c r="Q17" s="1810" t="str">
        <f>B17</f>
        <v>交通便捷度</v>
      </c>
      <c r="R17" s="772" t="s">
        <v>17</v>
      </c>
      <c r="S17" s="773">
        <f>F17</f>
        <v>100</v>
      </c>
      <c r="T17" s="772" t="s">
        <v>17</v>
      </c>
      <c r="U17" s="773">
        <f>H17</f>
        <v>100</v>
      </c>
      <c r="V17" s="772" t="s">
        <v>17</v>
      </c>
      <c r="W17" s="773">
        <f>J17</f>
        <v>100</v>
      </c>
      <c r="X17" s="1813"/>
      <c r="Y17" s="3292"/>
      <c r="Z17" s="1814" t="str">
        <f>Q17</f>
        <v>交通便捷度</v>
      </c>
      <c r="AA17" s="1811">
        <f t="shared" si="3"/>
        <v>1</v>
      </c>
      <c r="AB17" s="1811">
        <f t="shared" si="4"/>
        <v>1</v>
      </c>
      <c r="AC17" s="2676">
        <f t="shared" si="5"/>
        <v>1</v>
      </c>
    </row>
    <row r="18" spans="1:29" ht="15">
      <c r="A18" s="428"/>
      <c r="B18" s="630"/>
      <c r="C18" s="2678"/>
      <c r="D18" s="450"/>
      <c r="E18" s="2611"/>
      <c r="F18" s="450"/>
      <c r="G18" s="2612"/>
      <c r="H18" s="448"/>
      <c r="I18" s="2612"/>
      <c r="J18" s="448"/>
      <c r="K18" s="613"/>
      <c r="L18" s="1141"/>
      <c r="M18" s="1132"/>
      <c r="N18" s="1132"/>
      <c r="O18" s="1132"/>
      <c r="P18" s="3290"/>
      <c r="Q18" s="1810"/>
      <c r="R18" s="772"/>
      <c r="S18" s="773"/>
      <c r="T18" s="772"/>
      <c r="U18" s="773"/>
      <c r="V18" s="772"/>
      <c r="W18" s="773"/>
      <c r="X18" s="1813"/>
      <c r="Y18" s="3292"/>
      <c r="Z18" s="1814"/>
      <c r="AA18" s="1811">
        <v>1</v>
      </c>
      <c r="AB18" s="1811">
        <v>1</v>
      </c>
      <c r="AC18" s="2676">
        <v>1</v>
      </c>
    </row>
    <row r="19" spans="1:29" ht="114">
      <c r="A19" s="428"/>
      <c r="B19" s="629" t="s">
        <v>2689</v>
      </c>
      <c r="C19" s="2677" t="str">
        <f>估价对象房地状况!C7</f>
        <v>估价对象所在区域有东辛房小学、龙泉医院、京煤公司总医院门矿医院东辛房卫生服务站、邮政储蓄银行、农商银行等，公共配套设施状况较好</v>
      </c>
      <c r="D19" s="455">
        <v>100</v>
      </c>
      <c r="E19" s="459"/>
      <c r="F19" s="455">
        <f>SUMIF(81:81,E20,82:82)-SUMIF(81:81,C20,82:82)+100</f>
        <v>100</v>
      </c>
      <c r="G19" s="457"/>
      <c r="H19" s="450">
        <f>SUMIF(81:81,G20,82:82)-SUMIF(81:81,C20,82:82)+100</f>
        <v>100</v>
      </c>
      <c r="I19" s="457"/>
      <c r="J19" s="450">
        <f>SUMIF(81:81,I20,82:82)-SUMIF(81:81,C20,82:82)+100</f>
        <v>100</v>
      </c>
      <c r="K19" s="612"/>
      <c r="L19" s="1141"/>
      <c r="M19" s="1132"/>
      <c r="N19" s="1132"/>
      <c r="O19" s="1132"/>
      <c r="P19" s="3290"/>
      <c r="Q19" s="1810" t="str">
        <f>B19</f>
        <v>公共配套设施</v>
      </c>
      <c r="R19" s="772" t="s">
        <v>17</v>
      </c>
      <c r="S19" s="773">
        <f>F19</f>
        <v>100</v>
      </c>
      <c r="T19" s="772" t="s">
        <v>17</v>
      </c>
      <c r="U19" s="773">
        <f>H19</f>
        <v>100</v>
      </c>
      <c r="V19" s="772" t="s">
        <v>17</v>
      </c>
      <c r="W19" s="773">
        <f>J19</f>
        <v>100</v>
      </c>
      <c r="X19" s="1813"/>
      <c r="Y19" s="3292"/>
      <c r="Z19" s="1814" t="str">
        <f>Q19</f>
        <v>公共配套设施</v>
      </c>
      <c r="AA19" s="1811">
        <f t="shared" si="3"/>
        <v>1</v>
      </c>
      <c r="AB19" s="1811">
        <f t="shared" si="4"/>
        <v>1</v>
      </c>
      <c r="AC19" s="2676">
        <f t="shared" si="5"/>
        <v>1</v>
      </c>
    </row>
    <row r="20" spans="1:29" ht="15">
      <c r="A20" s="428"/>
      <c r="B20" s="630"/>
      <c r="C20" s="2613"/>
      <c r="D20" s="448"/>
      <c r="E20" s="2606"/>
      <c r="F20" s="448"/>
      <c r="G20" s="2607"/>
      <c r="H20" s="448"/>
      <c r="I20" s="2607"/>
      <c r="J20" s="448"/>
      <c r="K20" s="613"/>
      <c r="L20" s="1141"/>
      <c r="M20" s="1132"/>
      <c r="N20" s="1132"/>
      <c r="O20" s="1132"/>
      <c r="P20" s="3290"/>
      <c r="Q20" s="1810"/>
      <c r="R20" s="772"/>
      <c r="S20" s="773"/>
      <c r="T20" s="772"/>
      <c r="U20" s="773"/>
      <c r="V20" s="772"/>
      <c r="W20" s="773"/>
      <c r="X20" s="1813"/>
      <c r="Y20" s="3292"/>
      <c r="Z20" s="1814"/>
      <c r="AA20" s="1811">
        <v>1</v>
      </c>
      <c r="AB20" s="1811">
        <v>1</v>
      </c>
      <c r="AC20" s="2676">
        <v>1</v>
      </c>
    </row>
    <row r="21" spans="1:29" ht="42.75">
      <c r="A21" s="428"/>
      <c r="B21" s="631" t="s">
        <v>2690</v>
      </c>
      <c r="C21" s="2677" t="str">
        <f>估价对象房地状况!C8</f>
        <v>估价对象所在区域基础设施水平为七通一平</v>
      </c>
      <c r="D21" s="450">
        <v>100</v>
      </c>
      <c r="E21" s="459"/>
      <c r="F21" s="455">
        <f>SUMIF(83:83,E22,84:84)-SUMIF(83:83,C22,84:84)+100</f>
        <v>100</v>
      </c>
      <c r="G21" s="457"/>
      <c r="H21" s="450">
        <f>SUMIF(83:83,G22,84:84)-SUMIF(83:83,C22,84:84)+100</f>
        <v>100</v>
      </c>
      <c r="I21" s="457"/>
      <c r="J21" s="450">
        <f>SUMIF(83:83,I22,84:84)-SUMIF(83:83,C22,84:84)+100</f>
        <v>100</v>
      </c>
      <c r="K21" s="612"/>
      <c r="L21" s="1141"/>
      <c r="M21" s="1132"/>
      <c r="N21" s="1132"/>
      <c r="O21" s="1132"/>
      <c r="P21" s="3290"/>
      <c r="Q21" s="1810" t="str">
        <f>B21</f>
        <v>基础设施水平</v>
      </c>
      <c r="R21" s="772" t="s">
        <v>17</v>
      </c>
      <c r="S21" s="773">
        <f>F21</f>
        <v>100</v>
      </c>
      <c r="T21" s="772" t="s">
        <v>17</v>
      </c>
      <c r="U21" s="773">
        <f>H21</f>
        <v>100</v>
      </c>
      <c r="V21" s="772" t="s">
        <v>17</v>
      </c>
      <c r="W21" s="773">
        <f>J21</f>
        <v>100</v>
      </c>
      <c r="X21" s="1813"/>
      <c r="Y21" s="3292"/>
      <c r="Z21" s="1814" t="str">
        <f>Q21</f>
        <v>基础设施水平</v>
      </c>
      <c r="AA21" s="1811">
        <f t="shared" ref="AA21" si="8">D21/F21</f>
        <v>1</v>
      </c>
      <c r="AB21" s="1811">
        <f t="shared" ref="AB21" si="9">D21/H21</f>
        <v>1</v>
      </c>
      <c r="AC21" s="2676">
        <f t="shared" ref="AC21" si="10">D21/J21</f>
        <v>1</v>
      </c>
    </row>
    <row r="22" spans="1:29" ht="15">
      <c r="A22" s="428"/>
      <c r="B22" s="631"/>
      <c r="C22" s="2678"/>
      <c r="D22" s="448"/>
      <c r="E22" s="447"/>
      <c r="F22" s="448"/>
      <c r="G22" s="2613"/>
      <c r="H22" s="448"/>
      <c r="I22" s="2613"/>
      <c r="J22" s="448"/>
      <c r="K22" s="1384"/>
      <c r="L22" s="1141"/>
      <c r="M22" s="1132"/>
      <c r="N22" s="1132"/>
      <c r="O22" s="1132"/>
      <c r="P22" s="3290"/>
      <c r="Q22" s="1810"/>
      <c r="R22" s="772"/>
      <c r="S22" s="773"/>
      <c r="T22" s="772"/>
      <c r="U22" s="773"/>
      <c r="V22" s="772"/>
      <c r="W22" s="773"/>
      <c r="X22" s="1813"/>
      <c r="Y22" s="3292"/>
      <c r="Z22" s="1814"/>
      <c r="AA22" s="1811">
        <v>1</v>
      </c>
      <c r="AB22" s="1811">
        <v>1</v>
      </c>
      <c r="AC22" s="2676">
        <v>1</v>
      </c>
    </row>
    <row r="23" spans="1:29" ht="99.75">
      <c r="A23" s="428"/>
      <c r="B23" s="629" t="s">
        <v>2691</v>
      </c>
      <c r="C23" s="2677" t="str">
        <f>估价对象房地状况!C9</f>
        <v>估价对象临黑河沟及其绿化带；周边2公里范围内有门头沟博物馆等人文设施；综合评价环境状况较好。加油站？</v>
      </c>
      <c r="D23" s="450">
        <v>100</v>
      </c>
      <c r="E23" s="454"/>
      <c r="F23" s="450">
        <f>SUMIF(85:85,E24,86:86)-SUMIF(85:85,C24,86:86)+100</f>
        <v>100</v>
      </c>
      <c r="G23" s="452"/>
      <c r="H23" s="450">
        <f>SUMIF(85:85,G24,86:86)-SUMIF(85:85,C24,86:86)+100</f>
        <v>100</v>
      </c>
      <c r="I23" s="452"/>
      <c r="J23" s="450">
        <f>SUMIF(85:85,I24,86:86)-SUMIF(85:85,C24,86:86)+100</f>
        <v>100</v>
      </c>
      <c r="K23" s="612"/>
      <c r="L23" s="1141"/>
      <c r="M23" s="1132"/>
      <c r="N23" s="1132"/>
      <c r="O23" s="1132"/>
      <c r="P23" s="3290"/>
      <c r="Q23" s="1810" t="str">
        <f>B23</f>
        <v>环境质量</v>
      </c>
      <c r="R23" s="772" t="s">
        <v>17</v>
      </c>
      <c r="S23" s="773">
        <f>F23</f>
        <v>100</v>
      </c>
      <c r="T23" s="772" t="s">
        <v>17</v>
      </c>
      <c r="U23" s="773">
        <f>H23</f>
        <v>100</v>
      </c>
      <c r="V23" s="772" t="s">
        <v>17</v>
      </c>
      <c r="W23" s="773">
        <f>J23</f>
        <v>100</v>
      </c>
      <c r="X23" s="1813"/>
      <c r="Y23" s="3292"/>
      <c r="Z23" s="1814" t="str">
        <f>Q23</f>
        <v>环境质量</v>
      </c>
      <c r="AA23" s="1811">
        <f t="shared" si="3"/>
        <v>1</v>
      </c>
      <c r="AB23" s="1811">
        <f t="shared" si="4"/>
        <v>1</v>
      </c>
      <c r="AC23" s="2676">
        <f t="shared" si="5"/>
        <v>1</v>
      </c>
    </row>
    <row r="24" spans="1:29" ht="15">
      <c r="A24" s="428"/>
      <c r="B24" s="631"/>
      <c r="C24" s="2613"/>
      <c r="D24" s="448"/>
      <c r="E24" s="2606"/>
      <c r="F24" s="448"/>
      <c r="G24" s="2607"/>
      <c r="H24" s="448"/>
      <c r="I24" s="2607"/>
      <c r="J24" s="448"/>
      <c r="K24" s="613"/>
      <c r="L24" s="1141"/>
      <c r="M24" s="1132"/>
      <c r="N24" s="1132"/>
      <c r="O24" s="1132"/>
      <c r="P24" s="3290"/>
      <c r="Q24" s="1810"/>
      <c r="R24" s="772"/>
      <c r="S24" s="773"/>
      <c r="T24" s="772"/>
      <c r="U24" s="773"/>
      <c r="V24" s="772"/>
      <c r="W24" s="773"/>
      <c r="X24" s="1813"/>
      <c r="Y24" s="3292"/>
      <c r="Z24" s="1814"/>
      <c r="AA24" s="1811">
        <v>1</v>
      </c>
      <c r="AB24" s="1811">
        <v>1</v>
      </c>
      <c r="AC24" s="2676">
        <v>1</v>
      </c>
    </row>
    <row r="25" spans="1:29" ht="27">
      <c r="A25" s="404"/>
      <c r="B25" s="629" t="s">
        <v>2692</v>
      </c>
      <c r="C25" s="2617"/>
      <c r="D25" s="435">
        <v>100</v>
      </c>
      <c r="E25" s="434"/>
      <c r="F25" s="435">
        <f>SUMIF(87:87,E26,88:88)-SUMIF(87:87,C26,88:88)+100</f>
        <v>100</v>
      </c>
      <c r="G25" s="2617"/>
      <c r="H25" s="435">
        <f>SUMIF(87:87,G26,88:88)-SUMIF(87:87,C26,88:88)+100</f>
        <v>100</v>
      </c>
      <c r="I25" s="434"/>
      <c r="J25" s="435">
        <f>SUMIF(87:87,I26,88:88)-SUMIF(87:87,C26,88:88)+100</f>
        <v>100</v>
      </c>
      <c r="K25" s="612"/>
      <c r="L25" s="1141"/>
      <c r="M25" s="1132"/>
      <c r="N25" s="1132"/>
      <c r="O25" s="1132"/>
      <c r="P25" s="3290"/>
      <c r="Q25" s="1810" t="str">
        <f>B25</f>
        <v>毗邻道路的类型与等级</v>
      </c>
      <c r="R25" s="772" t="s">
        <v>17</v>
      </c>
      <c r="S25" s="773">
        <f>F25</f>
        <v>100</v>
      </c>
      <c r="T25" s="772" t="s">
        <v>17</v>
      </c>
      <c r="U25" s="773">
        <f>H25</f>
        <v>100</v>
      </c>
      <c r="V25" s="772" t="s">
        <v>17</v>
      </c>
      <c r="W25" s="773">
        <f>J25</f>
        <v>100</v>
      </c>
      <c r="X25" s="1813"/>
      <c r="Y25" s="3292"/>
      <c r="Z25" s="1814" t="str">
        <f>Q25</f>
        <v>毗邻道路的类型与等级</v>
      </c>
      <c r="AA25" s="1811">
        <f t="shared" si="3"/>
        <v>1</v>
      </c>
      <c r="AB25" s="1811">
        <f t="shared" si="4"/>
        <v>1</v>
      </c>
      <c r="AC25" s="2676">
        <f t="shared" si="5"/>
        <v>1</v>
      </c>
    </row>
    <row r="26" spans="1:29" ht="15">
      <c r="A26" s="404"/>
      <c r="B26" s="630"/>
      <c r="C26" s="632"/>
      <c r="D26" s="435"/>
      <c r="E26" s="614"/>
      <c r="F26" s="435"/>
      <c r="G26" s="632"/>
      <c r="H26" s="435"/>
      <c r="I26" s="614"/>
      <c r="J26" s="435"/>
      <c r="K26" s="613"/>
      <c r="L26" s="1141"/>
      <c r="M26" s="1132"/>
      <c r="N26" s="1132"/>
      <c r="O26" s="1132"/>
      <c r="P26" s="3290"/>
      <c r="Q26" s="1810"/>
      <c r="R26" s="772"/>
      <c r="S26" s="773"/>
      <c r="T26" s="772"/>
      <c r="U26" s="773"/>
      <c r="V26" s="772"/>
      <c r="W26" s="773"/>
      <c r="X26" s="1813"/>
      <c r="Y26" s="3292"/>
      <c r="Z26" s="1814"/>
      <c r="AA26" s="1811">
        <v>1</v>
      </c>
      <c r="AB26" s="1811">
        <v>1</v>
      </c>
      <c r="AC26" s="2676">
        <v>1</v>
      </c>
    </row>
    <row r="27" spans="1:29" ht="15">
      <c r="A27" s="428"/>
      <c r="B27" s="630" t="s">
        <v>2660</v>
      </c>
      <c r="C27" s="632"/>
      <c r="D27" s="435">
        <v>100</v>
      </c>
      <c r="E27" s="614"/>
      <c r="F27" s="435">
        <f>SUMIF(89:89,E27,90:90)-SUMIF(89:89,C27,90:90)+100</f>
        <v>100</v>
      </c>
      <c r="G27" s="632"/>
      <c r="H27" s="435">
        <f>SUMIF(89:89,G27,90:90)-SUMIF(89:89,C27,90:90)+100</f>
        <v>100</v>
      </c>
      <c r="I27" s="614"/>
      <c r="J27" s="435">
        <f>SUMIF(89:89,I27,90:90)-SUMIF(89:89,C27,90:90)+100</f>
        <v>100</v>
      </c>
      <c r="K27" s="610"/>
      <c r="L27" s="1141"/>
      <c r="M27" s="1132"/>
      <c r="N27" s="1132"/>
      <c r="O27" s="1132"/>
      <c r="P27" s="3290"/>
      <c r="Q27" s="1810" t="str">
        <f t="shared" ref="Q27:Q47" si="11">B27</f>
        <v>楼层</v>
      </c>
      <c r="R27" s="772" t="s">
        <v>17</v>
      </c>
      <c r="S27" s="773">
        <f>F27</f>
        <v>100</v>
      </c>
      <c r="T27" s="772" t="s">
        <v>17</v>
      </c>
      <c r="U27" s="773">
        <f>H27</f>
        <v>100</v>
      </c>
      <c r="V27" s="772" t="s">
        <v>17</v>
      </c>
      <c r="W27" s="773">
        <f>J27</f>
        <v>100</v>
      </c>
      <c r="X27" s="1813"/>
      <c r="Y27" s="3292"/>
      <c r="Z27" s="1814" t="str">
        <f>Q27</f>
        <v>楼层</v>
      </c>
      <c r="AA27" s="1811">
        <f t="shared" si="3"/>
        <v>1</v>
      </c>
      <c r="AB27" s="1811">
        <f t="shared" si="4"/>
        <v>1</v>
      </c>
      <c r="AC27" s="2676">
        <f t="shared" si="5"/>
        <v>1</v>
      </c>
    </row>
    <row r="28" spans="1:29" s="117" customFormat="1" ht="15">
      <c r="A28" s="431"/>
      <c r="B28" s="629" t="s">
        <v>2693</v>
      </c>
      <c r="C28" s="2679"/>
      <c r="D28" s="462">
        <v>100</v>
      </c>
      <c r="E28" s="2667"/>
      <c r="F28" s="462">
        <f>SUMIF(91:91,E28,92:92)-SUMIF(91:91,C28,92:92)+100</f>
        <v>100</v>
      </c>
      <c r="G28" s="2679"/>
      <c r="H28" s="462">
        <f>SUMIF(91:91,G28,92:92)-SUMIF(91:91,C28,92:92)+100</f>
        <v>100</v>
      </c>
      <c r="I28" s="2667"/>
      <c r="J28" s="462">
        <f>SUMIF(91:91,I28,92:92)-SUMIF(91:91,C28,92:92)+100</f>
        <v>100</v>
      </c>
      <c r="K28" s="610"/>
      <c r="L28" s="1133"/>
      <c r="M28" s="1134"/>
      <c r="N28" s="1134"/>
      <c r="O28" s="1134"/>
      <c r="P28" s="3290"/>
      <c r="Q28" s="1795" t="str">
        <f t="shared" si="11"/>
        <v>朝向</v>
      </c>
      <c r="R28" s="768" t="s">
        <v>17</v>
      </c>
      <c r="S28" s="769">
        <f>F28</f>
        <v>100</v>
      </c>
      <c r="T28" s="768" t="s">
        <v>17</v>
      </c>
      <c r="U28" s="769">
        <f>H28</f>
        <v>100</v>
      </c>
      <c r="V28" s="768" t="s">
        <v>17</v>
      </c>
      <c r="W28" s="769">
        <f>J28</f>
        <v>100</v>
      </c>
      <c r="X28" s="770"/>
      <c r="Y28" s="3292"/>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1"/>
      <c r="L29" s="1141"/>
      <c r="M29" s="1132"/>
      <c r="N29" s="1132"/>
      <c r="O29" s="1132"/>
      <c r="P29" s="3290"/>
      <c r="Q29" s="1810">
        <f t="shared" si="11"/>
        <v>111</v>
      </c>
      <c r="R29" s="772" t="s">
        <v>17</v>
      </c>
      <c r="S29" s="773">
        <f t="shared" ref="S29:S47" si="12">F29</f>
        <v>100</v>
      </c>
      <c r="T29" s="772" t="s">
        <v>17</v>
      </c>
      <c r="U29" s="773">
        <f t="shared" ref="U29:U47" si="13">H29</f>
        <v>100</v>
      </c>
      <c r="V29" s="772" t="s">
        <v>17</v>
      </c>
      <c r="W29" s="773">
        <f t="shared" ref="W29:W47" si="14">J29</f>
        <v>100</v>
      </c>
      <c r="X29" s="1813"/>
      <c r="Y29" s="3292"/>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1"/>
      <c r="L30" s="1141"/>
      <c r="M30" s="1132"/>
      <c r="N30" s="1132"/>
      <c r="O30" s="1132"/>
      <c r="P30" s="3290"/>
      <c r="Q30" s="1810">
        <f t="shared" si="11"/>
        <v>111</v>
      </c>
      <c r="R30" s="772" t="s">
        <v>17</v>
      </c>
      <c r="S30" s="773">
        <f t="shared" si="12"/>
        <v>100</v>
      </c>
      <c r="T30" s="772" t="s">
        <v>17</v>
      </c>
      <c r="U30" s="773">
        <f t="shared" si="13"/>
        <v>100</v>
      </c>
      <c r="V30" s="772" t="s">
        <v>17</v>
      </c>
      <c r="W30" s="773">
        <f t="shared" si="14"/>
        <v>100</v>
      </c>
      <c r="X30" s="1813"/>
      <c r="Y30" s="3292"/>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1"/>
      <c r="L31" s="1141"/>
      <c r="M31" s="1132"/>
      <c r="N31" s="1132"/>
      <c r="O31" s="1132"/>
      <c r="P31" s="3290"/>
      <c r="Q31" s="1810">
        <f t="shared" si="11"/>
        <v>111</v>
      </c>
      <c r="R31" s="772" t="s">
        <v>17</v>
      </c>
      <c r="S31" s="773">
        <f t="shared" si="12"/>
        <v>100</v>
      </c>
      <c r="T31" s="772" t="s">
        <v>17</v>
      </c>
      <c r="U31" s="773">
        <f t="shared" si="13"/>
        <v>100</v>
      </c>
      <c r="V31" s="772" t="s">
        <v>17</v>
      </c>
      <c r="W31" s="773">
        <f t="shared" si="14"/>
        <v>100</v>
      </c>
      <c r="X31" s="1813"/>
      <c r="Y31" s="3292"/>
      <c r="Z31" s="1814">
        <f t="shared" si="15"/>
        <v>111</v>
      </c>
      <c r="AA31" s="1811">
        <f t="shared" si="3"/>
        <v>1</v>
      </c>
      <c r="AB31" s="1811">
        <f t="shared" si="4"/>
        <v>1</v>
      </c>
      <c r="AC31" s="2676">
        <f t="shared" si="5"/>
        <v>1</v>
      </c>
    </row>
    <row r="32" spans="1:29" ht="15.75" thickBot="1">
      <c r="A32" s="436"/>
      <c r="B32" s="633">
        <v>111</v>
      </c>
      <c r="C32" s="2618"/>
      <c r="D32" s="438">
        <v>100</v>
      </c>
      <c r="E32" s="626"/>
      <c r="F32" s="438">
        <f>SUMIF(99:99,E32,100:100)-SUMIF(99:99,C32,100:100)+100</f>
        <v>100</v>
      </c>
      <c r="G32" s="2674"/>
      <c r="H32" s="438">
        <f>SUMIF(99:99,G32,100:100)-SUMIF(99:99,C32,100:100)+100</f>
        <v>100</v>
      </c>
      <c r="I32" s="432"/>
      <c r="J32" s="438">
        <f>SUMIF(99:99,I32,100:100)-SUMIF(99:99,C32,100:100)+100</f>
        <v>100</v>
      </c>
      <c r="K32" s="611"/>
      <c r="L32" s="1141"/>
      <c r="M32" s="1132"/>
      <c r="N32" s="1132"/>
      <c r="O32" s="1132"/>
      <c r="P32" s="3290"/>
      <c r="Q32" s="1810">
        <f t="shared" si="11"/>
        <v>111</v>
      </c>
      <c r="R32" s="772" t="s">
        <v>17</v>
      </c>
      <c r="S32" s="773">
        <f t="shared" si="12"/>
        <v>100</v>
      </c>
      <c r="T32" s="772" t="s">
        <v>17</v>
      </c>
      <c r="U32" s="773">
        <f t="shared" si="13"/>
        <v>100</v>
      </c>
      <c r="V32" s="772" t="s">
        <v>17</v>
      </c>
      <c r="W32" s="773">
        <f t="shared" si="14"/>
        <v>100</v>
      </c>
      <c r="X32" s="1813"/>
      <c r="Y32" s="3292"/>
      <c r="Z32" s="1814">
        <f t="shared" si="15"/>
        <v>111</v>
      </c>
      <c r="AA32" s="1811">
        <f t="shared" si="3"/>
        <v>1</v>
      </c>
      <c r="AB32" s="1811">
        <f t="shared" si="4"/>
        <v>1</v>
      </c>
      <c r="AC32" s="2676">
        <f t="shared" si="5"/>
        <v>1</v>
      </c>
    </row>
    <row r="33" spans="1:29" ht="15">
      <c r="A33" s="440" t="s">
        <v>2564</v>
      </c>
      <c r="B33" s="71" t="s">
        <v>2694</v>
      </c>
      <c r="C33" s="2681"/>
      <c r="D33" s="465">
        <v>100</v>
      </c>
      <c r="E33" s="2681"/>
      <c r="F33" s="461">
        <f>SUMIF(101:101,E33,102:102)-SUMIF(101:101,C33,102:102)+100</f>
        <v>100</v>
      </c>
      <c r="G33" s="2681"/>
      <c r="H33" s="435">
        <f>SUMIF(101:101,G33,102:102)-SUMIF(101:101,C33,102:102)+100</f>
        <v>100</v>
      </c>
      <c r="I33" s="2681"/>
      <c r="J33" s="465">
        <f>SUMIF(101:101,I33,102:102)-SUMIF(101:101,C33,102:102)+100</f>
        <v>100</v>
      </c>
      <c r="K33" s="610"/>
      <c r="L33" s="1141"/>
      <c r="M33" s="1132"/>
      <c r="N33" s="1132"/>
      <c r="O33" s="1132"/>
      <c r="P33" s="3293" t="s">
        <v>2566</v>
      </c>
      <c r="Q33" s="1810" t="str">
        <f t="shared" si="11"/>
        <v>建筑类型</v>
      </c>
      <c r="R33" s="772" t="s">
        <v>17</v>
      </c>
      <c r="S33" s="773">
        <f t="shared" si="12"/>
        <v>100</v>
      </c>
      <c r="T33" s="772" t="s">
        <v>17</v>
      </c>
      <c r="U33" s="773">
        <f t="shared" si="13"/>
        <v>100</v>
      </c>
      <c r="V33" s="772" t="s">
        <v>17</v>
      </c>
      <c r="W33" s="773">
        <f t="shared" si="14"/>
        <v>100</v>
      </c>
      <c r="X33" s="1813"/>
      <c r="Y33" s="3296" t="s">
        <v>2566</v>
      </c>
      <c r="Z33" s="1814" t="str">
        <f t="shared" si="15"/>
        <v>建筑类型</v>
      </c>
      <c r="AA33" s="1811">
        <f t="shared" si="3"/>
        <v>1</v>
      </c>
      <c r="AB33" s="1811">
        <f t="shared" si="4"/>
        <v>1</v>
      </c>
      <c r="AC33" s="2676">
        <f t="shared" si="5"/>
        <v>1</v>
      </c>
    </row>
    <row r="34" spans="1:29" s="469" customFormat="1" ht="15">
      <c r="A34" s="466"/>
      <c r="B34" s="422" t="s">
        <v>2567</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11"/>
      <c r="L34" s="1139"/>
      <c r="M34" s="1142"/>
      <c r="N34" s="1142"/>
      <c r="O34" s="1142"/>
      <c r="P34" s="3294"/>
      <c r="Q34" s="774" t="str">
        <f t="shared" si="11"/>
        <v>项目建筑规模</v>
      </c>
      <c r="R34" s="775" t="s">
        <v>17</v>
      </c>
      <c r="S34" s="776" t="e">
        <f t="shared" si="12"/>
        <v>#N/A</v>
      </c>
      <c r="T34" s="775" t="s">
        <v>17</v>
      </c>
      <c r="U34" s="776" t="e">
        <f t="shared" si="13"/>
        <v>#N/A</v>
      </c>
      <c r="V34" s="775" t="s">
        <v>17</v>
      </c>
      <c r="W34" s="776" t="e">
        <f t="shared" si="14"/>
        <v>#N/A</v>
      </c>
      <c r="X34" s="777"/>
      <c r="Y34" s="3296"/>
      <c r="Z34" s="778" t="str">
        <f t="shared" si="15"/>
        <v>项目建筑规模</v>
      </c>
      <c r="AA34" s="1811" t="e">
        <f t="shared" si="3"/>
        <v>#N/A</v>
      </c>
      <c r="AB34" s="1811" t="e">
        <f t="shared" si="4"/>
        <v>#N/A</v>
      </c>
      <c r="AC34" s="2676" t="e">
        <f t="shared" si="5"/>
        <v>#N/A</v>
      </c>
    </row>
    <row r="35" spans="1:29" ht="15">
      <c r="A35" s="470"/>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0"/>
      <c r="L35" s="1141"/>
      <c r="M35" s="1132"/>
      <c r="N35" s="1132"/>
      <c r="O35" s="1132"/>
      <c r="P35" s="3294"/>
      <c r="Q35" s="1810" t="str">
        <f t="shared" si="11"/>
        <v>建筑结构</v>
      </c>
      <c r="R35" s="772" t="s">
        <v>17</v>
      </c>
      <c r="S35" s="773">
        <f t="shared" si="12"/>
        <v>100</v>
      </c>
      <c r="T35" s="772" t="s">
        <v>17</v>
      </c>
      <c r="U35" s="773">
        <f t="shared" si="13"/>
        <v>100</v>
      </c>
      <c r="V35" s="772" t="s">
        <v>17</v>
      </c>
      <c r="W35" s="773">
        <f t="shared" si="14"/>
        <v>100</v>
      </c>
      <c r="X35" s="1813"/>
      <c r="Y35" s="3296"/>
      <c r="Z35" s="1814" t="str">
        <f t="shared" si="15"/>
        <v>建筑结构</v>
      </c>
      <c r="AA35" s="1811">
        <f t="shared" si="3"/>
        <v>1</v>
      </c>
      <c r="AB35" s="1811">
        <f t="shared" si="4"/>
        <v>1</v>
      </c>
      <c r="AC35" s="2676">
        <f t="shared" si="5"/>
        <v>1</v>
      </c>
    </row>
    <row r="36" spans="1:29" ht="15">
      <c r="A36" s="470"/>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0"/>
      <c r="L36" s="1141"/>
      <c r="M36" s="1132"/>
      <c r="N36" s="1132"/>
      <c r="O36" s="1132"/>
      <c r="P36" s="3294"/>
      <c r="Q36" s="1810" t="str">
        <f t="shared" si="11"/>
        <v>公共部分装修</v>
      </c>
      <c r="R36" s="772" t="s">
        <v>17</v>
      </c>
      <c r="S36" s="773">
        <f t="shared" si="12"/>
        <v>100</v>
      </c>
      <c r="T36" s="772" t="s">
        <v>17</v>
      </c>
      <c r="U36" s="773">
        <f t="shared" si="13"/>
        <v>100</v>
      </c>
      <c r="V36" s="772" t="s">
        <v>17</v>
      </c>
      <c r="W36" s="773">
        <f t="shared" si="14"/>
        <v>100</v>
      </c>
      <c r="X36" s="1813"/>
      <c r="Y36" s="3296"/>
      <c r="Z36" s="1814" t="str">
        <f t="shared" si="15"/>
        <v>公共部分装修</v>
      </c>
      <c r="AA36" s="1811">
        <f t="shared" si="3"/>
        <v>1</v>
      </c>
      <c r="AB36" s="1811">
        <f t="shared" si="4"/>
        <v>1</v>
      </c>
      <c r="AC36" s="2676">
        <f t="shared" si="5"/>
        <v>1</v>
      </c>
    </row>
    <row r="37" spans="1:29" ht="15">
      <c r="A37" s="470"/>
      <c r="B37" s="422" t="s">
        <v>2663</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10"/>
      <c r="L37" s="1141"/>
      <c r="M37" s="1132"/>
      <c r="N37" s="1132"/>
      <c r="O37" s="1132"/>
      <c r="P37" s="3294"/>
      <c r="Q37" s="1810" t="str">
        <f t="shared" si="11"/>
        <v>成新度</v>
      </c>
      <c r="R37" s="772" t="s">
        <v>17</v>
      </c>
      <c r="S37" s="773" t="e">
        <f t="shared" si="12"/>
        <v>#N/A</v>
      </c>
      <c r="T37" s="772" t="s">
        <v>17</v>
      </c>
      <c r="U37" s="773" t="e">
        <f t="shared" si="13"/>
        <v>#N/A</v>
      </c>
      <c r="V37" s="772" t="s">
        <v>17</v>
      </c>
      <c r="W37" s="773" t="e">
        <f t="shared" si="14"/>
        <v>#N/A</v>
      </c>
      <c r="X37" s="1813"/>
      <c r="Y37" s="3296"/>
      <c r="Z37" s="1814" t="str">
        <f t="shared" si="15"/>
        <v>成新度</v>
      </c>
      <c r="AA37" s="1811" t="e">
        <f t="shared" si="3"/>
        <v>#N/A</v>
      </c>
      <c r="AB37" s="1811" t="e">
        <f t="shared" si="4"/>
        <v>#N/A</v>
      </c>
      <c r="AC37" s="2676" t="e">
        <f t="shared" si="5"/>
        <v>#N/A</v>
      </c>
    </row>
    <row r="38" spans="1:29" s="117" customFormat="1" ht="15">
      <c r="A38" s="471"/>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0"/>
      <c r="L38" s="1133"/>
      <c r="M38" s="1134"/>
      <c r="N38" s="1134"/>
      <c r="O38" s="1134"/>
      <c r="P38" s="3294"/>
      <c r="Q38" s="1795" t="str">
        <f t="shared" si="11"/>
        <v>写字楼等级</v>
      </c>
      <c r="R38" s="768" t="s">
        <v>17</v>
      </c>
      <c r="S38" s="769">
        <f t="shared" si="12"/>
        <v>100</v>
      </c>
      <c r="T38" s="768" t="s">
        <v>17</v>
      </c>
      <c r="U38" s="769">
        <f t="shared" si="13"/>
        <v>100</v>
      </c>
      <c r="V38" s="768" t="s">
        <v>17</v>
      </c>
      <c r="W38" s="769">
        <f t="shared" si="14"/>
        <v>100</v>
      </c>
      <c r="X38" s="770"/>
      <c r="Y38" s="3296"/>
      <c r="Z38" s="55" t="str">
        <f t="shared" si="15"/>
        <v>写字楼等级</v>
      </c>
      <c r="AA38" s="771">
        <f t="shared" si="3"/>
        <v>1</v>
      </c>
      <c r="AB38" s="771">
        <f t="shared" si="4"/>
        <v>1</v>
      </c>
      <c r="AC38" s="2673">
        <f t="shared" si="5"/>
        <v>1</v>
      </c>
    </row>
    <row r="39" spans="1:29" ht="15">
      <c r="A39" s="470"/>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0"/>
      <c r="L39" s="1141"/>
      <c r="M39" s="1132"/>
      <c r="N39" s="1132"/>
      <c r="O39" s="1132"/>
      <c r="P39" s="3294" t="s">
        <v>2566</v>
      </c>
      <c r="Q39" s="1810" t="str">
        <f t="shared" si="11"/>
        <v>物业管理</v>
      </c>
      <c r="R39" s="772" t="s">
        <v>17</v>
      </c>
      <c r="S39" s="773">
        <f t="shared" si="12"/>
        <v>100</v>
      </c>
      <c r="T39" s="772" t="s">
        <v>17</v>
      </c>
      <c r="U39" s="773">
        <f t="shared" si="13"/>
        <v>100</v>
      </c>
      <c r="V39" s="772" t="s">
        <v>17</v>
      </c>
      <c r="W39" s="773">
        <f t="shared" si="14"/>
        <v>100</v>
      </c>
      <c r="X39" s="1813"/>
      <c r="Y39" s="3296" t="s">
        <v>2566</v>
      </c>
      <c r="Z39" s="1814" t="str">
        <f t="shared" si="15"/>
        <v>物业管理</v>
      </c>
      <c r="AA39" s="1811">
        <f t="shared" si="3"/>
        <v>1</v>
      </c>
      <c r="AB39" s="1811">
        <f t="shared" si="4"/>
        <v>1</v>
      </c>
      <c r="AC39" s="2676">
        <f t="shared" si="5"/>
        <v>1</v>
      </c>
    </row>
    <row r="40" spans="1:29" ht="15">
      <c r="A40" s="470"/>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0"/>
      <c r="L40" s="1141"/>
      <c r="M40" s="1132"/>
      <c r="N40" s="1132"/>
      <c r="O40" s="1132"/>
      <c r="P40" s="3294"/>
      <c r="Q40" s="1810" t="str">
        <f t="shared" si="11"/>
        <v>市政基础设施</v>
      </c>
      <c r="R40" s="772" t="s">
        <v>17</v>
      </c>
      <c r="S40" s="773">
        <f t="shared" si="12"/>
        <v>100</v>
      </c>
      <c r="T40" s="772" t="s">
        <v>17</v>
      </c>
      <c r="U40" s="773">
        <f t="shared" si="13"/>
        <v>100</v>
      </c>
      <c r="V40" s="772" t="s">
        <v>17</v>
      </c>
      <c r="W40" s="773">
        <f t="shared" si="14"/>
        <v>100</v>
      </c>
      <c r="X40" s="1813"/>
      <c r="Y40" s="3296"/>
      <c r="Z40" s="1814" t="str">
        <f t="shared" si="15"/>
        <v>市政基础设施</v>
      </c>
      <c r="AA40" s="1811">
        <f t="shared" si="3"/>
        <v>1</v>
      </c>
      <c r="AB40" s="1811">
        <f t="shared" si="4"/>
        <v>1</v>
      </c>
      <c r="AC40" s="2676">
        <f t="shared" si="5"/>
        <v>1</v>
      </c>
    </row>
    <row r="41" spans="1:29" ht="15">
      <c r="A41" s="470"/>
      <c r="B41" s="422" t="s">
        <v>2666</v>
      </c>
      <c r="C41" s="614"/>
      <c r="D41" s="435">
        <v>100</v>
      </c>
      <c r="E41" s="614"/>
      <c r="F41" s="461">
        <f>SUMIF(119:119,E41,120:120)-SUMIF(119:119,C41,120:120)+100</f>
        <v>100</v>
      </c>
      <c r="G41" s="614"/>
      <c r="H41" s="435">
        <f>SUMIF(119:119,G41,120:120)-SUMIF(119:119,C41,120:120)+100</f>
        <v>100</v>
      </c>
      <c r="I41" s="614"/>
      <c r="J41" s="435">
        <f>SUMIF(119:119,I41,120:120)-SUMIF(119:119,C41,120:120)+100</f>
        <v>100</v>
      </c>
      <c r="K41" s="610"/>
      <c r="L41" s="1141"/>
      <c r="M41" s="1132"/>
      <c r="N41" s="1132"/>
      <c r="O41" s="1132"/>
      <c r="P41" s="3294"/>
      <c r="Q41" s="1810" t="str">
        <f t="shared" si="11"/>
        <v>层高</v>
      </c>
      <c r="R41" s="772" t="s">
        <v>17</v>
      </c>
      <c r="S41" s="773">
        <f t="shared" si="12"/>
        <v>100</v>
      </c>
      <c r="T41" s="772" t="s">
        <v>17</v>
      </c>
      <c r="U41" s="773">
        <f t="shared" si="13"/>
        <v>100</v>
      </c>
      <c r="V41" s="772" t="s">
        <v>17</v>
      </c>
      <c r="W41" s="773">
        <f t="shared" si="14"/>
        <v>100</v>
      </c>
      <c r="X41" s="1813"/>
      <c r="Y41" s="3296"/>
      <c r="Z41" s="1814" t="str">
        <f t="shared" si="15"/>
        <v>层高</v>
      </c>
      <c r="AA41" s="1811">
        <f t="shared" si="3"/>
        <v>1</v>
      </c>
      <c r="AB41" s="1811">
        <f t="shared" si="4"/>
        <v>1</v>
      </c>
      <c r="AC41" s="2676">
        <f t="shared" si="5"/>
        <v>1</v>
      </c>
    </row>
    <row r="42" spans="1:29" s="469" customFormat="1" ht="15">
      <c r="A42" s="466"/>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1"/>
      <c r="L42" s="1139"/>
      <c r="M42" s="1142"/>
      <c r="N42" s="1142"/>
      <c r="O42" s="1142"/>
      <c r="P42" s="3294"/>
      <c r="Q42" s="774" t="str">
        <f t="shared" si="11"/>
        <v>单套建筑面积</v>
      </c>
      <c r="R42" s="775" t="s">
        <v>17</v>
      </c>
      <c r="S42" s="776">
        <f t="shared" si="12"/>
        <v>100</v>
      </c>
      <c r="T42" s="775" t="s">
        <v>17</v>
      </c>
      <c r="U42" s="776">
        <f t="shared" si="13"/>
        <v>100</v>
      </c>
      <c r="V42" s="775" t="s">
        <v>17</v>
      </c>
      <c r="W42" s="776">
        <f t="shared" si="14"/>
        <v>100</v>
      </c>
      <c r="X42" s="777"/>
      <c r="Y42" s="3296"/>
      <c r="Z42" s="778" t="str">
        <f t="shared" si="15"/>
        <v>单套建筑面积</v>
      </c>
      <c r="AA42" s="1811">
        <f t="shared" si="3"/>
        <v>1</v>
      </c>
      <c r="AB42" s="1811">
        <f t="shared" si="4"/>
        <v>1</v>
      </c>
      <c r="AC42" s="2676">
        <f t="shared" si="5"/>
        <v>1</v>
      </c>
    </row>
    <row r="43" spans="1:29" ht="15">
      <c r="A43" s="470"/>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0"/>
      <c r="L43" s="1141"/>
      <c r="M43" s="1132"/>
      <c r="N43" s="1132"/>
      <c r="O43" s="1132"/>
      <c r="P43" s="3294"/>
      <c r="Q43" s="1810" t="str">
        <f t="shared" si="11"/>
        <v>内部装修</v>
      </c>
      <c r="R43" s="772" t="s">
        <v>17</v>
      </c>
      <c r="S43" s="773">
        <f t="shared" si="12"/>
        <v>100</v>
      </c>
      <c r="T43" s="772" t="s">
        <v>17</v>
      </c>
      <c r="U43" s="773">
        <f t="shared" si="13"/>
        <v>100</v>
      </c>
      <c r="V43" s="772" t="s">
        <v>17</v>
      </c>
      <c r="W43" s="773">
        <f t="shared" si="14"/>
        <v>100</v>
      </c>
      <c r="X43" s="1813"/>
      <c r="Y43" s="3296"/>
      <c r="Z43" s="1814" t="str">
        <f t="shared" si="15"/>
        <v>内部装修</v>
      </c>
      <c r="AA43" s="1811">
        <f t="shared" si="3"/>
        <v>1</v>
      </c>
      <c r="AB43" s="1811">
        <f t="shared" si="4"/>
        <v>1</v>
      </c>
      <c r="AC43" s="2676">
        <f t="shared" si="5"/>
        <v>1</v>
      </c>
    </row>
    <row r="44" spans="1:29" ht="15">
      <c r="A44" s="470"/>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0"/>
      <c r="L44" s="1141"/>
      <c r="M44" s="1132"/>
      <c r="N44" s="1132"/>
      <c r="O44" s="1132"/>
      <c r="P44" s="3294"/>
      <c r="Q44" s="1810" t="str">
        <f t="shared" si="11"/>
        <v>内部装修维护情况</v>
      </c>
      <c r="R44" s="772" t="s">
        <v>17</v>
      </c>
      <c r="S44" s="773">
        <f t="shared" si="12"/>
        <v>100</v>
      </c>
      <c r="T44" s="772" t="s">
        <v>17</v>
      </c>
      <c r="U44" s="773">
        <f t="shared" si="13"/>
        <v>100</v>
      </c>
      <c r="V44" s="772" t="s">
        <v>17</v>
      </c>
      <c r="W44" s="773">
        <f t="shared" si="14"/>
        <v>100</v>
      </c>
      <c r="X44" s="1813"/>
      <c r="Y44" s="3296"/>
      <c r="Z44" s="1814" t="str">
        <f t="shared" si="15"/>
        <v>内部装修维护情况</v>
      </c>
      <c r="AA44" s="1811">
        <f t="shared" si="3"/>
        <v>1</v>
      </c>
      <c r="AB44" s="1811">
        <f t="shared" si="4"/>
        <v>1</v>
      </c>
      <c r="AC44" s="2676">
        <f t="shared" si="5"/>
        <v>1</v>
      </c>
    </row>
    <row r="45" spans="1:29" s="117" customFormat="1" ht="15">
      <c r="A45" s="471"/>
      <c r="B45" s="138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11"/>
      <c r="L45" s="1133"/>
      <c r="M45" s="1134"/>
      <c r="N45" s="1134"/>
      <c r="O45" s="1134"/>
      <c r="P45" s="3294"/>
      <c r="Q45" s="1795">
        <f t="shared" si="11"/>
        <v>111</v>
      </c>
      <c r="R45" s="768" t="s">
        <v>17</v>
      </c>
      <c r="S45" s="769">
        <f t="shared" si="12"/>
        <v>100</v>
      </c>
      <c r="T45" s="768" t="s">
        <v>17</v>
      </c>
      <c r="U45" s="769">
        <f t="shared" si="13"/>
        <v>100</v>
      </c>
      <c r="V45" s="768" t="s">
        <v>17</v>
      </c>
      <c r="W45" s="769">
        <f t="shared" si="14"/>
        <v>100</v>
      </c>
      <c r="X45" s="770"/>
      <c r="Y45" s="3296"/>
      <c r="Z45" s="55">
        <f t="shared" si="15"/>
        <v>111</v>
      </c>
      <c r="AA45" s="771">
        <f t="shared" si="3"/>
        <v>1</v>
      </c>
      <c r="AB45" s="771">
        <f t="shared" si="4"/>
        <v>1</v>
      </c>
      <c r="AC45" s="2673">
        <f t="shared" si="5"/>
        <v>1</v>
      </c>
    </row>
    <row r="46" spans="1:29" ht="15">
      <c r="A46" s="470"/>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1"/>
      <c r="L46" s="1141"/>
      <c r="M46" s="1132"/>
      <c r="N46" s="1132"/>
      <c r="O46" s="1132"/>
      <c r="P46" s="3294"/>
      <c r="Q46" s="1810">
        <f t="shared" si="11"/>
        <v>111</v>
      </c>
      <c r="R46" s="772" t="s">
        <v>17</v>
      </c>
      <c r="S46" s="773">
        <f t="shared" si="12"/>
        <v>100</v>
      </c>
      <c r="T46" s="772" t="s">
        <v>17</v>
      </c>
      <c r="U46" s="773">
        <f t="shared" si="13"/>
        <v>100</v>
      </c>
      <c r="V46" s="772" t="s">
        <v>17</v>
      </c>
      <c r="W46" s="773">
        <f t="shared" si="14"/>
        <v>100</v>
      </c>
      <c r="X46" s="1813"/>
      <c r="Y46" s="3296"/>
      <c r="Z46" s="1814">
        <f t="shared" si="15"/>
        <v>111</v>
      </c>
      <c r="AA46" s="1811">
        <f t="shared" si="3"/>
        <v>1</v>
      </c>
      <c r="AB46" s="1811">
        <f t="shared" si="4"/>
        <v>1</v>
      </c>
      <c r="AC46" s="2676">
        <f t="shared" si="5"/>
        <v>1</v>
      </c>
    </row>
    <row r="47" spans="1:29" ht="15.75" thickBot="1">
      <c r="A47" s="476"/>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1"/>
      <c r="L47" s="1141"/>
      <c r="M47" s="1132"/>
      <c r="N47" s="1132"/>
      <c r="O47" s="1132"/>
      <c r="P47" s="3295"/>
      <c r="Q47" s="1810">
        <f t="shared" si="11"/>
        <v>111</v>
      </c>
      <c r="R47" s="772" t="s">
        <v>17</v>
      </c>
      <c r="S47" s="773">
        <f t="shared" si="12"/>
        <v>100</v>
      </c>
      <c r="T47" s="772" t="s">
        <v>17</v>
      </c>
      <c r="U47" s="773">
        <f t="shared" si="13"/>
        <v>100</v>
      </c>
      <c r="V47" s="772" t="s">
        <v>17</v>
      </c>
      <c r="W47" s="773">
        <f t="shared" si="14"/>
        <v>100</v>
      </c>
      <c r="X47" s="1813"/>
      <c r="Y47" s="3297"/>
      <c r="Z47" s="1814">
        <f t="shared" si="15"/>
        <v>111</v>
      </c>
      <c r="AA47" s="1811">
        <f t="shared" si="3"/>
        <v>1</v>
      </c>
      <c r="AB47" s="1811">
        <f t="shared" si="4"/>
        <v>1</v>
      </c>
      <c r="AC47" s="2676">
        <f t="shared" si="5"/>
        <v>1</v>
      </c>
    </row>
    <row r="48" spans="1:29" ht="15">
      <c r="A48" s="477" t="s">
        <v>2578</v>
      </c>
      <c r="B48" s="478"/>
      <c r="C48" s="1407" t="s">
        <v>1</v>
      </c>
      <c r="D48" s="1408"/>
      <c r="E48" s="1409"/>
      <c r="F48" s="1410"/>
      <c r="G48" s="1411"/>
      <c r="H48" s="1412"/>
      <c r="I48" s="1409"/>
      <c r="J48" s="483"/>
      <c r="K48" s="781"/>
      <c r="L48" s="1144"/>
      <c r="M48" s="1132"/>
      <c r="N48" s="1132"/>
      <c r="O48" s="1132"/>
      <c r="P48" s="3275" t="str">
        <f>A48</f>
        <v>成交单价（元/平方米）</v>
      </c>
      <c r="Q48" s="3298"/>
      <c r="R48" s="3299">
        <f>E48</f>
        <v>0</v>
      </c>
      <c r="S48" s="3299"/>
      <c r="T48" s="3299">
        <f>G48</f>
        <v>0</v>
      </c>
      <c r="U48" s="3299"/>
      <c r="V48" s="3299">
        <f>I48</f>
        <v>0</v>
      </c>
      <c r="W48" s="3299"/>
      <c r="X48" s="446"/>
      <c r="Y48" s="779"/>
      <c r="Z48" s="446"/>
      <c r="AA48" s="446"/>
      <c r="AB48" s="446"/>
      <c r="AC48" s="628"/>
    </row>
    <row r="49" spans="1:29" ht="15.75" thickBot="1">
      <c r="A49" s="484" t="s">
        <v>2670</v>
      </c>
      <c r="B49" s="485"/>
      <c r="C49" s="1413" t="e">
        <f>R50</f>
        <v>#DIV/0!</v>
      </c>
      <c r="D49" s="1414"/>
      <c r="E49" s="1415" t="e">
        <f>R49</f>
        <v>#DIV/0!</v>
      </c>
      <c r="F49" s="1415"/>
      <c r="G49" s="1413" t="e">
        <f>T49</f>
        <v>#DIV/0!</v>
      </c>
      <c r="H49" s="1414"/>
      <c r="I49" s="1415" t="e">
        <f>V49</f>
        <v>#DIV/0!</v>
      </c>
      <c r="J49" s="487"/>
      <c r="K49" s="782"/>
      <c r="L49" s="1144"/>
      <c r="M49" s="1132"/>
      <c r="N49" s="1132"/>
      <c r="O49" s="1132"/>
      <c r="P49" s="3275" t="str">
        <f>A49</f>
        <v>比较价值（元/平方米）</v>
      </c>
      <c r="Q49" s="3298"/>
      <c r="R49" s="3299" t="e">
        <f>IF(F1="售价",ROUND(PRODUCT(R48,AA7:AA47),0),ROUND(PRODUCT(R48,AA7:AA47),1))</f>
        <v>#DIV/0!</v>
      </c>
      <c r="S49" s="3299"/>
      <c r="T49" s="3299" t="e">
        <f>IF(F1="售价",ROUND(PRODUCT(T48,AB7:AB47),0),ROUND(PRODUCT(T48,AB7:AB47),1))</f>
        <v>#DIV/0!</v>
      </c>
      <c r="U49" s="3299"/>
      <c r="V49" s="3299" t="e">
        <f>IF(F1="售价",ROUND(PRODUCT(V48,AC7:AC47),0),ROUND(PRODUCT(V48,AC7:AC47),1))</f>
        <v>#DIV/0!</v>
      </c>
      <c r="W49" s="3299"/>
      <c r="X49" s="446"/>
      <c r="Y49" s="446"/>
      <c r="Z49" s="446"/>
      <c r="AA49" s="446"/>
      <c r="AB49" s="446"/>
      <c r="AC49" s="628"/>
    </row>
    <row r="50" spans="1:29" ht="15.75" thickBot="1">
      <c r="A50" s="490" t="s">
        <v>2671</v>
      </c>
      <c r="B50" s="491"/>
      <c r="C50" s="1417" t="e">
        <f>R50</f>
        <v>#DIV/0!</v>
      </c>
      <c r="D50" s="1417"/>
      <c r="E50" s="1417"/>
      <c r="F50" s="1417"/>
      <c r="G50" s="1417"/>
      <c r="H50" s="1417"/>
      <c r="I50" s="1417"/>
      <c r="J50" s="492"/>
      <c r="K50" s="783"/>
      <c r="L50" s="1144"/>
      <c r="M50" s="1132"/>
      <c r="N50" s="1132"/>
      <c r="O50" s="1132"/>
      <c r="P50" s="3315" t="str">
        <f>A50</f>
        <v>估价对象XX用房的比较价值（楼面单价，元/平方米）</v>
      </c>
      <c r="Q50" s="3316"/>
      <c r="R50" s="3317" t="e">
        <f>IF(F1="售价",ROUND(AVERAGE(R49:V49),0),ROUND(AVERAGE(R49:V49),1))</f>
        <v>#DIV/0!</v>
      </c>
      <c r="S50" s="3317"/>
      <c r="T50" s="3317"/>
      <c r="U50" s="3317"/>
      <c r="V50" s="3317"/>
      <c r="W50" s="3317"/>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2672</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2673</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2674</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2"/>
    </row>
    <row r="56" spans="1:29" s="500"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3"/>
      <c r="Q58" s="502"/>
    </row>
    <row r="59" spans="1:29" s="506" customFormat="1" ht="15">
      <c r="A59" s="503" t="s">
        <v>2549</v>
      </c>
      <c r="B59" s="504"/>
      <c r="C59" s="1574" t="str">
        <f>YEAR(C7)&amp;"-"&amp;MONTH(C7)</f>
        <v>2018-10</v>
      </c>
      <c r="D59" s="1575">
        <f>EDATE(C59,-1)</f>
        <v>43344</v>
      </c>
      <c r="E59" s="1575">
        <f>EDATE(D59,-1)</f>
        <v>43313</v>
      </c>
      <c r="F59" s="1575">
        <f t="shared" ref="F59:O59" si="16">EDATE(E59,-1)</f>
        <v>43282</v>
      </c>
      <c r="G59" s="1575">
        <f t="shared" si="16"/>
        <v>43252</v>
      </c>
      <c r="H59" s="1575">
        <f t="shared" si="16"/>
        <v>43221</v>
      </c>
      <c r="I59" s="1575">
        <f t="shared" si="16"/>
        <v>43191</v>
      </c>
      <c r="J59" s="1575">
        <f t="shared" si="16"/>
        <v>43160</v>
      </c>
      <c r="K59" s="1575">
        <f t="shared" si="16"/>
        <v>43132</v>
      </c>
      <c r="L59" s="1575">
        <f t="shared" si="16"/>
        <v>43101</v>
      </c>
      <c r="M59" s="1575">
        <f t="shared" si="16"/>
        <v>43070</v>
      </c>
      <c r="N59" s="1575">
        <f t="shared" si="16"/>
        <v>43040</v>
      </c>
      <c r="O59" s="1575">
        <f t="shared" si="16"/>
        <v>43009</v>
      </c>
      <c r="P59" s="1571"/>
    </row>
    <row r="60" spans="1:29" s="117" customFormat="1" ht="15">
      <c r="A60" s="507"/>
      <c r="B60" s="508"/>
      <c r="C60" s="1573">
        <v>100</v>
      </c>
      <c r="D60" s="510"/>
      <c r="E60" s="510"/>
      <c r="F60" s="510"/>
      <c r="G60" s="510"/>
      <c r="H60" s="510"/>
      <c r="I60" s="510"/>
      <c r="J60" s="510"/>
      <c r="K60" s="510"/>
      <c r="L60" s="510"/>
      <c r="M60" s="511"/>
      <c r="N60" s="510"/>
      <c r="O60" s="511"/>
      <c r="P60" s="2684"/>
    </row>
    <row r="61" spans="1:29" s="117" customFormat="1" ht="15.75" thickBot="1">
      <c r="A61" s="513" t="s">
        <v>2586</v>
      </c>
      <c r="B61" s="514"/>
      <c r="C61" s="515"/>
      <c r="D61" s="516"/>
      <c r="E61" s="516"/>
      <c r="F61" s="516"/>
      <c r="G61" s="516"/>
      <c r="H61" s="516"/>
      <c r="I61" s="516"/>
      <c r="J61" s="516"/>
      <c r="K61" s="516"/>
      <c r="L61" s="516"/>
      <c r="M61" s="517"/>
      <c r="N61" s="516"/>
      <c r="O61" s="517"/>
      <c r="P61" s="2684"/>
      <c r="Q61" s="502"/>
    </row>
    <row r="62" spans="1:29" s="117" customFormat="1" ht="15">
      <c r="A62" s="519" t="s">
        <v>2551</v>
      </c>
      <c r="B62" s="508"/>
      <c r="C62" s="520" t="s">
        <v>2653</v>
      </c>
      <c r="D62" s="521"/>
      <c r="E62" s="521"/>
      <c r="F62" s="521"/>
      <c r="G62" s="521"/>
      <c r="H62" s="521"/>
      <c r="I62" s="521"/>
      <c r="J62" s="521"/>
      <c r="K62" s="521"/>
      <c r="L62" s="522"/>
      <c r="M62" s="523"/>
      <c r="N62" s="1152"/>
      <c r="O62" s="1152"/>
      <c r="P62" s="2685"/>
      <c r="Q62" s="502"/>
    </row>
    <row r="63" spans="1:29" s="117" customFormat="1" ht="15.75" thickBot="1">
      <c r="A63" s="519"/>
      <c r="B63" s="508"/>
      <c r="C63" s="509">
        <v>100</v>
      </c>
      <c r="D63" s="510"/>
      <c r="E63" s="510"/>
      <c r="F63" s="510"/>
      <c r="G63" s="510"/>
      <c r="H63" s="510"/>
      <c r="I63" s="510"/>
      <c r="J63" s="510"/>
      <c r="K63" s="510"/>
      <c r="L63" s="510"/>
      <c r="M63" s="512"/>
      <c r="N63" s="1152"/>
      <c r="O63" s="1152"/>
      <c r="P63" s="2684"/>
      <c r="Q63" s="502"/>
    </row>
    <row r="64" spans="1:29">
      <c r="A64" s="525" t="s">
        <v>2589</v>
      </c>
      <c r="B64" s="526" t="s">
        <v>2555</v>
      </c>
      <c r="C64" s="527">
        <f>C9</f>
        <v>0</v>
      </c>
      <c r="D64" s="528"/>
      <c r="E64" s="528"/>
      <c r="F64" s="528"/>
      <c r="G64" s="528"/>
      <c r="H64" s="528"/>
      <c r="I64" s="528"/>
      <c r="J64" s="528"/>
      <c r="K64" s="529"/>
      <c r="L64" s="530"/>
      <c r="M64" s="531"/>
      <c r="N64" s="1153"/>
      <c r="O64" s="1153"/>
      <c r="P64" s="2686"/>
      <c r="Q64" s="502"/>
    </row>
    <row r="65" spans="1:17" ht="15.75" thickBot="1">
      <c r="A65" s="532"/>
      <c r="B65" s="533"/>
      <c r="C65" s="534">
        <v>100</v>
      </c>
      <c r="D65" s="534"/>
      <c r="E65" s="534"/>
      <c r="F65" s="534"/>
      <c r="G65" s="534"/>
      <c r="H65" s="534"/>
      <c r="I65" s="534"/>
      <c r="J65" s="534"/>
      <c r="K65" s="534"/>
      <c r="L65" s="534"/>
      <c r="M65" s="535"/>
      <c r="N65" s="1154"/>
      <c r="O65" s="1154"/>
      <c r="P65" s="2686"/>
      <c r="Q65" s="502"/>
    </row>
    <row r="66" spans="1:17" ht="27.75" thickTop="1">
      <c r="A66" s="532"/>
      <c r="B66" s="536" t="s">
        <v>2558</v>
      </c>
      <c r="C66" s="537" t="s">
        <v>2590</v>
      </c>
      <c r="D66" s="537" t="s">
        <v>2591</v>
      </c>
      <c r="E66" s="537" t="s">
        <v>2592</v>
      </c>
      <c r="F66" s="537" t="s">
        <v>2593</v>
      </c>
      <c r="G66" s="537" t="s">
        <v>2594</v>
      </c>
      <c r="H66" s="537" t="s">
        <v>2595</v>
      </c>
      <c r="I66" s="537" t="s">
        <v>2596</v>
      </c>
      <c r="J66" s="537"/>
      <c r="K66" s="538"/>
      <c r="L66" s="539"/>
      <c r="M66" s="540"/>
      <c r="N66" s="1153"/>
      <c r="O66" s="1153"/>
      <c r="P66" s="268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6"/>
      <c r="Q67" s="502"/>
    </row>
    <row r="68" spans="1:17" ht="15.75" thickTop="1">
      <c r="A68" s="532"/>
      <c r="B68" s="544" t="s">
        <v>2559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54"/>
      <c r="O68" s="1154"/>
      <c r="P68" s="2686"/>
      <c r="Q68" s="502"/>
    </row>
    <row r="69" spans="1:17" ht="15">
      <c r="A69" s="532"/>
      <c r="B69" s="546"/>
      <c r="C69" s="547"/>
      <c r="D69" s="547"/>
      <c r="E69" s="547"/>
      <c r="F69" s="547"/>
      <c r="G69" s="547"/>
      <c r="H69" s="547"/>
      <c r="I69" s="547"/>
      <c r="J69" s="547"/>
      <c r="K69" s="548"/>
      <c r="L69" s="549"/>
      <c r="M69" s="550"/>
      <c r="N69" s="1153"/>
      <c r="O69" s="1153"/>
      <c r="P69" s="268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6"/>
      <c r="Q70" s="502"/>
    </row>
    <row r="71" spans="1:17" s="469" customFormat="1" ht="15.75" thickTop="1">
      <c r="A71" s="551"/>
      <c r="B71" s="536">
        <f>B12</f>
        <v>111</v>
      </c>
      <c r="C71" s="552"/>
      <c r="D71" s="552"/>
      <c r="E71" s="552"/>
      <c r="F71" s="552"/>
      <c r="G71" s="552"/>
      <c r="H71" s="553"/>
      <c r="I71" s="553"/>
      <c r="J71" s="553"/>
      <c r="K71" s="553"/>
      <c r="L71" s="554"/>
      <c r="M71" s="555"/>
      <c r="N71" s="1155"/>
      <c r="O71" s="1155"/>
      <c r="P71" s="2687"/>
      <c r="Q71" s="557"/>
    </row>
    <row r="72" spans="1:17" s="469" customFormat="1" ht="15.75" thickBot="1">
      <c r="A72" s="551"/>
      <c r="B72" s="541"/>
      <c r="C72" s="558"/>
      <c r="D72" s="534"/>
      <c r="E72" s="534"/>
      <c r="F72" s="534"/>
      <c r="G72" s="534"/>
      <c r="H72" s="534"/>
      <c r="I72" s="534"/>
      <c r="J72" s="534"/>
      <c r="K72" s="534"/>
      <c r="L72" s="534"/>
      <c r="M72" s="535"/>
      <c r="N72" s="1154"/>
      <c r="O72" s="1154"/>
      <c r="P72" s="2687"/>
      <c r="Q72" s="557"/>
    </row>
    <row r="73" spans="1:17" s="469" customFormat="1" ht="15.75" thickTop="1">
      <c r="A73" s="551"/>
      <c r="B73" s="536">
        <f>B13</f>
        <v>111</v>
      </c>
      <c r="C73" s="552"/>
      <c r="D73" s="552"/>
      <c r="E73" s="552"/>
      <c r="F73" s="552"/>
      <c r="G73" s="552"/>
      <c r="H73" s="553"/>
      <c r="I73" s="553"/>
      <c r="J73" s="553"/>
      <c r="K73" s="553"/>
      <c r="L73" s="554"/>
      <c r="M73" s="555"/>
      <c r="N73" s="1155"/>
      <c r="O73" s="1155"/>
      <c r="P73" s="2688"/>
      <c r="Q73" s="559"/>
    </row>
    <row r="74" spans="1:17" s="469" customFormat="1" ht="15.75" thickBot="1">
      <c r="A74" s="551"/>
      <c r="B74" s="541"/>
      <c r="C74" s="558"/>
      <c r="D74" s="558"/>
      <c r="E74" s="558"/>
      <c r="F74" s="558"/>
      <c r="G74" s="558"/>
      <c r="H74" s="560"/>
      <c r="I74" s="560"/>
      <c r="J74" s="560"/>
      <c r="K74" s="560"/>
      <c r="L74" s="560"/>
      <c r="M74" s="561"/>
      <c r="N74" s="1155"/>
      <c r="O74" s="1155"/>
      <c r="P74" s="2687"/>
      <c r="Q74" s="557"/>
    </row>
    <row r="75" spans="1:17" s="469" customFormat="1" ht="15.75" thickTop="1">
      <c r="A75" s="551"/>
      <c r="B75" s="544">
        <f>B14</f>
        <v>111</v>
      </c>
      <c r="C75" s="521"/>
      <c r="D75" s="521"/>
      <c r="E75" s="521"/>
      <c r="F75" s="521"/>
      <c r="G75" s="521"/>
      <c r="H75" s="562"/>
      <c r="I75" s="562"/>
      <c r="J75" s="562"/>
      <c r="K75" s="562"/>
      <c r="L75" s="563"/>
      <c r="M75" s="564"/>
      <c r="N75" s="1155"/>
      <c r="O75" s="1155"/>
      <c r="P75" s="2689"/>
      <c r="Q75" s="557"/>
    </row>
    <row r="76" spans="1:17" s="469" customFormat="1" ht="15.75" thickBot="1">
      <c r="A76" s="566"/>
      <c r="B76" s="567"/>
      <c r="C76" s="568"/>
      <c r="D76" s="568"/>
      <c r="E76" s="568"/>
      <c r="F76" s="568"/>
      <c r="G76" s="568"/>
      <c r="H76" s="569"/>
      <c r="I76" s="569"/>
      <c r="J76" s="569"/>
      <c r="K76" s="569"/>
      <c r="L76" s="569"/>
      <c r="M76" s="570"/>
      <c r="N76" s="1155"/>
      <c r="O76" s="1155"/>
      <c r="P76" s="2687"/>
      <c r="Q76" s="557"/>
    </row>
    <row r="77" spans="1:17">
      <c r="A77" s="525" t="s">
        <v>2560</v>
      </c>
      <c r="B77" s="526" t="s">
        <v>2698</v>
      </c>
      <c r="C77" s="571" t="s">
        <v>2598</v>
      </c>
      <c r="D77" s="571" t="s">
        <v>2599</v>
      </c>
      <c r="E77" s="571" t="s">
        <v>2600</v>
      </c>
      <c r="F77" s="571" t="s">
        <v>2601</v>
      </c>
      <c r="G77" s="571" t="s">
        <v>2602</v>
      </c>
      <c r="H77" s="527"/>
      <c r="I77" s="527"/>
      <c r="J77" s="527"/>
      <c r="K77" s="572"/>
      <c r="L77" s="573"/>
      <c r="M77" s="574"/>
      <c r="N77" s="1153"/>
      <c r="O77" s="1153"/>
      <c r="P77" s="269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6"/>
      <c r="Q78" s="502"/>
    </row>
    <row r="79" spans="1:17" ht="15.75" thickTop="1">
      <c r="A79" s="532"/>
      <c r="B79" s="536" t="s">
        <v>2603</v>
      </c>
      <c r="C79" s="576" t="s">
        <v>2598</v>
      </c>
      <c r="D79" s="576" t="s">
        <v>2599</v>
      </c>
      <c r="E79" s="576" t="s">
        <v>2600</v>
      </c>
      <c r="F79" s="576" t="s">
        <v>2601</v>
      </c>
      <c r="G79" s="576" t="s">
        <v>2602</v>
      </c>
      <c r="H79" s="537"/>
      <c r="I79" s="537"/>
      <c r="J79" s="537"/>
      <c r="K79" s="538"/>
      <c r="L79" s="539"/>
      <c r="M79" s="540"/>
      <c r="N79" s="1153"/>
      <c r="O79" s="1153"/>
      <c r="P79" s="268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6"/>
      <c r="Q80" s="502"/>
    </row>
    <row r="81" spans="1:17" ht="15.75" thickTop="1">
      <c r="A81" s="532"/>
      <c r="B81" s="536" t="s">
        <v>2604</v>
      </c>
      <c r="C81" s="576" t="s">
        <v>2598</v>
      </c>
      <c r="D81" s="576" t="s">
        <v>2599</v>
      </c>
      <c r="E81" s="576" t="s">
        <v>2600</v>
      </c>
      <c r="F81" s="576" t="s">
        <v>2601</v>
      </c>
      <c r="G81" s="576" t="s">
        <v>2602</v>
      </c>
      <c r="H81" s="537"/>
      <c r="I81" s="537"/>
      <c r="J81" s="537"/>
      <c r="K81" s="538"/>
      <c r="L81" s="539"/>
      <c r="M81" s="540"/>
      <c r="N81" s="1153"/>
      <c r="O81" s="1153"/>
      <c r="P81" s="268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6"/>
      <c r="Q82" s="502"/>
    </row>
    <row r="83" spans="1:17" ht="15.75" thickTop="1">
      <c r="A83" s="532"/>
      <c r="B83" s="544" t="s">
        <v>2690</v>
      </c>
      <c r="C83" s="658" t="s">
        <v>2676</v>
      </c>
      <c r="D83" s="658" t="s">
        <v>2677</v>
      </c>
      <c r="E83" s="658" t="s">
        <v>2678</v>
      </c>
      <c r="F83" s="658" t="s">
        <v>2679</v>
      </c>
      <c r="G83" s="658" t="s">
        <v>2680</v>
      </c>
      <c r="H83" s="537"/>
      <c r="I83" s="537"/>
      <c r="J83" s="537"/>
      <c r="K83" s="537"/>
      <c r="L83" s="537"/>
      <c r="M83" s="1383"/>
      <c r="N83" s="1154"/>
      <c r="O83" s="1154"/>
      <c r="P83" s="268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50"/>
      <c r="N84" s="1154"/>
      <c r="O84" s="1154"/>
      <c r="P84" s="2686"/>
      <c r="Q84" s="502"/>
    </row>
    <row r="85" spans="1:17" ht="15.75" thickTop="1">
      <c r="A85" s="532"/>
      <c r="B85" s="536" t="s">
        <v>2699</v>
      </c>
      <c r="C85" s="576" t="s">
        <v>2598</v>
      </c>
      <c r="D85" s="576" t="s">
        <v>2599</v>
      </c>
      <c r="E85" s="576" t="s">
        <v>2600</v>
      </c>
      <c r="F85" s="576" t="s">
        <v>2601</v>
      </c>
      <c r="G85" s="576" t="s">
        <v>2602</v>
      </c>
      <c r="H85" s="537"/>
      <c r="I85" s="537"/>
      <c r="J85" s="537"/>
      <c r="K85" s="538"/>
      <c r="L85" s="539"/>
      <c r="M85" s="540"/>
      <c r="N85" s="1153"/>
      <c r="O85" s="1153"/>
      <c r="P85" s="268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6"/>
      <c r="Q86" s="502"/>
    </row>
    <row r="87" spans="1:17" s="117" customFormat="1" ht="27.75" thickTop="1">
      <c r="A87" s="577"/>
      <c r="B87" s="536" t="s">
        <v>2700</v>
      </c>
      <c r="C87" s="552"/>
      <c r="D87" s="552"/>
      <c r="E87" s="552"/>
      <c r="F87" s="552"/>
      <c r="G87" s="552"/>
      <c r="H87" s="552"/>
      <c r="I87" s="552"/>
      <c r="J87" s="552"/>
      <c r="K87" s="552"/>
      <c r="L87" s="578"/>
      <c r="M87" s="579"/>
      <c r="N87" s="1152"/>
      <c r="O87" s="1152"/>
      <c r="P87" s="2686"/>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6"/>
      <c r="Q88" s="502"/>
    </row>
    <row r="89" spans="1:17" s="117" customFormat="1" ht="15.75" thickTop="1">
      <c r="A89" s="577"/>
      <c r="B89" s="536" t="str">
        <f>B27</f>
        <v>楼层</v>
      </c>
      <c r="C89" s="552"/>
      <c r="D89" s="552"/>
      <c r="E89" s="552"/>
      <c r="F89" s="2637"/>
      <c r="G89" s="552"/>
      <c r="H89" s="552"/>
      <c r="I89" s="552"/>
      <c r="J89" s="552"/>
      <c r="K89" s="552"/>
      <c r="L89" s="552"/>
      <c r="M89" s="579"/>
      <c r="N89" s="1152"/>
      <c r="O89" s="1152"/>
      <c r="P89" s="2686"/>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6"/>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7"/>
      <c r="Q92" s="557"/>
    </row>
    <row r="93" spans="1:17" ht="15.75" thickTop="1">
      <c r="A93" s="532"/>
      <c r="B93" s="536">
        <f>B29</f>
        <v>111</v>
      </c>
      <c r="C93" s="552"/>
      <c r="D93" s="552"/>
      <c r="E93" s="552"/>
      <c r="F93" s="552"/>
      <c r="G93" s="552"/>
      <c r="H93" s="552"/>
      <c r="I93" s="552"/>
      <c r="J93" s="552"/>
      <c r="K93" s="552"/>
      <c r="L93" s="578"/>
      <c r="M93" s="579"/>
      <c r="N93" s="1153"/>
      <c r="O93" s="1153"/>
      <c r="P93" s="2686"/>
      <c r="Q93" s="502"/>
    </row>
    <row r="94" spans="1:17" ht="15.75" thickBot="1">
      <c r="A94" s="532"/>
      <c r="B94" s="541"/>
      <c r="C94" s="558"/>
      <c r="D94" s="534"/>
      <c r="E94" s="534"/>
      <c r="F94" s="534"/>
      <c r="G94" s="534"/>
      <c r="H94" s="534"/>
      <c r="I94" s="534"/>
      <c r="J94" s="534"/>
      <c r="K94" s="534"/>
      <c r="L94" s="534"/>
      <c r="M94" s="535"/>
      <c r="N94" s="1154"/>
      <c r="O94" s="1154"/>
      <c r="P94" s="2686"/>
      <c r="Q94" s="502"/>
    </row>
    <row r="95" spans="1:17" ht="15.75" thickTop="1">
      <c r="A95" s="532"/>
      <c r="B95" s="536">
        <f>B30</f>
        <v>111</v>
      </c>
      <c r="C95" s="552"/>
      <c r="D95" s="552"/>
      <c r="E95" s="552"/>
      <c r="F95" s="552"/>
      <c r="G95" s="581"/>
      <c r="H95" s="581"/>
      <c r="I95" s="581"/>
      <c r="J95" s="581"/>
      <c r="K95" s="582"/>
      <c r="L95" s="583"/>
      <c r="M95" s="584"/>
      <c r="N95" s="1153"/>
      <c r="O95" s="1153"/>
      <c r="P95" s="2686"/>
      <c r="Q95" s="502"/>
    </row>
    <row r="96" spans="1:17" ht="15.75" thickBot="1">
      <c r="A96" s="532"/>
      <c r="B96" s="541"/>
      <c r="C96" s="558"/>
      <c r="D96" s="558"/>
      <c r="E96" s="558"/>
      <c r="F96" s="558"/>
      <c r="G96" s="534"/>
      <c r="H96" s="534"/>
      <c r="I96" s="534"/>
      <c r="J96" s="534"/>
      <c r="K96" s="534"/>
      <c r="L96" s="534"/>
      <c r="M96" s="535"/>
      <c r="N96" s="1154"/>
      <c r="O96" s="1154"/>
      <c r="P96" s="2686"/>
      <c r="Q96" s="502"/>
    </row>
    <row r="97" spans="1:17" ht="15.75" thickTop="1">
      <c r="A97" s="532"/>
      <c r="B97" s="536">
        <f>B31</f>
        <v>111</v>
      </c>
      <c r="C97" s="552"/>
      <c r="D97" s="552"/>
      <c r="E97" s="552"/>
      <c r="F97" s="552"/>
      <c r="G97" s="581"/>
      <c r="H97" s="581"/>
      <c r="I97" s="581"/>
      <c r="J97" s="581"/>
      <c r="K97" s="582"/>
      <c r="L97" s="583"/>
      <c r="M97" s="584"/>
      <c r="N97" s="1153"/>
      <c r="O97" s="1153"/>
      <c r="P97" s="2686"/>
      <c r="Q97" s="502"/>
    </row>
    <row r="98" spans="1:17" ht="15.75" thickBot="1">
      <c r="A98" s="532"/>
      <c r="B98" s="541"/>
      <c r="C98" s="558"/>
      <c r="D98" s="534"/>
      <c r="E98" s="534"/>
      <c r="F98" s="534"/>
      <c r="G98" s="534"/>
      <c r="H98" s="534"/>
      <c r="I98" s="534"/>
      <c r="J98" s="534"/>
      <c r="K98" s="534"/>
      <c r="L98" s="534"/>
      <c r="M98" s="535"/>
      <c r="N98" s="1154"/>
      <c r="O98" s="1154"/>
      <c r="P98" s="2686"/>
      <c r="Q98" s="502"/>
    </row>
    <row r="99" spans="1:17" ht="15.75" thickTop="1">
      <c r="A99" s="532"/>
      <c r="B99" s="544">
        <f>B32</f>
        <v>111</v>
      </c>
      <c r="C99" s="521"/>
      <c r="D99" s="521"/>
      <c r="E99" s="521"/>
      <c r="F99" s="521"/>
      <c r="G99" s="585"/>
      <c r="H99" s="585"/>
      <c r="I99" s="585"/>
      <c r="J99" s="585"/>
      <c r="K99" s="586"/>
      <c r="L99" s="587"/>
      <c r="M99" s="588"/>
      <c r="N99" s="1153"/>
      <c r="O99" s="1153"/>
      <c r="P99" s="2686"/>
      <c r="Q99" s="502"/>
    </row>
    <row r="100" spans="1:17" ht="15.75" thickBot="1">
      <c r="A100" s="2638"/>
      <c r="B100" s="567"/>
      <c r="C100" s="568"/>
      <c r="D100" s="568"/>
      <c r="E100" s="568"/>
      <c r="F100" s="568"/>
      <c r="G100" s="589"/>
      <c r="H100" s="589"/>
      <c r="I100" s="589"/>
      <c r="J100" s="589"/>
      <c r="K100" s="589"/>
      <c r="L100" s="589"/>
      <c r="M100" s="590"/>
      <c r="N100" s="1154"/>
      <c r="O100" s="1154"/>
      <c r="P100" s="2686"/>
      <c r="Q100" s="502"/>
    </row>
    <row r="101" spans="1:17">
      <c r="A101" s="525" t="s">
        <v>2564</v>
      </c>
      <c r="B101" s="526" t="s">
        <v>2613</v>
      </c>
      <c r="C101" s="528"/>
      <c r="D101" s="528"/>
      <c r="E101" s="528"/>
      <c r="F101" s="528"/>
      <c r="G101" s="528"/>
      <c r="H101" s="528"/>
      <c r="I101" s="528"/>
      <c r="J101" s="528"/>
      <c r="K101" s="529"/>
      <c r="L101" s="530"/>
      <c r="M101" s="531"/>
      <c r="N101" s="1153"/>
      <c r="O101" s="1153"/>
      <c r="P101" s="268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6"/>
      <c r="Q102" s="502"/>
    </row>
    <row r="103" spans="1:17" ht="15.75" thickTop="1">
      <c r="A103" s="532"/>
      <c r="B103" s="536" t="s">
        <v>2614</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6"/>
      <c r="Q103" s="502"/>
    </row>
    <row r="104" spans="1:17" s="469" customFormat="1">
      <c r="A104" s="591"/>
      <c r="B104" s="592"/>
      <c r="C104" s="593"/>
      <c r="D104" s="593"/>
      <c r="E104" s="593"/>
      <c r="F104" s="593"/>
      <c r="G104" s="593"/>
      <c r="H104" s="593"/>
      <c r="I104" s="593"/>
      <c r="J104" s="594"/>
      <c r="K104" s="594"/>
      <c r="L104" s="595"/>
      <c r="M104" s="596"/>
      <c r="N104" s="1155"/>
      <c r="O104" s="1155"/>
      <c r="P104" s="2687"/>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7"/>
      <c r="Q105" s="557"/>
    </row>
    <row r="106" spans="1:17" ht="15" thickTop="1">
      <c r="A106" s="597"/>
      <c r="B106" s="536" t="s">
        <v>2615</v>
      </c>
      <c r="C106" s="552"/>
      <c r="D106" s="552"/>
      <c r="E106" s="581"/>
      <c r="F106" s="581"/>
      <c r="G106" s="581"/>
      <c r="H106" s="581"/>
      <c r="I106" s="581"/>
      <c r="J106" s="581"/>
      <c r="K106" s="582"/>
      <c r="L106" s="583"/>
      <c r="M106" s="584"/>
      <c r="N106" s="1153"/>
      <c r="O106" s="1153"/>
      <c r="P106" s="268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6"/>
      <c r="Q107" s="502"/>
    </row>
    <row r="108" spans="1:17" ht="15" thickTop="1">
      <c r="A108" s="597"/>
      <c r="B108" s="536" t="s">
        <v>2617</v>
      </c>
      <c r="C108" s="552"/>
      <c r="D108" s="552"/>
      <c r="E108" s="552"/>
      <c r="F108" s="581"/>
      <c r="G108" s="581"/>
      <c r="H108" s="581"/>
      <c r="I108" s="581"/>
      <c r="J108" s="581"/>
      <c r="K108" s="582"/>
      <c r="L108" s="583"/>
      <c r="M108" s="584"/>
      <c r="N108" s="1153"/>
      <c r="O108" s="1153"/>
      <c r="P108" s="268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6"/>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6"/>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6"/>
      <c r="Q112" s="502"/>
    </row>
    <row r="113" spans="1:17" s="469" customFormat="1" ht="15" thickTop="1">
      <c r="A113" s="591"/>
      <c r="B113" s="536" t="s">
        <v>2701</v>
      </c>
      <c r="C113" s="552"/>
      <c r="D113" s="552"/>
      <c r="E113" s="552"/>
      <c r="F113" s="552"/>
      <c r="G113" s="552"/>
      <c r="H113" s="581"/>
      <c r="I113" s="581"/>
      <c r="J113" s="581"/>
      <c r="K113" s="582"/>
      <c r="L113" s="583"/>
      <c r="M113" s="584"/>
      <c r="N113" s="1155"/>
      <c r="O113" s="1155"/>
      <c r="P113" s="268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7"/>
      <c r="Q114" s="557"/>
    </row>
    <row r="115" spans="1:17" ht="15" thickTop="1">
      <c r="A115" s="597"/>
      <c r="B115" s="536" t="s">
        <v>2618</v>
      </c>
      <c r="C115" s="552"/>
      <c r="D115" s="552"/>
      <c r="E115" s="581"/>
      <c r="F115" s="581"/>
      <c r="G115" s="581"/>
      <c r="H115" s="581"/>
      <c r="I115" s="581"/>
      <c r="J115" s="581"/>
      <c r="K115" s="582"/>
      <c r="L115" s="583"/>
      <c r="M115" s="584"/>
      <c r="N115" s="1153"/>
      <c r="O115" s="1153"/>
      <c r="P115" s="268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6"/>
      <c r="Q116" s="502"/>
    </row>
    <row r="117" spans="1:17" ht="15" thickTop="1">
      <c r="A117" s="597"/>
      <c r="B117" s="536" t="s">
        <v>2619</v>
      </c>
      <c r="C117" s="552"/>
      <c r="D117" s="552"/>
      <c r="E117" s="552"/>
      <c r="F117" s="552"/>
      <c r="G117" s="552"/>
      <c r="H117" s="581"/>
      <c r="I117" s="581"/>
      <c r="J117" s="581"/>
      <c r="K117" s="582"/>
      <c r="L117" s="583"/>
      <c r="M117" s="584"/>
      <c r="N117" s="1153"/>
      <c r="O117" s="1153"/>
      <c r="P117" s="268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6"/>
      <c r="Q118" s="502"/>
    </row>
    <row r="119" spans="1:17" ht="15" thickTop="1">
      <c r="A119" s="597"/>
      <c r="B119" s="634" t="s">
        <v>2702</v>
      </c>
      <c r="C119" s="581"/>
      <c r="D119" s="581"/>
      <c r="E119" s="581"/>
      <c r="F119" s="581"/>
      <c r="G119" s="581"/>
      <c r="H119" s="581"/>
      <c r="I119" s="581"/>
      <c r="J119" s="581"/>
      <c r="K119" s="581"/>
      <c r="L119" s="2691"/>
      <c r="M119" s="2692"/>
      <c r="N119" s="1154"/>
      <c r="O119" s="1154"/>
      <c r="P119" s="269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6"/>
      <c r="Q120" s="502"/>
    </row>
    <row r="121" spans="1:17" s="469" customFormat="1" ht="15" thickTop="1">
      <c r="A121" s="591"/>
      <c r="B121" s="536" t="s">
        <v>2685</v>
      </c>
      <c r="C121" s="552"/>
      <c r="D121" s="552"/>
      <c r="E121" s="552"/>
      <c r="F121" s="581"/>
      <c r="G121" s="553"/>
      <c r="H121" s="553"/>
      <c r="I121" s="553"/>
      <c r="J121" s="553"/>
      <c r="K121" s="553"/>
      <c r="L121" s="554"/>
      <c r="M121" s="555"/>
      <c r="N121" s="1155"/>
      <c r="O121" s="1155"/>
      <c r="P121" s="2687"/>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7"/>
      <c r="Q122" s="557"/>
    </row>
    <row r="123" spans="1:17" ht="15" thickTop="1">
      <c r="A123" s="597"/>
      <c r="B123" s="536" t="s">
        <v>2621</v>
      </c>
      <c r="C123" s="552"/>
      <c r="D123" s="552"/>
      <c r="E123" s="552"/>
      <c r="F123" s="581"/>
      <c r="G123" s="581"/>
      <c r="H123" s="581"/>
      <c r="I123" s="581"/>
      <c r="J123" s="581"/>
      <c r="K123" s="582"/>
      <c r="L123" s="583"/>
      <c r="M123" s="584"/>
      <c r="N123" s="1153"/>
      <c r="O123" s="1153"/>
      <c r="P123" s="268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6"/>
      <c r="Q124" s="502"/>
    </row>
    <row r="125" spans="1:17" ht="15" thickTop="1">
      <c r="A125" s="597"/>
      <c r="B125" s="536" t="s">
        <v>2622</v>
      </c>
      <c r="C125" s="576" t="s">
        <v>2598</v>
      </c>
      <c r="D125" s="576" t="s">
        <v>2599</v>
      </c>
      <c r="E125" s="576" t="s">
        <v>2600</v>
      </c>
      <c r="F125" s="576" t="s">
        <v>2601</v>
      </c>
      <c r="G125" s="576" t="s">
        <v>2602</v>
      </c>
      <c r="H125" s="537"/>
      <c r="I125" s="537"/>
      <c r="J125" s="537"/>
      <c r="K125" s="538"/>
      <c r="L125" s="539"/>
      <c r="M125" s="540"/>
      <c r="N125" s="1153"/>
      <c r="O125" s="1153"/>
      <c r="P125" s="268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6"/>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7"/>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7"/>
      <c r="Q128" s="557"/>
    </row>
    <row r="129" spans="1:17" ht="15" thickTop="1">
      <c r="A129" s="597"/>
      <c r="B129" s="536">
        <f>B46</f>
        <v>111</v>
      </c>
      <c r="C129" s="552"/>
      <c r="D129" s="552"/>
      <c r="E129" s="552"/>
      <c r="F129" s="552"/>
      <c r="G129" s="581"/>
      <c r="H129" s="581"/>
      <c r="I129" s="581"/>
      <c r="J129" s="581"/>
      <c r="K129" s="582"/>
      <c r="L129" s="583"/>
      <c r="M129" s="584"/>
      <c r="N129" s="1153"/>
      <c r="O129" s="1153"/>
      <c r="P129" s="2686"/>
      <c r="Q129" s="502"/>
    </row>
    <row r="130" spans="1:17" ht="15.75" thickBot="1">
      <c r="A130" s="532"/>
      <c r="B130" s="541"/>
      <c r="C130" s="558"/>
      <c r="D130" s="558"/>
      <c r="E130" s="558"/>
      <c r="F130" s="558"/>
      <c r="G130" s="534"/>
      <c r="H130" s="534"/>
      <c r="I130" s="534"/>
      <c r="J130" s="534"/>
      <c r="K130" s="534"/>
      <c r="L130" s="534"/>
      <c r="M130" s="535"/>
      <c r="N130" s="1154"/>
      <c r="O130" s="1154"/>
      <c r="P130" s="2686"/>
      <c r="Q130" s="502"/>
    </row>
    <row r="131" spans="1:17" ht="15" thickTop="1">
      <c r="A131" s="597"/>
      <c r="B131" s="544">
        <f>B47</f>
        <v>111</v>
      </c>
      <c r="C131" s="521"/>
      <c r="D131" s="521"/>
      <c r="E131" s="521"/>
      <c r="F131" s="521"/>
      <c r="G131" s="585"/>
      <c r="H131" s="585"/>
      <c r="I131" s="585"/>
      <c r="J131" s="585"/>
      <c r="K131" s="521"/>
      <c r="L131" s="522"/>
      <c r="M131" s="588"/>
      <c r="N131" s="1153"/>
      <c r="O131" s="1153"/>
      <c r="P131" s="2686"/>
      <c r="Q131" s="502"/>
    </row>
    <row r="132" spans="1:17" ht="15.75" thickBot="1">
      <c r="A132" s="2638"/>
      <c r="B132" s="567"/>
      <c r="C132" s="568"/>
      <c r="D132" s="568"/>
      <c r="E132" s="568"/>
      <c r="F132" s="568"/>
      <c r="G132" s="589"/>
      <c r="H132" s="589"/>
      <c r="I132" s="589"/>
      <c r="J132" s="589"/>
      <c r="K132" s="589"/>
      <c r="L132" s="589"/>
      <c r="M132" s="590"/>
      <c r="N132" s="1154"/>
      <c r="O132" s="1154"/>
      <c r="P132" s="2686"/>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2703</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8"/>
      <c r="D2" s="1125"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7" t="e">
        <f ca="1">IF(C2="——",C43,ROUND(B2*10000/D3,0))</f>
        <v>#DIV/0!</v>
      </c>
      <c r="C3" s="400" t="s">
        <v>2645</v>
      </c>
      <c r="D3" s="399">
        <f>IF(D1="",'数据-汇总表'!E3,SUMIF('数据-汇总表'!$C19:$C33,D1,'数据-汇总表'!$E19:$E33))</f>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76" t="s">
        <v>2647</v>
      </c>
      <c r="D4" s="3277"/>
      <c r="E4" s="3278" t="s">
        <v>2648</v>
      </c>
      <c r="F4" s="3279"/>
      <c r="G4" s="3276" t="s">
        <v>2649</v>
      </c>
      <c r="H4" s="3277"/>
      <c r="I4" s="3276" t="s">
        <v>2650</v>
      </c>
      <c r="J4" s="3277"/>
      <c r="K4" s="608" t="s">
        <v>2651</v>
      </c>
      <c r="L4" s="1131"/>
      <c r="M4" s="1132"/>
      <c r="N4" s="1132"/>
      <c r="O4" s="1132"/>
      <c r="P4" s="3280" t="s">
        <v>2652</v>
      </c>
      <c r="Q4" s="3281"/>
      <c r="R4" s="3263" t="s">
        <v>2648</v>
      </c>
      <c r="S4" s="3264"/>
      <c r="T4" s="3263" t="s">
        <v>2649</v>
      </c>
      <c r="U4" s="3264"/>
      <c r="V4" s="3260" t="s">
        <v>2650</v>
      </c>
      <c r="W4" s="3260"/>
      <c r="X4" s="1813"/>
      <c r="Y4" s="3263" t="s">
        <v>2652</v>
      </c>
      <c r="Z4" s="3264"/>
      <c r="AA4" s="3257" t="s">
        <v>2648</v>
      </c>
      <c r="AB4" s="3258" t="s">
        <v>2649</v>
      </c>
      <c r="AC4" s="3257" t="s">
        <v>2650</v>
      </c>
    </row>
    <row r="5" spans="1:29" ht="15">
      <c r="A5" s="404"/>
      <c r="B5" s="405"/>
      <c r="C5" s="3269" t="s">
        <v>2543</v>
      </c>
      <c r="D5" s="3270"/>
      <c r="E5" s="3267" t="s">
        <v>2544</v>
      </c>
      <c r="F5" s="3268"/>
      <c r="G5" s="3269" t="s">
        <v>2545</v>
      </c>
      <c r="H5" s="3270"/>
      <c r="I5" s="3269" t="s">
        <v>2546</v>
      </c>
      <c r="J5" s="3270"/>
      <c r="K5" s="608"/>
      <c r="L5" s="1131"/>
      <c r="M5" s="1132"/>
      <c r="N5" s="1132"/>
      <c r="O5" s="1132"/>
      <c r="P5" s="3282"/>
      <c r="Q5" s="3283"/>
      <c r="R5" s="3265"/>
      <c r="S5" s="3266"/>
      <c r="T5" s="3265"/>
      <c r="U5" s="3266"/>
      <c r="V5" s="3260"/>
      <c r="W5" s="3260"/>
      <c r="X5" s="1813"/>
      <c r="Y5" s="3265"/>
      <c r="Z5" s="3266"/>
      <c r="AA5" s="3258"/>
      <c r="AB5" s="3258"/>
      <c r="AC5" s="3258"/>
    </row>
    <row r="6" spans="1:29" ht="15.75" thickBot="1">
      <c r="A6" s="406"/>
      <c r="B6" s="407"/>
      <c r="C6" s="3271" t="s">
        <v>2547</v>
      </c>
      <c r="D6" s="3272"/>
      <c r="E6" s="3273" t="s">
        <v>2547</v>
      </c>
      <c r="F6" s="3274"/>
      <c r="G6" s="3271" t="s">
        <v>2547</v>
      </c>
      <c r="H6" s="3272"/>
      <c r="I6" s="3271" t="s">
        <v>2547</v>
      </c>
      <c r="J6" s="3272"/>
      <c r="K6" s="608" t="s">
        <v>2548</v>
      </c>
      <c r="L6" s="1131"/>
      <c r="M6" s="1132"/>
      <c r="N6" s="1132"/>
      <c r="O6" s="1132"/>
      <c r="P6" s="3284"/>
      <c r="Q6" s="3285"/>
      <c r="R6" s="3265"/>
      <c r="S6" s="3266"/>
      <c r="T6" s="3286"/>
      <c r="U6" s="3287"/>
      <c r="V6" s="3260"/>
      <c r="W6" s="3260"/>
      <c r="X6" s="1813"/>
      <c r="Y6" s="3286"/>
      <c r="Z6" s="3287"/>
      <c r="AA6" s="3259"/>
      <c r="AB6" s="3259"/>
      <c r="AC6" s="3259"/>
    </row>
    <row r="7" spans="1:29" s="117" customFormat="1" ht="15.75" thickBot="1">
      <c r="A7" s="408" t="s">
        <v>2549</v>
      </c>
      <c r="B7" s="409"/>
      <c r="C7" s="410">
        <f>'数据-取费表'!B2</f>
        <v>43397</v>
      </c>
      <c r="D7" s="411">
        <v>100</v>
      </c>
      <c r="E7" s="412"/>
      <c r="F7" s="413">
        <f>SUMIF(52:52,YEAR(E7)&amp;"-"&amp;MONTH(E7),53:53)</f>
        <v>0</v>
      </c>
      <c r="G7" s="412"/>
      <c r="H7" s="411">
        <f>SUMIF(52:52,YEAR(G7)&amp;"-"&amp;MONTH(G7),53:53)</f>
        <v>0</v>
      </c>
      <c r="I7" s="412"/>
      <c r="J7" s="411">
        <f>SUMIF(52:52,YEAR(I7)&amp;"-"&amp;MONTH(I7),53:53)</f>
        <v>0</v>
      </c>
      <c r="K7" s="609"/>
      <c r="L7" s="1133"/>
      <c r="M7" s="1134"/>
      <c r="N7" s="1134"/>
      <c r="O7" s="1134"/>
      <c r="P7" s="3261" t="s">
        <v>2550</v>
      </c>
      <c r="Q7" s="3288"/>
      <c r="R7" s="768" t="s">
        <v>17</v>
      </c>
      <c r="S7" s="769">
        <f t="shared" ref="S7:S15" si="0">F7</f>
        <v>0</v>
      </c>
      <c r="T7" s="768" t="s">
        <v>17</v>
      </c>
      <c r="U7" s="769">
        <f t="shared" ref="U7:U15" si="1">H7</f>
        <v>0</v>
      </c>
      <c r="V7" s="768" t="s">
        <v>17</v>
      </c>
      <c r="W7" s="769">
        <f t="shared" ref="W7:W15" si="2">J7</f>
        <v>0</v>
      </c>
      <c r="X7" s="770"/>
      <c r="Y7" s="3261" t="s">
        <v>2550</v>
      </c>
      <c r="Z7" s="3262"/>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09"/>
      <c r="L8" s="1133"/>
      <c r="M8" s="1134"/>
      <c r="N8" s="1134"/>
      <c r="O8" s="1134"/>
      <c r="P8" s="3261" t="s">
        <v>2553</v>
      </c>
      <c r="Q8" s="3262"/>
      <c r="R8" s="768" t="s">
        <v>17</v>
      </c>
      <c r="S8" s="769">
        <f t="shared" si="0"/>
        <v>0</v>
      </c>
      <c r="T8" s="768" t="s">
        <v>17</v>
      </c>
      <c r="U8" s="769">
        <f t="shared" si="1"/>
        <v>0</v>
      </c>
      <c r="V8" s="768" t="s">
        <v>17</v>
      </c>
      <c r="W8" s="769">
        <f t="shared" si="2"/>
        <v>0</v>
      </c>
      <c r="X8" s="770"/>
      <c r="Y8" s="3261" t="s">
        <v>2553</v>
      </c>
      <c r="Z8" s="3262"/>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09"/>
      <c r="L9" s="1133"/>
      <c r="M9" s="1134"/>
      <c r="N9" s="1134"/>
      <c r="O9" s="1135"/>
      <c r="P9" s="3298" t="s">
        <v>2556</v>
      </c>
      <c r="Q9" s="1795" t="str">
        <f t="shared" ref="Q9:Q15" si="6">B9</f>
        <v>用途</v>
      </c>
      <c r="R9" s="768" t="s">
        <v>17</v>
      </c>
      <c r="S9" s="769">
        <f t="shared" si="0"/>
        <v>100</v>
      </c>
      <c r="T9" s="768" t="s">
        <v>17</v>
      </c>
      <c r="U9" s="769">
        <f t="shared" si="1"/>
        <v>100</v>
      </c>
      <c r="V9" s="768" t="s">
        <v>17</v>
      </c>
      <c r="W9" s="769">
        <f t="shared" si="2"/>
        <v>100</v>
      </c>
      <c r="X9" s="770"/>
      <c r="Y9" s="3107"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0"/>
      <c r="L10" s="1136"/>
      <c r="M10" s="1137"/>
      <c r="N10" s="1137"/>
      <c r="O10" s="1138"/>
      <c r="P10" s="3298"/>
      <c r="Q10" s="1795" t="str">
        <f t="shared" si="6"/>
        <v>土地使用年限（年）</v>
      </c>
      <c r="R10" s="768" t="s">
        <v>17</v>
      </c>
      <c r="S10" s="769">
        <f t="shared" si="0"/>
        <v>100</v>
      </c>
      <c r="T10" s="768" t="s">
        <v>17</v>
      </c>
      <c r="U10" s="769">
        <f t="shared" si="1"/>
        <v>100</v>
      </c>
      <c r="V10" s="768" t="s">
        <v>17</v>
      </c>
      <c r="W10" s="769">
        <f t="shared" si="2"/>
        <v>100</v>
      </c>
      <c r="X10" s="770"/>
      <c r="Y10" s="3107"/>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0"/>
      <c r="L11" s="1139"/>
      <c r="M11" s="1132"/>
      <c r="N11" s="1132"/>
      <c r="O11" s="1140"/>
      <c r="P11" s="3298"/>
      <c r="Q11" s="1795" t="str">
        <f t="shared" si="6"/>
        <v>容积率</v>
      </c>
      <c r="R11" s="768" t="s">
        <v>17</v>
      </c>
      <c r="S11" s="769" t="e">
        <f t="shared" si="0"/>
        <v>#N/A</v>
      </c>
      <c r="T11" s="768" t="s">
        <v>17</v>
      </c>
      <c r="U11" s="769" t="e">
        <f t="shared" si="1"/>
        <v>#N/A</v>
      </c>
      <c r="V11" s="768" t="s">
        <v>17</v>
      </c>
      <c r="W11" s="769" t="e">
        <f t="shared" si="2"/>
        <v>#N/A</v>
      </c>
      <c r="X11" s="770"/>
      <c r="Y11" s="3107"/>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7"/>
      <c r="J12" s="136">
        <f>SUMIF(64:64,I12,65:65)-SUMIF(64:64,C12,65:65)+100</f>
        <v>100</v>
      </c>
      <c r="K12" s="611"/>
      <c r="L12" s="1133"/>
      <c r="M12" s="1134"/>
      <c r="N12" s="1134"/>
      <c r="O12" s="1135"/>
      <c r="P12" s="3298"/>
      <c r="Q12" s="1795">
        <f t="shared" si="6"/>
        <v>111</v>
      </c>
      <c r="R12" s="768" t="s">
        <v>17</v>
      </c>
      <c r="S12" s="769">
        <f t="shared" si="0"/>
        <v>100</v>
      </c>
      <c r="T12" s="768" t="s">
        <v>17</v>
      </c>
      <c r="U12" s="769">
        <f t="shared" si="1"/>
        <v>100</v>
      </c>
      <c r="V12" s="768" t="s">
        <v>17</v>
      </c>
      <c r="W12" s="769">
        <f t="shared" si="2"/>
        <v>100</v>
      </c>
      <c r="X12" s="770"/>
      <c r="Y12" s="3107"/>
      <c r="Z12" s="55">
        <f t="shared" si="7"/>
        <v>111</v>
      </c>
      <c r="AA12" s="771">
        <f>D12/F12</f>
        <v>1</v>
      </c>
      <c r="AB12" s="771">
        <f>D12/H12</f>
        <v>1</v>
      </c>
      <c r="AC12" s="771">
        <f>D12/J12</f>
        <v>1</v>
      </c>
    </row>
    <row r="13" spans="1:29" ht="15">
      <c r="A13" s="428"/>
      <c r="B13" s="2602">
        <v>111</v>
      </c>
      <c r="C13" s="434"/>
      <c r="D13" s="435">
        <v>100</v>
      </c>
      <c r="E13" s="434"/>
      <c r="F13" s="136">
        <f>SUMIF(66:66,E13,67:67)-SUMIF(66:66,C13,67:67)+100</f>
        <v>100</v>
      </c>
      <c r="G13" s="2694"/>
      <c r="H13" s="435">
        <f>SUMIF(66:66,G13,67:67)-SUMIF(66:66,C13,67:67)+100</f>
        <v>100</v>
      </c>
      <c r="I13" s="467"/>
      <c r="J13" s="435">
        <f>SUMIF(66:66,I13,67:67)-SUMIF(66:66,C13,67:67)+100</f>
        <v>100</v>
      </c>
      <c r="K13" s="611"/>
      <c r="L13" s="1141"/>
      <c r="M13" s="1132"/>
      <c r="N13" s="1132"/>
      <c r="O13" s="1140"/>
      <c r="P13" s="3298"/>
      <c r="Q13" s="1795">
        <f t="shared" si="6"/>
        <v>111</v>
      </c>
      <c r="R13" s="768" t="s">
        <v>17</v>
      </c>
      <c r="S13" s="769">
        <f t="shared" si="0"/>
        <v>100</v>
      </c>
      <c r="T13" s="768" t="s">
        <v>17</v>
      </c>
      <c r="U13" s="769">
        <f t="shared" si="1"/>
        <v>100</v>
      </c>
      <c r="V13" s="768" t="s">
        <v>17</v>
      </c>
      <c r="W13" s="769">
        <f t="shared" si="2"/>
        <v>100</v>
      </c>
      <c r="X13" s="770"/>
      <c r="Y13" s="3107"/>
      <c r="Z13" s="55">
        <f t="shared" si="7"/>
        <v>111</v>
      </c>
      <c r="AA13" s="771">
        <f t="shared" si="3"/>
        <v>1</v>
      </c>
      <c r="AB13" s="771">
        <f t="shared" si="4"/>
        <v>1</v>
      </c>
      <c r="AC13" s="771">
        <f t="shared" si="5"/>
        <v>1</v>
      </c>
    </row>
    <row r="14" spans="1:29" ht="15.75" thickBot="1">
      <c r="A14" s="436"/>
      <c r="B14" s="2604">
        <v>111</v>
      </c>
      <c r="C14" s="437"/>
      <c r="D14" s="438">
        <v>100</v>
      </c>
      <c r="E14" s="437"/>
      <c r="F14" s="438">
        <f>SUMIF(68:68,E14,69:69)-SUMIF(68:68,C14,69:69)+100</f>
        <v>100</v>
      </c>
      <c r="G14" s="2694"/>
      <c r="H14" s="438">
        <f>SUMIF(68:68,G14,69:69)-SUMIF(68:68,C14,69:69)+100</f>
        <v>100</v>
      </c>
      <c r="I14" s="467"/>
      <c r="J14" s="438">
        <f>SUMIF(68:68,I14,69:69)-SUMIF(68:68,C14,69:69)+100</f>
        <v>100</v>
      </c>
      <c r="K14" s="611"/>
      <c r="L14" s="1141"/>
      <c r="M14" s="1132"/>
      <c r="N14" s="1132"/>
      <c r="O14" s="1140"/>
      <c r="P14" s="3298"/>
      <c r="Q14" s="1795">
        <f t="shared" si="6"/>
        <v>111</v>
      </c>
      <c r="R14" s="768" t="s">
        <v>17</v>
      </c>
      <c r="S14" s="769">
        <f t="shared" si="0"/>
        <v>100</v>
      </c>
      <c r="T14" s="768" t="s">
        <v>17</v>
      </c>
      <c r="U14" s="769">
        <f t="shared" si="1"/>
        <v>100</v>
      </c>
      <c r="V14" s="768" t="s">
        <v>17</v>
      </c>
      <c r="W14" s="769">
        <f t="shared" si="2"/>
        <v>100</v>
      </c>
      <c r="X14" s="770"/>
      <c r="Y14" s="3107"/>
      <c r="Z14" s="55">
        <f t="shared" si="7"/>
        <v>111</v>
      </c>
      <c r="AA14" s="771">
        <f t="shared" si="3"/>
        <v>1</v>
      </c>
      <c r="AB14" s="771">
        <f t="shared" si="4"/>
        <v>1</v>
      </c>
      <c r="AC14" s="771">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2"/>
      <c r="L15" s="1141"/>
      <c r="M15" s="1132"/>
      <c r="N15" s="1132"/>
      <c r="O15" s="1140"/>
      <c r="P15" s="3291" t="s">
        <v>2561</v>
      </c>
      <c r="Q15" s="1810" t="str">
        <f t="shared" si="6"/>
        <v>产业集聚程度</v>
      </c>
      <c r="R15" s="772" t="s">
        <v>17</v>
      </c>
      <c r="S15" s="773">
        <f t="shared" si="0"/>
        <v>100</v>
      </c>
      <c r="T15" s="772" t="s">
        <v>17</v>
      </c>
      <c r="U15" s="773">
        <f t="shared" si="1"/>
        <v>100</v>
      </c>
      <c r="V15" s="772" t="s">
        <v>17</v>
      </c>
      <c r="W15" s="773">
        <f t="shared" si="2"/>
        <v>100</v>
      </c>
      <c r="X15" s="1813"/>
      <c r="Y15" s="3291"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40"/>
      <c r="P16" s="3292"/>
      <c r="Q16" s="1810"/>
      <c r="R16" s="772"/>
      <c r="S16" s="773"/>
      <c r="T16" s="772"/>
      <c r="U16" s="773"/>
      <c r="V16" s="772"/>
      <c r="W16" s="773"/>
      <c r="X16" s="1813"/>
      <c r="Y16" s="3292"/>
      <c r="Z16" s="1814"/>
      <c r="AA16" s="1811">
        <v>1</v>
      </c>
      <c r="AB16" s="1811">
        <v>1</v>
      </c>
      <c r="AC16" s="1811">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2"/>
      <c r="L17" s="1141"/>
      <c r="M17" s="1132"/>
      <c r="N17" s="1132"/>
      <c r="O17" s="1140"/>
      <c r="P17" s="3292"/>
      <c r="Q17" s="1810" t="str">
        <f>B17</f>
        <v>交通便捷度</v>
      </c>
      <c r="R17" s="772" t="s">
        <v>17</v>
      </c>
      <c r="S17" s="773">
        <f>F17</f>
        <v>100</v>
      </c>
      <c r="T17" s="772" t="s">
        <v>17</v>
      </c>
      <c r="U17" s="773">
        <f>H17</f>
        <v>100</v>
      </c>
      <c r="V17" s="772" t="s">
        <v>17</v>
      </c>
      <c r="W17" s="773">
        <f>J17</f>
        <v>100</v>
      </c>
      <c r="X17" s="1813"/>
      <c r="Y17" s="3292"/>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3"/>
      <c r="L18" s="1141"/>
      <c r="M18" s="1132"/>
      <c r="N18" s="1132"/>
      <c r="O18" s="1140"/>
      <c r="P18" s="3292"/>
      <c r="Q18" s="1810"/>
      <c r="R18" s="772"/>
      <c r="S18" s="773"/>
      <c r="T18" s="772"/>
      <c r="U18" s="773"/>
      <c r="V18" s="772"/>
      <c r="W18" s="773"/>
      <c r="X18" s="1813"/>
      <c r="Y18" s="3292"/>
      <c r="Z18" s="1814"/>
      <c r="AA18" s="1811">
        <v>1</v>
      </c>
      <c r="AB18" s="1811">
        <v>1</v>
      </c>
      <c r="AC18" s="1811">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2"/>
      <c r="L19" s="1141"/>
      <c r="M19" s="1132"/>
      <c r="N19" s="1132"/>
      <c r="O19" s="1140"/>
      <c r="P19" s="3292"/>
      <c r="Q19" s="1810" t="str">
        <f>B19</f>
        <v>公共配套设施</v>
      </c>
      <c r="R19" s="772" t="s">
        <v>17</v>
      </c>
      <c r="S19" s="773">
        <f>F19</f>
        <v>100</v>
      </c>
      <c r="T19" s="772" t="s">
        <v>17</v>
      </c>
      <c r="U19" s="773">
        <f>H19</f>
        <v>100</v>
      </c>
      <c r="V19" s="772" t="s">
        <v>17</v>
      </c>
      <c r="W19" s="773">
        <f>J19</f>
        <v>100</v>
      </c>
      <c r="X19" s="1813"/>
      <c r="Y19" s="3292"/>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3"/>
      <c r="L20" s="1141"/>
      <c r="M20" s="1132"/>
      <c r="N20" s="1132"/>
      <c r="O20" s="1140"/>
      <c r="P20" s="3292"/>
      <c r="Q20" s="1810"/>
      <c r="R20" s="772"/>
      <c r="S20" s="773"/>
      <c r="T20" s="772"/>
      <c r="U20" s="773"/>
      <c r="V20" s="772"/>
      <c r="W20" s="773"/>
      <c r="X20" s="1813"/>
      <c r="Y20" s="3292"/>
      <c r="Z20" s="1814"/>
      <c r="AA20" s="1811">
        <v>1</v>
      </c>
      <c r="AB20" s="1811">
        <v>1</v>
      </c>
      <c r="AC20" s="1811">
        <v>1</v>
      </c>
    </row>
    <row r="21" spans="1:29" ht="28.5">
      <c r="A21" s="428"/>
      <c r="B21" s="1385"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2"/>
      <c r="L21" s="1141"/>
      <c r="M21" s="1132"/>
      <c r="N21" s="1132"/>
      <c r="O21" s="1140"/>
      <c r="P21" s="3292"/>
      <c r="Q21" s="1810" t="str">
        <f>B21</f>
        <v>基础设施水平</v>
      </c>
      <c r="R21" s="772" t="s">
        <v>17</v>
      </c>
      <c r="S21" s="773">
        <f>F21</f>
        <v>100</v>
      </c>
      <c r="T21" s="772" t="s">
        <v>17</v>
      </c>
      <c r="U21" s="773">
        <f>H21</f>
        <v>100</v>
      </c>
      <c r="V21" s="772" t="s">
        <v>17</v>
      </c>
      <c r="W21" s="773">
        <f>J21</f>
        <v>100</v>
      </c>
      <c r="X21" s="1813"/>
      <c r="Y21" s="3292"/>
      <c r="Z21" s="1814" t="str">
        <f>Q21</f>
        <v>基础设施水平</v>
      </c>
      <c r="AA21" s="1811">
        <f t="shared" ref="AA21" si="8">D21/F21</f>
        <v>1</v>
      </c>
      <c r="AB21" s="1811">
        <f t="shared" ref="AB21" si="9">D21/H21</f>
        <v>1</v>
      </c>
      <c r="AC21" s="1811">
        <f t="shared" ref="AC21" si="10">D21/J21</f>
        <v>1</v>
      </c>
    </row>
    <row r="22" spans="1:29" ht="15">
      <c r="A22" s="428"/>
      <c r="B22" s="1385"/>
      <c r="C22" s="2610"/>
      <c r="D22" s="448"/>
      <c r="E22" s="447"/>
      <c r="F22" s="449"/>
      <c r="G22" s="447"/>
      <c r="H22" s="448"/>
      <c r="I22" s="447"/>
      <c r="J22" s="448"/>
      <c r="K22" s="1384"/>
      <c r="L22" s="1141"/>
      <c r="M22" s="1132"/>
      <c r="N22" s="1132"/>
      <c r="O22" s="1140"/>
      <c r="P22" s="3292"/>
      <c r="Q22" s="1810"/>
      <c r="R22" s="772"/>
      <c r="S22" s="773"/>
      <c r="T22" s="772"/>
      <c r="U22" s="773"/>
      <c r="V22" s="772"/>
      <c r="W22" s="773"/>
      <c r="X22" s="1813"/>
      <c r="Y22" s="3292"/>
      <c r="Z22" s="1814"/>
      <c r="AA22" s="1811">
        <v>1</v>
      </c>
      <c r="AB22" s="1811">
        <v>1</v>
      </c>
      <c r="AC22" s="1811">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2"/>
      <c r="L23" s="1141"/>
      <c r="M23" s="1132"/>
      <c r="N23" s="1132"/>
      <c r="O23" s="1140"/>
      <c r="P23" s="3292"/>
      <c r="Q23" s="1810" t="str">
        <f>B23</f>
        <v>环境质量</v>
      </c>
      <c r="R23" s="772" t="s">
        <v>17</v>
      </c>
      <c r="S23" s="773">
        <f>F23</f>
        <v>100</v>
      </c>
      <c r="T23" s="772" t="s">
        <v>17</v>
      </c>
      <c r="U23" s="773">
        <f>H23</f>
        <v>100</v>
      </c>
      <c r="V23" s="772" t="s">
        <v>17</v>
      </c>
      <c r="W23" s="773">
        <f>J23</f>
        <v>100</v>
      </c>
      <c r="X23" s="1813"/>
      <c r="Y23" s="3292"/>
      <c r="Z23" s="1814" t="str">
        <f>Q23</f>
        <v>环境质量</v>
      </c>
      <c r="AA23" s="1811">
        <f t="shared" si="3"/>
        <v>1</v>
      </c>
      <c r="AB23" s="1811">
        <f t="shared" si="4"/>
        <v>1</v>
      </c>
      <c r="AC23" s="1811">
        <f t="shared" si="5"/>
        <v>1</v>
      </c>
    </row>
    <row r="24" spans="1:29" ht="15">
      <c r="A24" s="428"/>
      <c r="B24" s="1385"/>
      <c r="C24" s="447"/>
      <c r="D24" s="448"/>
      <c r="E24" s="2607"/>
      <c r="F24" s="449"/>
      <c r="G24" s="2606"/>
      <c r="H24" s="448"/>
      <c r="I24" s="2607"/>
      <c r="J24" s="448"/>
      <c r="K24" s="613"/>
      <c r="L24" s="1141"/>
      <c r="M24" s="1132"/>
      <c r="N24" s="1132"/>
      <c r="O24" s="1140"/>
      <c r="P24" s="3292"/>
      <c r="Q24" s="1810"/>
      <c r="R24" s="772"/>
      <c r="S24" s="773"/>
      <c r="T24" s="772"/>
      <c r="U24" s="773"/>
      <c r="V24" s="772"/>
      <c r="W24" s="773"/>
      <c r="X24" s="1813"/>
      <c r="Y24" s="3292"/>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1"/>
      <c r="L25" s="1141"/>
      <c r="M25" s="1132"/>
      <c r="N25" s="1132"/>
      <c r="O25" s="1140"/>
      <c r="P25" s="3292"/>
      <c r="Q25" s="1810">
        <f>B25</f>
        <v>111</v>
      </c>
      <c r="R25" s="772" t="s">
        <v>17</v>
      </c>
      <c r="S25" s="773">
        <f>F25</f>
        <v>100</v>
      </c>
      <c r="T25" s="772" t="s">
        <v>17</v>
      </c>
      <c r="U25" s="773">
        <f>H25</f>
        <v>100</v>
      </c>
      <c r="V25" s="772" t="s">
        <v>17</v>
      </c>
      <c r="W25" s="773">
        <f>J25</f>
        <v>100</v>
      </c>
      <c r="X25" s="1813"/>
      <c r="Y25" s="3292"/>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1"/>
      <c r="L26" s="1141"/>
      <c r="M26" s="1132"/>
      <c r="N26" s="1132"/>
      <c r="O26" s="1140"/>
      <c r="P26" s="3292"/>
      <c r="Q26" s="1810">
        <f t="shared" ref="Q26:Q40" si="11">B26</f>
        <v>111</v>
      </c>
      <c r="R26" s="772" t="s">
        <v>17</v>
      </c>
      <c r="S26" s="773">
        <f>F26</f>
        <v>100</v>
      </c>
      <c r="T26" s="772" t="s">
        <v>17</v>
      </c>
      <c r="U26" s="773">
        <f>H26</f>
        <v>100</v>
      </c>
      <c r="V26" s="772" t="s">
        <v>17</v>
      </c>
      <c r="W26" s="773">
        <f>J26</f>
        <v>100</v>
      </c>
      <c r="X26" s="1813"/>
      <c r="Y26" s="3292"/>
      <c r="Z26" s="1814">
        <f>Q26</f>
        <v>111</v>
      </c>
      <c r="AA26" s="1811">
        <f t="shared" si="3"/>
        <v>1</v>
      </c>
      <c r="AB26" s="1811">
        <f t="shared" si="4"/>
        <v>1</v>
      </c>
      <c r="AC26" s="1811">
        <f t="shared" si="5"/>
        <v>1</v>
      </c>
    </row>
    <row r="27" spans="1:29" s="117" customFormat="1" ht="15">
      <c r="A27" s="431"/>
      <c r="B27" s="1387">
        <v>111</v>
      </c>
      <c r="C27" s="434">
        <v>111</v>
      </c>
      <c r="D27" s="462">
        <v>100</v>
      </c>
      <c r="E27" s="434"/>
      <c r="F27" s="463">
        <f>SUMIF(84:84,E27,85:85)-SUMIF(84:84,C27,85:85)+100</f>
        <v>100</v>
      </c>
      <c r="G27" s="434"/>
      <c r="H27" s="462">
        <f>SUMIF(84:84,G27,85:85)-SUMIF(84:84,C27,85:85)+100</f>
        <v>100</v>
      </c>
      <c r="I27" s="434"/>
      <c r="J27" s="462">
        <f>SUMIF(84:84,I27,85:85)-SUMIF(84:84,C27,85:85)+100</f>
        <v>100</v>
      </c>
      <c r="K27" s="611"/>
      <c r="L27" s="1133"/>
      <c r="M27" s="1134"/>
      <c r="N27" s="1134"/>
      <c r="O27" s="1135"/>
      <c r="P27" s="3292"/>
      <c r="Q27" s="1795">
        <f t="shared" si="11"/>
        <v>111</v>
      </c>
      <c r="R27" s="768" t="s">
        <v>17</v>
      </c>
      <c r="S27" s="769">
        <f>F27</f>
        <v>100</v>
      </c>
      <c r="T27" s="768" t="s">
        <v>17</v>
      </c>
      <c r="U27" s="769">
        <f>H27</f>
        <v>100</v>
      </c>
      <c r="V27" s="768" t="s">
        <v>17</v>
      </c>
      <c r="W27" s="769">
        <f>J27</f>
        <v>100</v>
      </c>
      <c r="X27" s="770"/>
      <c r="Y27" s="3292"/>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7"/>
      <c r="H28" s="438">
        <f>SUMIF(86:86,G28,87:87)-SUMIF(86:86,C28,87:87)+100</f>
        <v>100</v>
      </c>
      <c r="I28" s="467"/>
      <c r="J28" s="438">
        <f>SUMIF(86:86,I28,87:87)-SUMIF(86:86,C28,87:87)+100</f>
        <v>100</v>
      </c>
      <c r="K28" s="611"/>
      <c r="L28" s="1141"/>
      <c r="M28" s="1132"/>
      <c r="N28" s="1132"/>
      <c r="O28" s="1140"/>
      <c r="P28" s="3292"/>
      <c r="Q28" s="1810">
        <f t="shared" si="11"/>
        <v>111</v>
      </c>
      <c r="R28" s="772" t="s">
        <v>17</v>
      </c>
      <c r="S28" s="773">
        <f t="shared" ref="S28:S40" si="12">F28</f>
        <v>100</v>
      </c>
      <c r="T28" s="772" t="s">
        <v>17</v>
      </c>
      <c r="U28" s="773">
        <f t="shared" ref="U28:U40" si="13">H28</f>
        <v>100</v>
      </c>
      <c r="V28" s="772" t="s">
        <v>17</v>
      </c>
      <c r="W28" s="773">
        <f t="shared" ref="W28:W40" si="14">J28</f>
        <v>100</v>
      </c>
      <c r="X28" s="1813"/>
      <c r="Y28" s="3292"/>
      <c r="Z28" s="1814">
        <f t="shared" ref="Z28:Z40" si="15">Q28</f>
        <v>111</v>
      </c>
      <c r="AA28" s="1811">
        <f t="shared" si="3"/>
        <v>1</v>
      </c>
      <c r="AB28" s="1811">
        <f t="shared" si="4"/>
        <v>1</v>
      </c>
      <c r="AC28" s="1811">
        <f t="shared" si="5"/>
        <v>1</v>
      </c>
    </row>
    <row r="29" spans="1:29" ht="15">
      <c r="A29" s="464" t="s">
        <v>2564</v>
      </c>
      <c r="B29" s="71" t="s">
        <v>2694</v>
      </c>
      <c r="C29" s="2681"/>
      <c r="D29" s="465">
        <v>100</v>
      </c>
      <c r="E29" s="2681"/>
      <c r="F29" s="461">
        <f>SUMIF(88:88,E29,89:89)-SUMIF(88:88,C29,89:89)+100</f>
        <v>100</v>
      </c>
      <c r="G29" s="2681"/>
      <c r="H29" s="435">
        <f>SUMIF(88:88,G29,89:89)-SUMIF(88:88,C29,89:89)+100</f>
        <v>100</v>
      </c>
      <c r="I29" s="2681"/>
      <c r="J29" s="465">
        <f>SUMIF(88:88,I29,89:89)-SUMIF(88:88,C29,89:89)+100</f>
        <v>100</v>
      </c>
      <c r="K29" s="610"/>
      <c r="L29" s="1141"/>
      <c r="M29" s="1132"/>
      <c r="N29" s="1132"/>
      <c r="O29" s="1140"/>
      <c r="P29" s="3318" t="s">
        <v>2566</v>
      </c>
      <c r="Q29" s="1810" t="str">
        <f t="shared" si="11"/>
        <v>建筑类型</v>
      </c>
      <c r="R29" s="772" t="s">
        <v>17</v>
      </c>
      <c r="S29" s="773">
        <f t="shared" si="12"/>
        <v>100</v>
      </c>
      <c r="T29" s="772" t="s">
        <v>17</v>
      </c>
      <c r="U29" s="773">
        <f t="shared" si="13"/>
        <v>100</v>
      </c>
      <c r="V29" s="772" t="s">
        <v>17</v>
      </c>
      <c r="W29" s="773">
        <f t="shared" si="14"/>
        <v>100</v>
      </c>
      <c r="X29" s="1813"/>
      <c r="Y29" s="3296" t="s">
        <v>2566</v>
      </c>
      <c r="Z29" s="1814" t="str">
        <f t="shared" si="15"/>
        <v>建筑类型</v>
      </c>
      <c r="AA29" s="1811">
        <f t="shared" si="3"/>
        <v>1</v>
      </c>
      <c r="AB29" s="1811">
        <f t="shared" si="4"/>
        <v>1</v>
      </c>
      <c r="AC29" s="1811">
        <f t="shared" si="5"/>
        <v>1</v>
      </c>
    </row>
    <row r="30" spans="1:29" s="469" customFormat="1" ht="15">
      <c r="A30" s="466"/>
      <c r="B30" s="422" t="s">
        <v>2567</v>
      </c>
      <c r="C30" s="467"/>
      <c r="D30" s="136">
        <v>100</v>
      </c>
      <c r="E30" s="430"/>
      <c r="F30" s="425" t="e">
        <f>LOOKUP(E30,91:91,92:92)-LOOKUP(C30,91:91,92:92)+100</f>
        <v>#N/A</v>
      </c>
      <c r="G30" s="429"/>
      <c r="H30" s="136" t="e">
        <f>LOOKUP(G30,91:91,92:92)-LOOKUP(C30,91:91,92:92)+100</f>
        <v>#N/A</v>
      </c>
      <c r="I30" s="429"/>
      <c r="J30" s="136" t="e">
        <f>LOOKUP(I30,91:91,92:92)-LOOKUP(C30,91:91,92:92)+100</f>
        <v>#N/A</v>
      </c>
      <c r="K30" s="611"/>
      <c r="L30" s="1139"/>
      <c r="M30" s="1142"/>
      <c r="N30" s="1142"/>
      <c r="O30" s="1143"/>
      <c r="P30" s="3296"/>
      <c r="Q30" s="774" t="str">
        <f t="shared" si="11"/>
        <v>项目建筑规模</v>
      </c>
      <c r="R30" s="775" t="s">
        <v>17</v>
      </c>
      <c r="S30" s="776" t="e">
        <f t="shared" si="12"/>
        <v>#N/A</v>
      </c>
      <c r="T30" s="775" t="s">
        <v>17</v>
      </c>
      <c r="U30" s="776" t="e">
        <f t="shared" si="13"/>
        <v>#N/A</v>
      </c>
      <c r="V30" s="775" t="s">
        <v>17</v>
      </c>
      <c r="W30" s="776" t="e">
        <f t="shared" si="14"/>
        <v>#N/A</v>
      </c>
      <c r="X30" s="777"/>
      <c r="Y30" s="3296"/>
      <c r="Z30" s="778" t="str">
        <f t="shared" si="15"/>
        <v>项目建筑规模</v>
      </c>
      <c r="AA30" s="1811" t="e">
        <f t="shared" si="3"/>
        <v>#N/A</v>
      </c>
      <c r="AB30" s="1811" t="e">
        <f t="shared" si="4"/>
        <v>#N/A</v>
      </c>
      <c r="AC30" s="1811" t="e">
        <f t="shared" si="5"/>
        <v>#N/A</v>
      </c>
    </row>
    <row r="31" spans="1:29" ht="15">
      <c r="A31" s="470"/>
      <c r="B31" s="422" t="s">
        <v>2568</v>
      </c>
      <c r="C31" s="460"/>
      <c r="D31" s="435">
        <v>100</v>
      </c>
      <c r="E31" s="460"/>
      <c r="F31" s="461">
        <f>SUMIF(93:93,E31,94:94)-SUMIF(93:93,C31,94:94)+100</f>
        <v>100</v>
      </c>
      <c r="G31" s="460"/>
      <c r="H31" s="435">
        <f>SUMIF(93:93,G31,94:94)-SUMIF(93:93,C31,94:94)+100</f>
        <v>100</v>
      </c>
      <c r="I31" s="460"/>
      <c r="J31" s="435">
        <f>SUMIF(93:93,I31,94:94)-SUMIF(93:93,C31,94:94)+100</f>
        <v>100</v>
      </c>
      <c r="K31" s="610"/>
      <c r="L31" s="1141"/>
      <c r="M31" s="1132"/>
      <c r="N31" s="1132"/>
      <c r="O31" s="1140"/>
      <c r="P31" s="3296"/>
      <c r="Q31" s="1810" t="str">
        <f t="shared" si="11"/>
        <v>建筑结构</v>
      </c>
      <c r="R31" s="772" t="s">
        <v>17</v>
      </c>
      <c r="S31" s="773">
        <f t="shared" si="12"/>
        <v>100</v>
      </c>
      <c r="T31" s="772" t="s">
        <v>17</v>
      </c>
      <c r="U31" s="773">
        <f t="shared" si="13"/>
        <v>100</v>
      </c>
      <c r="V31" s="772" t="s">
        <v>17</v>
      </c>
      <c r="W31" s="773">
        <f t="shared" si="14"/>
        <v>100</v>
      </c>
      <c r="X31" s="1813"/>
      <c r="Y31" s="3296"/>
      <c r="Z31" s="1814" t="str">
        <f t="shared" si="15"/>
        <v>建筑结构</v>
      </c>
      <c r="AA31" s="1811">
        <f t="shared" si="3"/>
        <v>1</v>
      </c>
      <c r="AB31" s="1811">
        <f t="shared" si="4"/>
        <v>1</v>
      </c>
      <c r="AC31" s="1811">
        <f t="shared" si="5"/>
        <v>1</v>
      </c>
    </row>
    <row r="32" spans="1:29" ht="15">
      <c r="A32" s="470"/>
      <c r="B32" s="422" t="s">
        <v>2662</v>
      </c>
      <c r="C32" s="460"/>
      <c r="D32" s="435">
        <v>100</v>
      </c>
      <c r="E32" s="460"/>
      <c r="F32" s="461">
        <f>SUMIF(95:95,E32,96:96)-SUMIF(95:95,C32,96:96)+100</f>
        <v>100</v>
      </c>
      <c r="G32" s="460"/>
      <c r="H32" s="435">
        <f>SUMIF(95:95,G32,96:96)-SUMIF(95:95,C32,96:96)+100</f>
        <v>100</v>
      </c>
      <c r="I32" s="460"/>
      <c r="J32" s="435">
        <f>SUMIF(95:95,I32,96:96)-SUMIF(95:95,C32,96:96)+100</f>
        <v>100</v>
      </c>
      <c r="K32" s="610"/>
      <c r="L32" s="1141"/>
      <c r="M32" s="1132"/>
      <c r="N32" s="1132"/>
      <c r="O32" s="1140"/>
      <c r="P32" s="3296"/>
      <c r="Q32" s="1810" t="str">
        <f t="shared" si="11"/>
        <v>公共部分装修</v>
      </c>
      <c r="R32" s="772" t="s">
        <v>17</v>
      </c>
      <c r="S32" s="773">
        <f t="shared" si="12"/>
        <v>100</v>
      </c>
      <c r="T32" s="772" t="s">
        <v>17</v>
      </c>
      <c r="U32" s="773">
        <f t="shared" si="13"/>
        <v>100</v>
      </c>
      <c r="V32" s="772" t="s">
        <v>17</v>
      </c>
      <c r="W32" s="773">
        <f t="shared" si="14"/>
        <v>100</v>
      </c>
      <c r="X32" s="1813"/>
      <c r="Y32" s="3296"/>
      <c r="Z32" s="1814" t="str">
        <f t="shared" si="15"/>
        <v>公共部分装修</v>
      </c>
      <c r="AA32" s="1811">
        <f t="shared" si="3"/>
        <v>1</v>
      </c>
      <c r="AB32" s="1811">
        <f t="shared" si="4"/>
        <v>1</v>
      </c>
      <c r="AC32" s="1811">
        <f t="shared" si="5"/>
        <v>1</v>
      </c>
    </row>
    <row r="33" spans="1:29" ht="15">
      <c r="A33" s="470"/>
      <c r="B33" s="422" t="s">
        <v>2663</v>
      </c>
      <c r="C33" s="467"/>
      <c r="D33" s="435">
        <v>100</v>
      </c>
      <c r="E33" s="472"/>
      <c r="F33" s="461" t="e">
        <f>LOOKUP(E33,98:98,99:99)-LOOKUP(C33,98:98,99:99)+100</f>
        <v>#N/A</v>
      </c>
      <c r="G33" s="472"/>
      <c r="H33" s="461" t="e">
        <f>LOOKUP(G33,98:98,99:99)-LOOKUP(C33,98:98,99:99)+100</f>
        <v>#N/A</v>
      </c>
      <c r="I33" s="472"/>
      <c r="J33" s="435" t="e">
        <f>LOOKUP(I33,98:98,99:99)-LOOKUP(C33,98:98,99:99)+100</f>
        <v>#N/A</v>
      </c>
      <c r="K33" s="610"/>
      <c r="L33" s="1141"/>
      <c r="M33" s="1132"/>
      <c r="N33" s="1132"/>
      <c r="O33" s="1140"/>
      <c r="P33" s="3296"/>
      <c r="Q33" s="1810" t="str">
        <f t="shared" si="11"/>
        <v>成新度</v>
      </c>
      <c r="R33" s="772" t="s">
        <v>17</v>
      </c>
      <c r="S33" s="773" t="e">
        <f t="shared" si="12"/>
        <v>#N/A</v>
      </c>
      <c r="T33" s="772" t="s">
        <v>17</v>
      </c>
      <c r="U33" s="773" t="e">
        <f t="shared" si="13"/>
        <v>#N/A</v>
      </c>
      <c r="V33" s="772" t="s">
        <v>17</v>
      </c>
      <c r="W33" s="773" t="e">
        <f t="shared" si="14"/>
        <v>#N/A</v>
      </c>
      <c r="X33" s="1813"/>
      <c r="Y33" s="3296"/>
      <c r="Z33" s="1814" t="str">
        <f t="shared" si="15"/>
        <v>成新度</v>
      </c>
      <c r="AA33" s="1811" t="e">
        <f t="shared" si="3"/>
        <v>#N/A</v>
      </c>
      <c r="AB33" s="1811" t="e">
        <f t="shared" si="4"/>
        <v>#N/A</v>
      </c>
      <c r="AC33" s="1811" t="e">
        <f t="shared" si="5"/>
        <v>#N/A</v>
      </c>
    </row>
    <row r="34" spans="1:29" s="117" customFormat="1" ht="15">
      <c r="A34" s="471"/>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0"/>
      <c r="L34" s="1133"/>
      <c r="M34" s="1134"/>
      <c r="N34" s="1134"/>
      <c r="O34" s="1135"/>
      <c r="P34" s="3296"/>
      <c r="Q34" s="1795" t="str">
        <f t="shared" si="11"/>
        <v>物业管理</v>
      </c>
      <c r="R34" s="768" t="s">
        <v>17</v>
      </c>
      <c r="S34" s="769">
        <f t="shared" si="12"/>
        <v>100</v>
      </c>
      <c r="T34" s="768" t="s">
        <v>17</v>
      </c>
      <c r="U34" s="769">
        <f t="shared" si="13"/>
        <v>100</v>
      </c>
      <c r="V34" s="768" t="s">
        <v>17</v>
      </c>
      <c r="W34" s="769">
        <f t="shared" si="14"/>
        <v>100</v>
      </c>
      <c r="X34" s="770"/>
      <c r="Y34" s="3296"/>
      <c r="Z34" s="55" t="str">
        <f t="shared" si="15"/>
        <v>物业管理</v>
      </c>
      <c r="AA34" s="771">
        <f t="shared" si="3"/>
        <v>1</v>
      </c>
      <c r="AB34" s="771">
        <f t="shared" si="4"/>
        <v>1</v>
      </c>
      <c r="AC34" s="771">
        <f t="shared" si="5"/>
        <v>1</v>
      </c>
    </row>
    <row r="35" spans="1:29" ht="15">
      <c r="A35" s="470"/>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0"/>
      <c r="L35" s="1141"/>
      <c r="M35" s="1132"/>
      <c r="N35" s="1132"/>
      <c r="O35" s="1140"/>
      <c r="P35" s="3296" t="s">
        <v>2566</v>
      </c>
      <c r="Q35" s="1810" t="str">
        <f t="shared" si="11"/>
        <v>市政基础设施</v>
      </c>
      <c r="R35" s="772" t="s">
        <v>17</v>
      </c>
      <c r="S35" s="773">
        <f t="shared" si="12"/>
        <v>100</v>
      </c>
      <c r="T35" s="772" t="s">
        <v>17</v>
      </c>
      <c r="U35" s="773">
        <f t="shared" si="13"/>
        <v>100</v>
      </c>
      <c r="V35" s="772" t="s">
        <v>17</v>
      </c>
      <c r="W35" s="773">
        <f t="shared" si="14"/>
        <v>100</v>
      </c>
      <c r="X35" s="1813"/>
      <c r="Y35" s="3296" t="s">
        <v>2566</v>
      </c>
      <c r="Z35" s="1814" t="str">
        <f t="shared" si="15"/>
        <v>市政基础设施</v>
      </c>
      <c r="AA35" s="1811">
        <f t="shared" si="3"/>
        <v>1</v>
      </c>
      <c r="AB35" s="1811">
        <f t="shared" si="4"/>
        <v>1</v>
      </c>
      <c r="AC35" s="1811">
        <f t="shared" si="5"/>
        <v>1</v>
      </c>
    </row>
    <row r="36" spans="1:29" ht="15">
      <c r="A36" s="470"/>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0"/>
      <c r="L36" s="1141"/>
      <c r="M36" s="1132"/>
      <c r="N36" s="1132"/>
      <c r="O36" s="1140"/>
      <c r="P36" s="3296"/>
      <c r="Q36" s="1810" t="str">
        <f t="shared" si="11"/>
        <v>内部装修</v>
      </c>
      <c r="R36" s="772" t="s">
        <v>17</v>
      </c>
      <c r="S36" s="773">
        <f t="shared" si="12"/>
        <v>100</v>
      </c>
      <c r="T36" s="772" t="s">
        <v>17</v>
      </c>
      <c r="U36" s="773">
        <f t="shared" si="13"/>
        <v>100</v>
      </c>
      <c r="V36" s="772" t="s">
        <v>17</v>
      </c>
      <c r="W36" s="773">
        <f t="shared" si="14"/>
        <v>100</v>
      </c>
      <c r="X36" s="1813"/>
      <c r="Y36" s="3296"/>
      <c r="Z36" s="1814" t="str">
        <f t="shared" si="15"/>
        <v>内部装修</v>
      </c>
      <c r="AA36" s="1811">
        <f t="shared" si="3"/>
        <v>1</v>
      </c>
      <c r="AB36" s="1811">
        <f t="shared" si="4"/>
        <v>1</v>
      </c>
      <c r="AC36" s="1811">
        <f t="shared" si="5"/>
        <v>1</v>
      </c>
    </row>
    <row r="37" spans="1:29" ht="15">
      <c r="A37" s="470"/>
      <c r="B37" s="422" t="s">
        <v>2705</v>
      </c>
      <c r="C37" s="614"/>
      <c r="D37" s="435">
        <v>100</v>
      </c>
      <c r="E37" s="614"/>
      <c r="F37" s="461">
        <f>SUMIF(106:106,E37,107:107)-SUMIF(106:106,C37,107:107)+100</f>
        <v>100</v>
      </c>
      <c r="G37" s="614"/>
      <c r="H37" s="435">
        <f>SUMIF(106:106,G37,107:107)-SUMIF(106:106,C37,107:107)+100</f>
        <v>100</v>
      </c>
      <c r="I37" s="614"/>
      <c r="J37" s="435">
        <f>SUMIF(106:106,I37,107:107)-SUMIF(106:106,C37,107:107)+100</f>
        <v>100</v>
      </c>
      <c r="K37" s="610"/>
      <c r="L37" s="1141"/>
      <c r="M37" s="1132"/>
      <c r="N37" s="1132"/>
      <c r="O37" s="1140"/>
      <c r="P37" s="3296"/>
      <c r="Q37" s="1810" t="str">
        <f t="shared" si="11"/>
        <v>内部装修状况</v>
      </c>
      <c r="R37" s="772" t="s">
        <v>17</v>
      </c>
      <c r="S37" s="773">
        <f t="shared" si="12"/>
        <v>100</v>
      </c>
      <c r="T37" s="772" t="s">
        <v>17</v>
      </c>
      <c r="U37" s="773">
        <f t="shared" si="13"/>
        <v>100</v>
      </c>
      <c r="V37" s="772" t="s">
        <v>17</v>
      </c>
      <c r="W37" s="773">
        <f t="shared" si="14"/>
        <v>100</v>
      </c>
      <c r="X37" s="1813"/>
      <c r="Y37" s="3296"/>
      <c r="Z37" s="1814" t="str">
        <f t="shared" si="15"/>
        <v>内部装修状况</v>
      </c>
      <c r="AA37" s="1811">
        <f t="shared" si="3"/>
        <v>1</v>
      </c>
      <c r="AB37" s="1811">
        <f t="shared" si="4"/>
        <v>1</v>
      </c>
      <c r="AC37" s="1811">
        <f t="shared" si="5"/>
        <v>1</v>
      </c>
    </row>
    <row r="38" spans="1:29" s="469" customFormat="1" ht="15">
      <c r="A38" s="466"/>
      <c r="B38" s="138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11"/>
      <c r="L38" s="1139"/>
      <c r="M38" s="1142"/>
      <c r="N38" s="1142"/>
      <c r="O38" s="1143"/>
      <c r="P38" s="3296"/>
      <c r="Q38" s="774">
        <f t="shared" si="11"/>
        <v>111</v>
      </c>
      <c r="R38" s="775" t="s">
        <v>17</v>
      </c>
      <c r="S38" s="776">
        <f t="shared" si="12"/>
        <v>100</v>
      </c>
      <c r="T38" s="775" t="s">
        <v>17</v>
      </c>
      <c r="U38" s="776">
        <f t="shared" si="13"/>
        <v>100</v>
      </c>
      <c r="V38" s="775" t="s">
        <v>17</v>
      </c>
      <c r="W38" s="776">
        <f t="shared" si="14"/>
        <v>100</v>
      </c>
      <c r="X38" s="777"/>
      <c r="Y38" s="3296"/>
      <c r="Z38" s="778">
        <f t="shared" si="15"/>
        <v>111</v>
      </c>
      <c r="AA38" s="1811">
        <f t="shared" si="3"/>
        <v>1</v>
      </c>
      <c r="AB38" s="1811">
        <f t="shared" si="4"/>
        <v>1</v>
      </c>
      <c r="AC38" s="1811">
        <f t="shared" si="5"/>
        <v>1</v>
      </c>
    </row>
    <row r="39" spans="1:29" ht="15">
      <c r="A39" s="470"/>
      <c r="B39" s="138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11"/>
      <c r="L39" s="1141"/>
      <c r="M39" s="1132"/>
      <c r="N39" s="1132"/>
      <c r="O39" s="1140"/>
      <c r="P39" s="3296"/>
      <c r="Q39" s="1810">
        <f t="shared" si="11"/>
        <v>111</v>
      </c>
      <c r="R39" s="772" t="s">
        <v>17</v>
      </c>
      <c r="S39" s="773">
        <f t="shared" si="12"/>
        <v>100</v>
      </c>
      <c r="T39" s="772" t="s">
        <v>17</v>
      </c>
      <c r="U39" s="773">
        <f t="shared" si="13"/>
        <v>100</v>
      </c>
      <c r="V39" s="772" t="s">
        <v>17</v>
      </c>
      <c r="W39" s="773">
        <f t="shared" si="14"/>
        <v>100</v>
      </c>
      <c r="X39" s="1813"/>
      <c r="Y39" s="3296"/>
      <c r="Z39" s="1814">
        <f t="shared" si="15"/>
        <v>111</v>
      </c>
      <c r="AA39" s="1811">
        <f t="shared" si="3"/>
        <v>1</v>
      </c>
      <c r="AB39" s="1811">
        <f t="shared" si="4"/>
        <v>1</v>
      </c>
      <c r="AC39" s="1811">
        <f t="shared" si="5"/>
        <v>1</v>
      </c>
    </row>
    <row r="40" spans="1:29" ht="15.75" thickBot="1">
      <c r="A40" s="476"/>
      <c r="B40" s="2604">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11"/>
      <c r="L40" s="1141"/>
      <c r="M40" s="1132"/>
      <c r="N40" s="1132"/>
      <c r="O40" s="1140"/>
      <c r="P40" s="3297"/>
      <c r="Q40" s="1810">
        <f t="shared" si="11"/>
        <v>111</v>
      </c>
      <c r="R40" s="772" t="s">
        <v>17</v>
      </c>
      <c r="S40" s="773">
        <f t="shared" si="12"/>
        <v>100</v>
      </c>
      <c r="T40" s="772" t="s">
        <v>17</v>
      </c>
      <c r="U40" s="773">
        <f t="shared" si="13"/>
        <v>100</v>
      </c>
      <c r="V40" s="772" t="s">
        <v>17</v>
      </c>
      <c r="W40" s="773">
        <f t="shared" si="14"/>
        <v>100</v>
      </c>
      <c r="X40" s="1813"/>
      <c r="Y40" s="3297"/>
      <c r="Z40" s="1814">
        <f t="shared" si="15"/>
        <v>111</v>
      </c>
      <c r="AA40" s="1811">
        <f t="shared" si="3"/>
        <v>1</v>
      </c>
      <c r="AB40" s="1811">
        <f t="shared" si="4"/>
        <v>1</v>
      </c>
      <c r="AC40" s="1811">
        <f t="shared" si="5"/>
        <v>1</v>
      </c>
    </row>
    <row r="41" spans="1:29" ht="15">
      <c r="A41" s="477" t="s">
        <v>2578</v>
      </c>
      <c r="B41" s="478"/>
      <c r="C41" s="1407" t="s">
        <v>1</v>
      </c>
      <c r="D41" s="1408"/>
      <c r="E41" s="1409"/>
      <c r="F41" s="1410"/>
      <c r="G41" s="1411"/>
      <c r="H41" s="1412"/>
      <c r="I41" s="1409"/>
      <c r="J41" s="1412"/>
      <c r="K41" s="781"/>
      <c r="L41" s="1144"/>
      <c r="M41" s="1145"/>
      <c r="N41" s="1132"/>
      <c r="O41" s="1145"/>
      <c r="P41" s="3298" t="str">
        <f>A41</f>
        <v>成交单价（元/平方米）</v>
      </c>
      <c r="Q41" s="3298"/>
      <c r="R41" s="3299">
        <f>E41</f>
        <v>0</v>
      </c>
      <c r="S41" s="3299"/>
      <c r="T41" s="3299">
        <f>G41</f>
        <v>0</v>
      </c>
      <c r="U41" s="3299"/>
      <c r="V41" s="3299">
        <f>I41</f>
        <v>0</v>
      </c>
      <c r="W41" s="3299"/>
      <c r="X41" s="757"/>
      <c r="Y41" s="779"/>
      <c r="Z41" s="757"/>
      <c r="AA41" s="757"/>
      <c r="AB41" s="757"/>
      <c r="AC41" s="757"/>
    </row>
    <row r="42" spans="1:29" ht="15.75" thickBot="1">
      <c r="A42" s="484" t="s">
        <v>2670</v>
      </c>
      <c r="B42" s="485"/>
      <c r="C42" s="1413" t="e">
        <f>R43</f>
        <v>#DIV/0!</v>
      </c>
      <c r="D42" s="1414"/>
      <c r="E42" s="1415" t="e">
        <f>R42</f>
        <v>#DIV/0!</v>
      </c>
      <c r="F42" s="1415"/>
      <c r="G42" s="1413" t="e">
        <f>T42</f>
        <v>#DIV/0!</v>
      </c>
      <c r="H42" s="1414"/>
      <c r="I42" s="1415" t="e">
        <f>V42</f>
        <v>#DIV/0!</v>
      </c>
      <c r="J42" s="1414"/>
      <c r="K42" s="782"/>
      <c r="L42" s="1144"/>
      <c r="M42" s="1145"/>
      <c r="N42" s="1132"/>
      <c r="O42" s="1145"/>
      <c r="P42" s="3298" t="str">
        <f>A42</f>
        <v>比较价值（元/平方米）</v>
      </c>
      <c r="Q42" s="3298"/>
      <c r="R42" s="3299" t="e">
        <f>IF(F1="售价",ROUND(PRODUCT(R41,AA7:AA40),0),ROUND(PRODUCT(R41,AA7:AA40),1))</f>
        <v>#DIV/0!</v>
      </c>
      <c r="S42" s="3299"/>
      <c r="T42" s="3299" t="e">
        <f>IF(F1="售价",ROUND(PRODUCT(T41,AB7:AB40),0),ROUND(PRODUCT(T41,AB7:AB40),1))</f>
        <v>#DIV/0!</v>
      </c>
      <c r="U42" s="3299"/>
      <c r="V42" s="3299" t="e">
        <f>IF(F1="售价",ROUND(PRODUCT(V41,AC7:AC40),0),ROUND(PRODUCT(V41,AC7:AC40),1))</f>
        <v>#DIV/0!</v>
      </c>
      <c r="W42" s="3299"/>
      <c r="X42" s="757"/>
      <c r="Y42" s="757"/>
      <c r="Z42" s="757"/>
      <c r="AA42" s="757"/>
      <c r="AB42" s="757"/>
      <c r="AC42" s="757"/>
    </row>
    <row r="43" spans="1:29" ht="15.75" thickBot="1">
      <c r="A43" s="490" t="s">
        <v>2671</v>
      </c>
      <c r="B43" s="491"/>
      <c r="C43" s="1417" t="e">
        <f>R43</f>
        <v>#DIV/0!</v>
      </c>
      <c r="D43" s="1417"/>
      <c r="E43" s="1417"/>
      <c r="F43" s="1417"/>
      <c r="G43" s="1417"/>
      <c r="H43" s="1417"/>
      <c r="I43" s="1417"/>
      <c r="J43" s="1417"/>
      <c r="K43" s="783"/>
      <c r="L43" s="1144"/>
      <c r="M43" s="1145"/>
      <c r="N43" s="1145"/>
      <c r="O43" s="1145"/>
      <c r="P43" s="3300" t="str">
        <f>A43</f>
        <v>估价对象XX用房的比较价值（楼面单价，元/平方米）</v>
      </c>
      <c r="Q43" s="3301"/>
      <c r="R43" s="3302" t="e">
        <f>IF(F1="售价",ROUND(AVERAGE(R42:V42),0),ROUND(AVERAGE(R42:V42),1))</f>
        <v>#DIV/0!</v>
      </c>
      <c r="S43" s="3302"/>
      <c r="T43" s="3302"/>
      <c r="U43" s="3302"/>
      <c r="V43" s="3302"/>
      <c r="W43" s="3302"/>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1"/>
      <c r="Q51" s="502"/>
    </row>
    <row r="52" spans="1:17" s="506" customFormat="1" ht="15">
      <c r="A52" s="503" t="s">
        <v>2549</v>
      </c>
      <c r="B52" s="504"/>
      <c r="C52" s="1574" t="str">
        <f>YEAR(C7)&amp;"-"&amp;MONTH(C7)</f>
        <v>2018-10</v>
      </c>
      <c r="D52" s="1575">
        <f>EDATE(C52,-1)</f>
        <v>43344</v>
      </c>
      <c r="E52" s="1575">
        <f t="shared" ref="E52:O52" si="16">EDATE(D52,-1)</f>
        <v>43313</v>
      </c>
      <c r="F52" s="1575">
        <f t="shared" si="16"/>
        <v>43282</v>
      </c>
      <c r="G52" s="1575">
        <f t="shared" si="16"/>
        <v>43252</v>
      </c>
      <c r="H52" s="1575">
        <f t="shared" si="16"/>
        <v>43221</v>
      </c>
      <c r="I52" s="1575">
        <f t="shared" si="16"/>
        <v>43191</v>
      </c>
      <c r="J52" s="1575">
        <f t="shared" si="16"/>
        <v>43160</v>
      </c>
      <c r="K52" s="1575">
        <f t="shared" si="16"/>
        <v>43132</v>
      </c>
      <c r="L52" s="1575">
        <f t="shared" si="16"/>
        <v>43101</v>
      </c>
      <c r="M52" s="1575">
        <f t="shared" si="16"/>
        <v>43070</v>
      </c>
      <c r="N52" s="1575">
        <f t="shared" si="16"/>
        <v>43040</v>
      </c>
      <c r="O52" s="1575">
        <f t="shared" si="16"/>
        <v>43009</v>
      </c>
      <c r="P52" s="505"/>
    </row>
    <row r="53" spans="1:17" s="117" customFormat="1" ht="15">
      <c r="A53" s="507"/>
      <c r="B53" s="508"/>
      <c r="C53" s="1573">
        <v>100</v>
      </c>
      <c r="D53" s="510"/>
      <c r="E53" s="510"/>
      <c r="F53" s="510"/>
      <c r="G53" s="510"/>
      <c r="H53" s="510"/>
      <c r="I53" s="510"/>
      <c r="J53" s="510"/>
      <c r="K53" s="510"/>
      <c r="L53" s="510"/>
      <c r="M53" s="511"/>
      <c r="N53" s="510"/>
      <c r="O53" s="512"/>
      <c r="P53" s="502"/>
    </row>
    <row r="54" spans="1:17" s="117" customFormat="1" ht="15.75" thickBot="1">
      <c r="A54" s="513" t="s">
        <v>2586</v>
      </c>
      <c r="B54" s="514"/>
      <c r="C54" s="515"/>
      <c r="D54" s="516"/>
      <c r="E54" s="516"/>
      <c r="F54" s="516"/>
      <c r="G54" s="516"/>
      <c r="H54" s="516"/>
      <c r="I54" s="516"/>
      <c r="J54" s="516"/>
      <c r="K54" s="516"/>
      <c r="L54" s="516"/>
      <c r="M54" s="517"/>
      <c r="N54" s="516"/>
      <c r="O54" s="518"/>
      <c r="P54" s="502"/>
      <c r="Q54" s="502"/>
    </row>
    <row r="55" spans="1:17" s="117" customFormat="1" ht="15">
      <c r="A55" s="519" t="s">
        <v>2551</v>
      </c>
      <c r="B55" s="508"/>
      <c r="C55" s="520" t="s">
        <v>2653</v>
      </c>
      <c r="D55" s="521"/>
      <c r="E55" s="521"/>
      <c r="F55" s="521"/>
      <c r="G55" s="521"/>
      <c r="H55" s="521"/>
      <c r="I55" s="521"/>
      <c r="J55" s="521"/>
      <c r="K55" s="521"/>
      <c r="L55" s="522"/>
      <c r="M55" s="523"/>
      <c r="N55" s="1152"/>
      <c r="O55" s="1152"/>
      <c r="P55" s="524"/>
      <c r="Q55" s="502"/>
    </row>
    <row r="56" spans="1:17" s="117"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2589</v>
      </c>
      <c r="B57" s="526" t="s">
        <v>2555</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2558</v>
      </c>
      <c r="C59" s="537" t="s">
        <v>2590</v>
      </c>
      <c r="D59" s="537" t="s">
        <v>2591</v>
      </c>
      <c r="E59" s="537" t="s">
        <v>2592</v>
      </c>
      <c r="F59" s="537" t="s">
        <v>2593</v>
      </c>
      <c r="G59" s="537" t="s">
        <v>2594</v>
      </c>
      <c r="H59" s="537" t="s">
        <v>2595</v>
      </c>
      <c r="I59" s="537" t="s">
        <v>2596</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2559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2560</v>
      </c>
      <c r="B70" s="526" t="s">
        <v>2706</v>
      </c>
      <c r="C70" s="571" t="s">
        <v>2598</v>
      </c>
      <c r="D70" s="571" t="s">
        <v>2599</v>
      </c>
      <c r="E70" s="571" t="s">
        <v>2600</v>
      </c>
      <c r="F70" s="571" t="s">
        <v>2601</v>
      </c>
      <c r="G70" s="571" t="s">
        <v>2602</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2603</v>
      </c>
      <c r="C72" s="576" t="s">
        <v>2598</v>
      </c>
      <c r="D72" s="576" t="s">
        <v>2599</v>
      </c>
      <c r="E72" s="576" t="s">
        <v>2600</v>
      </c>
      <c r="F72" s="576" t="s">
        <v>2601</v>
      </c>
      <c r="G72" s="576" t="s">
        <v>2602</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2604</v>
      </c>
      <c r="C74" s="576" t="s">
        <v>2598</v>
      </c>
      <c r="D74" s="576" t="s">
        <v>2599</v>
      </c>
      <c r="E74" s="576" t="s">
        <v>2600</v>
      </c>
      <c r="F74" s="576" t="s">
        <v>2601</v>
      </c>
      <c r="G74" s="576" t="s">
        <v>2602</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2690</v>
      </c>
      <c r="C76" s="658" t="s">
        <v>2676</v>
      </c>
      <c r="D76" s="658" t="s">
        <v>2677</v>
      </c>
      <c r="E76" s="658" t="s">
        <v>2678</v>
      </c>
      <c r="F76" s="658" t="s">
        <v>2679</v>
      </c>
      <c r="G76" s="658" t="s">
        <v>2680</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50"/>
      <c r="N77" s="1154"/>
      <c r="O77" s="1154"/>
      <c r="P77" s="45"/>
      <c r="Q77" s="502"/>
    </row>
    <row r="78" spans="1:17" ht="15.75" thickTop="1">
      <c r="A78" s="532"/>
      <c r="B78" s="536" t="s">
        <v>2699</v>
      </c>
      <c r="C78" s="576" t="s">
        <v>2598</v>
      </c>
      <c r="D78" s="576" t="s">
        <v>2599</v>
      </c>
      <c r="E78" s="576" t="s">
        <v>2600</v>
      </c>
      <c r="F78" s="576" t="s">
        <v>2601</v>
      </c>
      <c r="G78" s="576" t="s">
        <v>2602</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7" customFormat="1" ht="15.75" thickTop="1">
      <c r="A80" s="577"/>
      <c r="B80" s="536">
        <f>B25</f>
        <v>111</v>
      </c>
      <c r="C80" s="552"/>
      <c r="D80" s="552"/>
      <c r="E80" s="552"/>
      <c r="F80" s="552"/>
      <c r="G80" s="552"/>
      <c r="H80" s="552"/>
      <c r="I80" s="552"/>
      <c r="J80" s="552"/>
      <c r="K80" s="552"/>
      <c r="L80" s="578"/>
      <c r="M80" s="579"/>
      <c r="N80" s="1152"/>
      <c r="O80" s="1152"/>
      <c r="P80" s="45"/>
      <c r="Q80" s="502"/>
    </row>
    <row r="81" spans="1:17" s="117" customFormat="1" ht="15.75" thickBot="1">
      <c r="A81" s="577"/>
      <c r="B81" s="541"/>
      <c r="C81" s="558"/>
      <c r="D81" s="534"/>
      <c r="E81" s="534"/>
      <c r="F81" s="534"/>
      <c r="G81" s="534"/>
      <c r="H81" s="534"/>
      <c r="I81" s="534"/>
      <c r="J81" s="534"/>
      <c r="K81" s="534"/>
      <c r="L81" s="534"/>
      <c r="M81" s="535"/>
      <c r="N81" s="1154"/>
      <c r="O81" s="1154"/>
      <c r="P81" s="45"/>
      <c r="Q81" s="502"/>
    </row>
    <row r="82" spans="1:17" s="117" customFormat="1" ht="15.75" thickTop="1">
      <c r="A82" s="577"/>
      <c r="B82" s="536">
        <f>B26</f>
        <v>111</v>
      </c>
      <c r="C82" s="552"/>
      <c r="D82" s="552"/>
      <c r="E82" s="552"/>
      <c r="F82" s="552"/>
      <c r="G82" s="552"/>
      <c r="H82" s="552"/>
      <c r="I82" s="552"/>
      <c r="J82" s="552"/>
      <c r="K82" s="552"/>
      <c r="L82" s="578"/>
      <c r="M82" s="579"/>
      <c r="N82" s="1152"/>
      <c r="O82" s="1152"/>
      <c r="P82" s="45"/>
      <c r="Q82" s="502"/>
    </row>
    <row r="83" spans="1:17" s="117"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8"/>
      <c r="B87" s="567"/>
      <c r="C87" s="568"/>
      <c r="D87" s="568"/>
      <c r="E87" s="568"/>
      <c r="F87" s="568"/>
      <c r="G87" s="589"/>
      <c r="H87" s="589"/>
      <c r="I87" s="589"/>
      <c r="J87" s="589"/>
      <c r="K87" s="589"/>
      <c r="L87" s="589"/>
      <c r="M87" s="590"/>
      <c r="N87" s="1154"/>
      <c r="O87" s="1154"/>
      <c r="P87" s="45"/>
      <c r="Q87" s="502"/>
    </row>
    <row r="88" spans="1:17">
      <c r="A88" s="525" t="s">
        <v>2564</v>
      </c>
      <c r="B88" s="526" t="s">
        <v>2613</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2614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2615</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2617</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2618</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2619</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2621</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2707</v>
      </c>
      <c r="C106" s="576" t="s">
        <v>2598</v>
      </c>
      <c r="D106" s="576" t="s">
        <v>2599</v>
      </c>
      <c r="E106" s="576" t="s">
        <v>2600</v>
      </c>
      <c r="F106" s="576" t="s">
        <v>2601</v>
      </c>
      <c r="G106" s="576" t="s">
        <v>2602</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8"/>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6"/>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2330</v>
      </c>
      <c r="B3" s="607"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2646</v>
      </c>
      <c r="B4" s="402"/>
      <c r="C4" s="3276" t="s">
        <v>2647</v>
      </c>
      <c r="D4" s="3277"/>
      <c r="E4" s="3278" t="s">
        <v>2648</v>
      </c>
      <c r="F4" s="3279"/>
      <c r="G4" s="3276" t="s">
        <v>2649</v>
      </c>
      <c r="H4" s="3277"/>
      <c r="I4" s="3276" t="s">
        <v>2650</v>
      </c>
      <c r="J4" s="3277"/>
      <c r="K4" s="608" t="s">
        <v>2651</v>
      </c>
      <c r="L4" s="1131"/>
      <c r="M4" s="1132"/>
      <c r="N4" s="1132"/>
      <c r="O4" s="1132"/>
      <c r="P4" s="3280" t="s">
        <v>2652</v>
      </c>
      <c r="Q4" s="3281"/>
      <c r="R4" s="3263" t="s">
        <v>2648</v>
      </c>
      <c r="S4" s="3264"/>
      <c r="T4" s="3263" t="s">
        <v>2649</v>
      </c>
      <c r="U4" s="3264"/>
      <c r="V4" s="3260" t="s">
        <v>2650</v>
      </c>
      <c r="W4" s="3260"/>
      <c r="X4" s="1813"/>
      <c r="Y4" s="3263" t="s">
        <v>2652</v>
      </c>
      <c r="Z4" s="3264"/>
      <c r="AA4" s="3257" t="s">
        <v>2648</v>
      </c>
      <c r="AB4" s="3258" t="s">
        <v>2649</v>
      </c>
      <c r="AC4" s="3257" t="s">
        <v>2650</v>
      </c>
    </row>
    <row r="5" spans="1:29" ht="15">
      <c r="A5" s="404"/>
      <c r="B5" s="405"/>
      <c r="C5" s="3269" t="s">
        <v>2543</v>
      </c>
      <c r="D5" s="3270"/>
      <c r="E5" s="3267" t="s">
        <v>2544</v>
      </c>
      <c r="F5" s="3268"/>
      <c r="G5" s="3269" t="s">
        <v>2545</v>
      </c>
      <c r="H5" s="3270"/>
      <c r="I5" s="3269" t="s">
        <v>2546</v>
      </c>
      <c r="J5" s="3270"/>
      <c r="K5" s="608"/>
      <c r="L5" s="1131"/>
      <c r="M5" s="1132"/>
      <c r="N5" s="1132"/>
      <c r="O5" s="1132"/>
      <c r="P5" s="3282"/>
      <c r="Q5" s="3283"/>
      <c r="R5" s="3265"/>
      <c r="S5" s="3266"/>
      <c r="T5" s="3265"/>
      <c r="U5" s="3266"/>
      <c r="V5" s="3260"/>
      <c r="W5" s="3260"/>
      <c r="X5" s="1813"/>
      <c r="Y5" s="3265"/>
      <c r="Z5" s="3266"/>
      <c r="AA5" s="3258"/>
      <c r="AB5" s="3258"/>
      <c r="AC5" s="3258"/>
    </row>
    <row r="6" spans="1:29" ht="15.75" thickBot="1">
      <c r="A6" s="406"/>
      <c r="B6" s="407"/>
      <c r="C6" s="3271" t="s">
        <v>2547</v>
      </c>
      <c r="D6" s="3272"/>
      <c r="E6" s="3273" t="s">
        <v>2547</v>
      </c>
      <c r="F6" s="3274"/>
      <c r="G6" s="3271" t="s">
        <v>2547</v>
      </c>
      <c r="H6" s="3272"/>
      <c r="I6" s="3271" t="s">
        <v>2547</v>
      </c>
      <c r="J6" s="3272"/>
      <c r="K6" s="608" t="s">
        <v>2548</v>
      </c>
      <c r="L6" s="1131"/>
      <c r="M6" s="1132"/>
      <c r="N6" s="1132"/>
      <c r="O6" s="1132"/>
      <c r="P6" s="3284"/>
      <c r="Q6" s="3285"/>
      <c r="R6" s="3265"/>
      <c r="S6" s="3266"/>
      <c r="T6" s="3286"/>
      <c r="U6" s="3287"/>
      <c r="V6" s="3260"/>
      <c r="W6" s="3260"/>
      <c r="X6" s="1813"/>
      <c r="Y6" s="3286"/>
      <c r="Z6" s="3287"/>
      <c r="AA6" s="3259"/>
      <c r="AB6" s="3259"/>
      <c r="AC6" s="3259"/>
    </row>
    <row r="7" spans="1:29" s="117" customFormat="1" ht="15.75" thickBot="1">
      <c r="A7" s="408" t="s">
        <v>2549</v>
      </c>
      <c r="B7" s="409"/>
      <c r="C7" s="410">
        <f>'数据-取费表'!B2</f>
        <v>43397</v>
      </c>
      <c r="D7" s="411">
        <v>100</v>
      </c>
      <c r="E7" s="412"/>
      <c r="F7" s="413">
        <f>SUMIF(48:48,YEAR(E7)&amp;"-"&amp;MONTH(E7),49:49)</f>
        <v>0</v>
      </c>
      <c r="G7" s="412"/>
      <c r="H7" s="411">
        <f>SUMIF(48:48,YEAR(G7)&amp;"-"&amp;MONTH(G7),49:49)</f>
        <v>0</v>
      </c>
      <c r="I7" s="412"/>
      <c r="J7" s="411">
        <f>SUMIF(48:48,YEAR(I7)&amp;"-"&amp;MONTH(I7),49:49)</f>
        <v>0</v>
      </c>
      <c r="K7" s="609"/>
      <c r="L7" s="1133"/>
      <c r="M7" s="1134"/>
      <c r="N7" s="1134"/>
      <c r="O7" s="1134"/>
      <c r="P7" s="3261" t="s">
        <v>2550</v>
      </c>
      <c r="Q7" s="3288"/>
      <c r="R7" s="768" t="s">
        <v>17</v>
      </c>
      <c r="S7" s="769">
        <f t="shared" ref="S7:S14" si="0">F7</f>
        <v>0</v>
      </c>
      <c r="T7" s="768" t="s">
        <v>17</v>
      </c>
      <c r="U7" s="769">
        <f t="shared" ref="U7:U14" si="1">H7</f>
        <v>0</v>
      </c>
      <c r="V7" s="768" t="s">
        <v>17</v>
      </c>
      <c r="W7" s="769">
        <f t="shared" ref="W7:W14" si="2">J7</f>
        <v>0</v>
      </c>
      <c r="X7" s="770"/>
      <c r="Y7" s="3261" t="s">
        <v>2550</v>
      </c>
      <c r="Z7" s="3262"/>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09"/>
      <c r="L8" s="1133"/>
      <c r="M8" s="1134"/>
      <c r="N8" s="1134"/>
      <c r="O8" s="1134"/>
      <c r="P8" s="3261" t="s">
        <v>2553</v>
      </c>
      <c r="Q8" s="3262"/>
      <c r="R8" s="768" t="s">
        <v>17</v>
      </c>
      <c r="S8" s="769">
        <f t="shared" si="0"/>
        <v>0</v>
      </c>
      <c r="T8" s="768" t="s">
        <v>17</v>
      </c>
      <c r="U8" s="769">
        <f t="shared" si="1"/>
        <v>0</v>
      </c>
      <c r="V8" s="768" t="s">
        <v>17</v>
      </c>
      <c r="W8" s="769">
        <f t="shared" si="2"/>
        <v>0</v>
      </c>
      <c r="X8" s="770"/>
      <c r="Y8" s="3261" t="s">
        <v>2553</v>
      </c>
      <c r="Z8" s="3262"/>
      <c r="AA8" s="771" t="e">
        <f t="shared" ref="AA8:AA36" si="3">D8/F8</f>
        <v>#DIV/0!</v>
      </c>
      <c r="AB8" s="771" t="e">
        <f t="shared" ref="AB8:AB36" si="4">D8/H8</f>
        <v>#DIV/0!</v>
      </c>
      <c r="AC8" s="771" t="e">
        <f t="shared" ref="AC8:AC36" si="5">D8/J8</f>
        <v>#DIV/0!</v>
      </c>
    </row>
    <row r="9" spans="1:29" s="117" customFormat="1">
      <c r="A9" s="68" t="s">
        <v>2554</v>
      </c>
      <c r="B9" s="638" t="s">
        <v>2555</v>
      </c>
      <c r="C9" s="416"/>
      <c r="D9" s="135">
        <v>100</v>
      </c>
      <c r="E9" s="419"/>
      <c r="F9" s="135">
        <f>SUMIF(53:53,E9,54:54)-SUMIF(53:53,C9,54:54)+100</f>
        <v>100</v>
      </c>
      <c r="G9" s="417"/>
      <c r="H9" s="135">
        <f>SUMIF(53:53,G9,54:54)-SUMIF(53:53,C9,54:54)+100</f>
        <v>100</v>
      </c>
      <c r="I9" s="417"/>
      <c r="J9" s="135">
        <f>SUMIF(53:53,I9,54:54)-SUMIF(53:53,C9,54:54)+100</f>
        <v>100</v>
      </c>
      <c r="K9" s="609"/>
      <c r="L9" s="1133"/>
      <c r="M9" s="1134"/>
      <c r="N9" s="1134"/>
      <c r="O9" s="1134"/>
      <c r="P9" s="3298" t="s">
        <v>2556</v>
      </c>
      <c r="Q9" s="1795" t="str">
        <f t="shared" ref="Q9:Q14" si="6">B9</f>
        <v>用途</v>
      </c>
      <c r="R9" s="768" t="s">
        <v>17</v>
      </c>
      <c r="S9" s="769">
        <f t="shared" si="0"/>
        <v>100</v>
      </c>
      <c r="T9" s="768" t="s">
        <v>17</v>
      </c>
      <c r="U9" s="769">
        <f t="shared" si="1"/>
        <v>100</v>
      </c>
      <c r="V9" s="768" t="s">
        <v>17</v>
      </c>
      <c r="W9" s="769">
        <f t="shared" si="2"/>
        <v>100</v>
      </c>
      <c r="X9" s="770"/>
      <c r="Y9" s="3107" t="s">
        <v>2557</v>
      </c>
      <c r="Z9" s="55" t="str">
        <f t="shared" ref="Z9:Z14" si="7">Q9</f>
        <v>用途</v>
      </c>
      <c r="AA9" s="771">
        <f t="shared" si="3"/>
        <v>1</v>
      </c>
      <c r="AB9" s="771">
        <f t="shared" si="4"/>
        <v>1</v>
      </c>
      <c r="AC9" s="771">
        <f t="shared" si="5"/>
        <v>1</v>
      </c>
    </row>
    <row r="10" spans="1:29" s="427" customFormat="1" ht="27">
      <c r="A10" s="639"/>
      <c r="B10" s="640" t="s">
        <v>2558</v>
      </c>
      <c r="C10" s="423"/>
      <c r="D10" s="136">
        <v>100</v>
      </c>
      <c r="E10" s="423"/>
      <c r="F10" s="136">
        <f>SUMIF(55:55,E10,56:56)-SUMIF(55:55,C10,56:56)+100</f>
        <v>100</v>
      </c>
      <c r="G10" s="424"/>
      <c r="H10" s="136">
        <f>SUMIF(55:55,G10,56:56)-SUMIF(55:55,C10,56:56)+100</f>
        <v>100</v>
      </c>
      <c r="I10" s="423"/>
      <c r="J10" s="136">
        <f>SUMIF(55:55,I10,56:56)-SUMIF(55:55,C10,56:56)+100</f>
        <v>100</v>
      </c>
      <c r="K10" s="610"/>
      <c r="L10" s="1136"/>
      <c r="M10" s="1137"/>
      <c r="N10" s="1137"/>
      <c r="O10" s="1137"/>
      <c r="P10" s="3298"/>
      <c r="Q10" s="1795" t="str">
        <f t="shared" si="6"/>
        <v>土地使用年限（年）</v>
      </c>
      <c r="R10" s="768" t="s">
        <v>17</v>
      </c>
      <c r="S10" s="769">
        <f t="shared" si="0"/>
        <v>100</v>
      </c>
      <c r="T10" s="768" t="s">
        <v>17</v>
      </c>
      <c r="U10" s="769">
        <f t="shared" si="1"/>
        <v>100</v>
      </c>
      <c r="V10" s="768" t="s">
        <v>17</v>
      </c>
      <c r="W10" s="769">
        <f t="shared" si="2"/>
        <v>100</v>
      </c>
      <c r="X10" s="770"/>
      <c r="Y10" s="3107"/>
      <c r="Z10" s="55" t="str">
        <f t="shared" si="7"/>
        <v>土地使用年限（年）</v>
      </c>
      <c r="AA10" s="771">
        <f t="shared" si="3"/>
        <v>1</v>
      </c>
      <c r="AB10" s="771">
        <f t="shared" si="4"/>
        <v>1</v>
      </c>
      <c r="AC10" s="771">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1"/>
      <c r="L11" s="1139"/>
      <c r="M11" s="1132"/>
      <c r="N11" s="1132"/>
      <c r="O11" s="1132"/>
      <c r="P11" s="3298"/>
      <c r="Q11" s="1795">
        <f t="shared" si="6"/>
        <v>111</v>
      </c>
      <c r="R11" s="768" t="s">
        <v>17</v>
      </c>
      <c r="S11" s="769">
        <f t="shared" si="0"/>
        <v>100</v>
      </c>
      <c r="T11" s="768" t="s">
        <v>17</v>
      </c>
      <c r="U11" s="769">
        <f t="shared" si="1"/>
        <v>100</v>
      </c>
      <c r="V11" s="768" t="s">
        <v>17</v>
      </c>
      <c r="W11" s="769">
        <f t="shared" si="2"/>
        <v>100</v>
      </c>
      <c r="X11" s="770"/>
      <c r="Y11" s="3107"/>
      <c r="Z11" s="55">
        <f t="shared" si="7"/>
        <v>111</v>
      </c>
      <c r="AA11" s="771">
        <f t="shared" si="3"/>
        <v>1</v>
      </c>
      <c r="AB11" s="771">
        <f t="shared" si="4"/>
        <v>1</v>
      </c>
      <c r="AC11" s="771">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1"/>
      <c r="L12" s="1133"/>
      <c r="M12" s="1134"/>
      <c r="N12" s="1134"/>
      <c r="O12" s="1134"/>
      <c r="P12" s="3298"/>
      <c r="Q12" s="1795">
        <f t="shared" si="6"/>
        <v>111</v>
      </c>
      <c r="R12" s="768" t="s">
        <v>17</v>
      </c>
      <c r="S12" s="769">
        <f t="shared" si="0"/>
        <v>100</v>
      </c>
      <c r="T12" s="768" t="s">
        <v>17</v>
      </c>
      <c r="U12" s="769">
        <f t="shared" si="1"/>
        <v>100</v>
      </c>
      <c r="V12" s="768" t="s">
        <v>17</v>
      </c>
      <c r="W12" s="769">
        <f t="shared" si="2"/>
        <v>100</v>
      </c>
      <c r="X12" s="770"/>
      <c r="Y12" s="3107"/>
      <c r="Z12" s="55">
        <f t="shared" si="7"/>
        <v>111</v>
      </c>
      <c r="AA12" s="771">
        <f>D12/F12</f>
        <v>1</v>
      </c>
      <c r="AB12" s="771">
        <f>D12/H12</f>
        <v>1</v>
      </c>
      <c r="AC12" s="771">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1"/>
      <c r="L13" s="1141"/>
      <c r="M13" s="1132"/>
      <c r="N13" s="1132"/>
      <c r="O13" s="1132"/>
      <c r="P13" s="3298"/>
      <c r="Q13" s="1795">
        <f t="shared" si="6"/>
        <v>111</v>
      </c>
      <c r="R13" s="768" t="s">
        <v>17</v>
      </c>
      <c r="S13" s="769">
        <f t="shared" si="0"/>
        <v>100</v>
      </c>
      <c r="T13" s="768" t="s">
        <v>17</v>
      </c>
      <c r="U13" s="769">
        <f t="shared" si="1"/>
        <v>100</v>
      </c>
      <c r="V13" s="768" t="s">
        <v>17</v>
      </c>
      <c r="W13" s="769">
        <f t="shared" si="2"/>
        <v>100</v>
      </c>
      <c r="X13" s="770"/>
      <c r="Y13" s="3107"/>
      <c r="Z13" s="55">
        <f t="shared" si="7"/>
        <v>111</v>
      </c>
      <c r="AA13" s="771">
        <f t="shared" si="3"/>
        <v>1</v>
      </c>
      <c r="AB13" s="771">
        <f t="shared" si="4"/>
        <v>1</v>
      </c>
      <c r="AC13" s="771">
        <f t="shared" si="5"/>
        <v>1</v>
      </c>
    </row>
    <row r="14" spans="1:29" ht="156.75">
      <c r="A14" s="401" t="s">
        <v>2560</v>
      </c>
      <c r="B14" s="627" t="s">
        <v>2710</v>
      </c>
      <c r="C14" s="2695" t="str">
        <f>IF(B1="工业",估价对象房地状况!G4,估价对象房地状况!C6)</f>
        <v>估价对象紧邻城市支路-门头沟路、附近有公交车站西辛房站，停靠线路有370、960、992、M25等，附近5公里范围内无轨道交通站点，综合评价交通便捷度较好。</v>
      </c>
      <c r="D14" s="441">
        <v>100</v>
      </c>
      <c r="E14" s="442"/>
      <c r="F14" s="443">
        <f>SUMIF(63:63,E15,64:64)-SUMIF(63:63,C15,64:64)+100</f>
        <v>100</v>
      </c>
      <c r="G14" s="444"/>
      <c r="H14" s="441">
        <f>SUMIF(63:63,G15,64:64)-SUMIF(63:63,C15,64:64)+100</f>
        <v>100</v>
      </c>
      <c r="I14" s="442"/>
      <c r="J14" s="441">
        <f>SUMIF(63:63,I15,64:64)-SUMIF(63:63,C15,64:64)+100</f>
        <v>100</v>
      </c>
      <c r="K14" s="612"/>
      <c r="L14" s="1141"/>
      <c r="M14" s="1132"/>
      <c r="N14" s="1132"/>
      <c r="O14" s="1132"/>
      <c r="P14" s="3291" t="s">
        <v>2561</v>
      </c>
      <c r="Q14" s="1810" t="str">
        <f t="shared" si="6"/>
        <v>交通便捷度</v>
      </c>
      <c r="R14" s="772" t="s">
        <v>17</v>
      </c>
      <c r="S14" s="773">
        <f t="shared" si="0"/>
        <v>100</v>
      </c>
      <c r="T14" s="772" t="s">
        <v>17</v>
      </c>
      <c r="U14" s="773">
        <f t="shared" si="1"/>
        <v>100</v>
      </c>
      <c r="V14" s="772" t="s">
        <v>17</v>
      </c>
      <c r="W14" s="773">
        <f t="shared" si="2"/>
        <v>100</v>
      </c>
      <c r="X14" s="1813"/>
      <c r="Y14" s="3291" t="s">
        <v>2561</v>
      </c>
      <c r="Z14" s="1814" t="str">
        <f t="shared" si="7"/>
        <v>交通便捷度</v>
      </c>
      <c r="AA14" s="1811">
        <f t="shared" si="3"/>
        <v>1</v>
      </c>
      <c r="AB14" s="1811">
        <f t="shared" si="4"/>
        <v>1</v>
      </c>
      <c r="AC14" s="1811">
        <f t="shared" si="5"/>
        <v>1</v>
      </c>
    </row>
    <row r="15" spans="1:29" ht="15">
      <c r="A15" s="404"/>
      <c r="B15" s="645"/>
      <c r="C15" s="447"/>
      <c r="D15" s="448"/>
      <c r="E15" s="447"/>
      <c r="F15" s="449"/>
      <c r="G15" s="447"/>
      <c r="H15" s="450"/>
      <c r="I15" s="447"/>
      <c r="J15" s="448"/>
      <c r="K15" s="613"/>
      <c r="L15" s="1141"/>
      <c r="M15" s="1132"/>
      <c r="N15" s="1132"/>
      <c r="O15" s="1132"/>
      <c r="P15" s="3292"/>
      <c r="Q15" s="1810"/>
      <c r="R15" s="772"/>
      <c r="S15" s="773"/>
      <c r="T15" s="772"/>
      <c r="U15" s="773"/>
      <c r="V15" s="772"/>
      <c r="W15" s="773"/>
      <c r="X15" s="1813"/>
      <c r="Y15" s="3292"/>
      <c r="Z15" s="1814"/>
      <c r="AA15" s="1811">
        <v>1</v>
      </c>
      <c r="AB15" s="1811">
        <v>1</v>
      </c>
      <c r="AC15" s="1811">
        <v>1</v>
      </c>
    </row>
    <row r="16" spans="1:29" ht="128.25">
      <c r="A16" s="404"/>
      <c r="B16" s="629" t="s">
        <v>2689</v>
      </c>
      <c r="C16" s="2609" t="str">
        <f>IF(B1="工业",估价对象房地状况!G5,估价对象房地状况!C7)</f>
        <v>估价对象所在区域有东辛房小学、龙泉医院、京煤公司总医院门矿医院东辛房卫生服务站、邮政储蓄银行、农商银行等，公共配套设施状况较好</v>
      </c>
      <c r="D16" s="455">
        <v>100</v>
      </c>
      <c r="E16" s="457"/>
      <c r="F16" s="458">
        <f>SUMIF(65:65,E17,66:66)-SUMIF(65:65,C17,66:66)+100</f>
        <v>100</v>
      </c>
      <c r="G16" s="459"/>
      <c r="H16" s="455">
        <f>SUMIF(65:65,G17,66:66)-SUMIF(65:65,C17,66:66)+100</f>
        <v>100</v>
      </c>
      <c r="I16" s="457"/>
      <c r="J16" s="455">
        <f>SUMIF(65:65,I17,66:66)-SUMIF(65:65,C17,66:66)+100</f>
        <v>100</v>
      </c>
      <c r="K16" s="612"/>
      <c r="L16" s="1141"/>
      <c r="M16" s="1132"/>
      <c r="N16" s="1132"/>
      <c r="O16" s="1132"/>
      <c r="P16" s="3292"/>
      <c r="Q16" s="1810" t="str">
        <f>B16</f>
        <v>公共配套设施</v>
      </c>
      <c r="R16" s="772" t="s">
        <v>17</v>
      </c>
      <c r="S16" s="773">
        <f>F16</f>
        <v>100</v>
      </c>
      <c r="T16" s="772" t="s">
        <v>17</v>
      </c>
      <c r="U16" s="773">
        <f>H16</f>
        <v>100</v>
      </c>
      <c r="V16" s="772" t="s">
        <v>17</v>
      </c>
      <c r="W16" s="773">
        <f>J16</f>
        <v>100</v>
      </c>
      <c r="X16" s="1813"/>
      <c r="Y16" s="3292"/>
      <c r="Z16" s="1814" t="str">
        <f>Q16</f>
        <v>公共配套设施</v>
      </c>
      <c r="AA16" s="1811">
        <f t="shared" si="3"/>
        <v>1</v>
      </c>
      <c r="AB16" s="1811">
        <f t="shared" si="4"/>
        <v>1</v>
      </c>
      <c r="AC16" s="1811">
        <f t="shared" si="5"/>
        <v>1</v>
      </c>
    </row>
    <row r="17" spans="1:29" ht="15">
      <c r="A17" s="404"/>
      <c r="B17" s="630"/>
      <c r="C17" s="2610"/>
      <c r="D17" s="448"/>
      <c r="E17" s="447"/>
      <c r="F17" s="449"/>
      <c r="G17" s="447"/>
      <c r="H17" s="448"/>
      <c r="I17" s="447"/>
      <c r="J17" s="448"/>
      <c r="K17" s="613"/>
      <c r="L17" s="1141"/>
      <c r="M17" s="1132"/>
      <c r="N17" s="1132"/>
      <c r="O17" s="1132"/>
      <c r="P17" s="3292"/>
      <c r="Q17" s="1810"/>
      <c r="R17" s="772"/>
      <c r="S17" s="773"/>
      <c r="T17" s="772"/>
      <c r="U17" s="773"/>
      <c r="V17" s="772"/>
      <c r="W17" s="773"/>
      <c r="X17" s="1813"/>
      <c r="Y17" s="3292"/>
      <c r="Z17" s="1814"/>
      <c r="AA17" s="1811">
        <v>1</v>
      </c>
      <c r="AB17" s="1811">
        <v>1</v>
      </c>
      <c r="AC17" s="1811">
        <v>1</v>
      </c>
    </row>
    <row r="18" spans="1:29" ht="42.75">
      <c r="A18" s="404"/>
      <c r="B18" s="631" t="s">
        <v>2690</v>
      </c>
      <c r="C18" s="2609" t="str">
        <f>IF(B1="工业",估价对象房地状况!G6,估价对象房地状况!C8)</f>
        <v>估价对象所在区域基础设施水平为七通一平</v>
      </c>
      <c r="D18" s="450">
        <v>100</v>
      </c>
      <c r="E18" s="452"/>
      <c r="F18" s="458">
        <f>SUMIF(67:67,E19,68:68)-SUMIF(67:67,C19,68:68)+100</f>
        <v>100</v>
      </c>
      <c r="G18" s="454"/>
      <c r="H18" s="455">
        <f>SUMIF(67:67,G19,68:68)-SUMIF(67:67,C19,68:68)+100</f>
        <v>100</v>
      </c>
      <c r="I18" s="452"/>
      <c r="J18" s="455">
        <f>SUMIF(67:67,I19,68:68)-SUMIF(67:67,C19,68:68)+100</f>
        <v>100</v>
      </c>
      <c r="K18" s="612"/>
      <c r="L18" s="1141"/>
      <c r="M18" s="1132"/>
      <c r="N18" s="1132"/>
      <c r="O18" s="1132"/>
      <c r="P18" s="3292"/>
      <c r="Q18" s="1810" t="str">
        <f>B18</f>
        <v>基础设施水平</v>
      </c>
      <c r="R18" s="772" t="s">
        <v>17</v>
      </c>
      <c r="S18" s="773">
        <f>F18</f>
        <v>100</v>
      </c>
      <c r="T18" s="772" t="s">
        <v>17</v>
      </c>
      <c r="U18" s="773">
        <f>H18</f>
        <v>100</v>
      </c>
      <c r="V18" s="772" t="s">
        <v>17</v>
      </c>
      <c r="W18" s="773">
        <f>J18</f>
        <v>100</v>
      </c>
      <c r="X18" s="1813"/>
      <c r="Y18" s="3292"/>
      <c r="Z18" s="1814" t="str">
        <f>Q18</f>
        <v>基础设施水平</v>
      </c>
      <c r="AA18" s="1811">
        <f t="shared" ref="AA18" si="8">D18/F18</f>
        <v>1</v>
      </c>
      <c r="AB18" s="1811">
        <f t="shared" ref="AB18" si="9">D18/H18</f>
        <v>1</v>
      </c>
      <c r="AC18" s="1811">
        <f t="shared" ref="AC18" si="10">D18/J18</f>
        <v>1</v>
      </c>
    </row>
    <row r="19" spans="1:29" ht="15">
      <c r="A19" s="404"/>
      <c r="B19" s="631"/>
      <c r="C19" s="2610"/>
      <c r="D19" s="450"/>
      <c r="E19" s="2610"/>
      <c r="F19" s="453"/>
      <c r="G19" s="2610"/>
      <c r="H19" s="448"/>
      <c r="I19" s="447"/>
      <c r="J19" s="448"/>
      <c r="K19" s="1384"/>
      <c r="L19" s="1141"/>
      <c r="M19" s="1132"/>
      <c r="N19" s="1132"/>
      <c r="O19" s="1132"/>
      <c r="P19" s="3292"/>
      <c r="Q19" s="1810"/>
      <c r="R19" s="772"/>
      <c r="S19" s="773"/>
      <c r="T19" s="772"/>
      <c r="U19" s="773"/>
      <c r="V19" s="772"/>
      <c r="W19" s="773"/>
      <c r="X19" s="1813"/>
      <c r="Y19" s="3292"/>
      <c r="Z19" s="1814"/>
      <c r="AA19" s="1811">
        <v>1</v>
      </c>
      <c r="AB19" s="1811">
        <v>1</v>
      </c>
      <c r="AC19" s="1811">
        <v>1</v>
      </c>
    </row>
    <row r="20" spans="1:29" ht="114">
      <c r="A20" s="404"/>
      <c r="B20" s="629" t="s">
        <v>2711</v>
      </c>
      <c r="C20" s="2609" t="str">
        <f>IF(B1="工业",估价对象房地状况!G7,估价对象房地状况!C9)</f>
        <v>估价对象临黑河沟及其绿化带；周边2公里范围内有门头沟博物馆等人文设施；综合评价环境状况较好。加油站？</v>
      </c>
      <c r="D20" s="455">
        <v>100</v>
      </c>
      <c r="E20" s="457"/>
      <c r="F20" s="458">
        <f>SUMIF(69:69,E21,70:70)-SUMIF(69:69,C21,70:70)+100</f>
        <v>100</v>
      </c>
      <c r="G20" s="459"/>
      <c r="H20" s="450">
        <f>SUMIF(69:69,G21,70:70)-SUMIF(69:69,C21,70:70)+100</f>
        <v>100</v>
      </c>
      <c r="I20" s="452"/>
      <c r="J20" s="450">
        <f>SUMIF(69:69,I21,70:70)-SUMIF(69:69,C21,70:70)+100</f>
        <v>100</v>
      </c>
      <c r="K20" s="612"/>
      <c r="L20" s="1141"/>
      <c r="M20" s="1132"/>
      <c r="N20" s="1132"/>
      <c r="O20" s="1132"/>
      <c r="P20" s="3292"/>
      <c r="Q20" s="1810" t="str">
        <f>B20</f>
        <v>自然及人文环境</v>
      </c>
      <c r="R20" s="772" t="s">
        <v>17</v>
      </c>
      <c r="S20" s="773">
        <f>F20</f>
        <v>100</v>
      </c>
      <c r="T20" s="772" t="s">
        <v>17</v>
      </c>
      <c r="U20" s="773">
        <f>H20</f>
        <v>100</v>
      </c>
      <c r="V20" s="772" t="s">
        <v>17</v>
      </c>
      <c r="W20" s="773">
        <f>J20</f>
        <v>100</v>
      </c>
      <c r="X20" s="1813"/>
      <c r="Y20" s="3292"/>
      <c r="Z20" s="1814" t="str">
        <f>Q20</f>
        <v>自然及人文环境</v>
      </c>
      <c r="AA20" s="1811">
        <f t="shared" si="3"/>
        <v>1</v>
      </c>
      <c r="AB20" s="1811">
        <f t="shared" si="4"/>
        <v>1</v>
      </c>
      <c r="AC20" s="1811">
        <f t="shared" si="5"/>
        <v>1</v>
      </c>
    </row>
    <row r="21" spans="1:29" ht="15">
      <c r="A21" s="404"/>
      <c r="B21" s="630"/>
      <c r="C21" s="447"/>
      <c r="D21" s="448"/>
      <c r="E21" s="447"/>
      <c r="F21" s="449"/>
      <c r="G21" s="447"/>
      <c r="H21" s="448"/>
      <c r="I21" s="447"/>
      <c r="J21" s="448"/>
      <c r="K21" s="613"/>
      <c r="L21" s="1141"/>
      <c r="M21" s="1132"/>
      <c r="N21" s="1132"/>
      <c r="O21" s="1132"/>
      <c r="P21" s="3292"/>
      <c r="Q21" s="1810"/>
      <c r="R21" s="772"/>
      <c r="S21" s="773"/>
      <c r="T21" s="772"/>
      <c r="U21" s="773"/>
      <c r="V21" s="772"/>
      <c r="W21" s="773"/>
      <c r="X21" s="1813"/>
      <c r="Y21" s="3292"/>
      <c r="Z21" s="1814"/>
      <c r="AA21" s="1811">
        <v>1</v>
      </c>
      <c r="AB21" s="1811">
        <v>1</v>
      </c>
      <c r="AC21" s="1811">
        <v>1</v>
      </c>
    </row>
    <row r="22" spans="1:29" ht="15">
      <c r="A22" s="404"/>
      <c r="B22" s="629" t="s">
        <v>2712</v>
      </c>
      <c r="C22" s="614"/>
      <c r="D22" s="450">
        <v>100</v>
      </c>
      <c r="E22" s="614"/>
      <c r="F22" s="461">
        <f>SUMIF(71:71,E22,72:72)-SUMIF(71:71,C22,72:72)+100</f>
        <v>100</v>
      </c>
      <c r="G22" s="614"/>
      <c r="H22" s="435">
        <f>SUMIF(71:71,G22,72:72)-SUMIF(71:71,C22,72:72)+100</f>
        <v>100</v>
      </c>
      <c r="I22" s="614"/>
      <c r="J22" s="435">
        <f>SUMIF(71:71,I22,72:72)-SUMIF(71:71,C22,72:72)+100</f>
        <v>100</v>
      </c>
      <c r="K22" s="610"/>
      <c r="L22" s="1141"/>
      <c r="M22" s="1132"/>
      <c r="N22" s="1132"/>
      <c r="O22" s="1132"/>
      <c r="P22" s="3292"/>
      <c r="Q22" s="1810" t="str">
        <f>B22</f>
        <v>楼层</v>
      </c>
      <c r="R22" s="772" t="s">
        <v>17</v>
      </c>
      <c r="S22" s="773">
        <f>F22</f>
        <v>100</v>
      </c>
      <c r="T22" s="772" t="s">
        <v>17</v>
      </c>
      <c r="U22" s="773">
        <f>H22</f>
        <v>100</v>
      </c>
      <c r="V22" s="772" t="s">
        <v>17</v>
      </c>
      <c r="W22" s="773">
        <f>J22</f>
        <v>100</v>
      </c>
      <c r="X22" s="1813"/>
      <c r="Y22" s="3292"/>
      <c r="Z22" s="1814" t="str">
        <f>Q22</f>
        <v>楼层</v>
      </c>
      <c r="AA22" s="1811">
        <f t="shared" si="3"/>
        <v>1</v>
      </c>
      <c r="AB22" s="1811">
        <f t="shared" si="4"/>
        <v>1</v>
      </c>
      <c r="AC22" s="1811">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1"/>
      <c r="L23" s="1141"/>
      <c r="M23" s="1132"/>
      <c r="N23" s="1132"/>
      <c r="O23" s="1132"/>
      <c r="P23" s="3292"/>
      <c r="Q23" s="1810">
        <f>B23</f>
        <v>111</v>
      </c>
      <c r="R23" s="772" t="s">
        <v>17</v>
      </c>
      <c r="S23" s="773">
        <f>F23</f>
        <v>100</v>
      </c>
      <c r="T23" s="772" t="s">
        <v>17</v>
      </c>
      <c r="U23" s="773">
        <f>H23</f>
        <v>100</v>
      </c>
      <c r="V23" s="772" t="s">
        <v>17</v>
      </c>
      <c r="W23" s="773">
        <f>J23</f>
        <v>100</v>
      </c>
      <c r="X23" s="1813"/>
      <c r="Y23" s="3292"/>
      <c r="Z23" s="1814">
        <f>Q23</f>
        <v>111</v>
      </c>
      <c r="AA23" s="1811">
        <f t="shared" si="3"/>
        <v>1</v>
      </c>
      <c r="AB23" s="1811">
        <f t="shared" si="4"/>
        <v>1</v>
      </c>
      <c r="AC23" s="1811">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1"/>
      <c r="L24" s="1141"/>
      <c r="M24" s="1132"/>
      <c r="N24" s="1132"/>
      <c r="O24" s="1132"/>
      <c r="P24" s="3292"/>
      <c r="Q24" s="1810">
        <f t="shared" ref="Q24:Q36" si="11">B24</f>
        <v>111</v>
      </c>
      <c r="R24" s="772" t="s">
        <v>17</v>
      </c>
      <c r="S24" s="773">
        <f>F24</f>
        <v>100</v>
      </c>
      <c r="T24" s="772" t="s">
        <v>17</v>
      </c>
      <c r="U24" s="773">
        <f>H24</f>
        <v>100</v>
      </c>
      <c r="V24" s="772" t="s">
        <v>17</v>
      </c>
      <c r="W24" s="773">
        <f>J24</f>
        <v>100</v>
      </c>
      <c r="X24" s="1813"/>
      <c r="Y24" s="3292"/>
      <c r="Z24" s="1814">
        <f>Q24</f>
        <v>111</v>
      </c>
      <c r="AA24" s="1811">
        <f t="shared" si="3"/>
        <v>1</v>
      </c>
      <c r="AB24" s="1811">
        <f t="shared" si="4"/>
        <v>1</v>
      </c>
      <c r="AC24" s="1811">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92"/>
      <c r="Q25" s="1795">
        <f t="shared" si="11"/>
        <v>111</v>
      </c>
      <c r="R25" s="768" t="s">
        <v>17</v>
      </c>
      <c r="S25" s="769">
        <f>F25</f>
        <v>100</v>
      </c>
      <c r="T25" s="768" t="s">
        <v>17</v>
      </c>
      <c r="U25" s="769">
        <f>H25</f>
        <v>100</v>
      </c>
      <c r="V25" s="768" t="s">
        <v>17</v>
      </c>
      <c r="W25" s="769">
        <f>J25</f>
        <v>100</v>
      </c>
      <c r="X25" s="770"/>
      <c r="Y25" s="3292"/>
      <c r="Z25" s="55">
        <f>Q25</f>
        <v>111</v>
      </c>
      <c r="AA25" s="1811">
        <f>D25/F25</f>
        <v>1</v>
      </c>
      <c r="AB25" s="1811">
        <f>D25/H25</f>
        <v>1</v>
      </c>
      <c r="AC25" s="1811">
        <f>D25/J25</f>
        <v>1</v>
      </c>
    </row>
    <row r="26" spans="1:29" ht="15">
      <c r="A26" s="650"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0"/>
      <c r="L26" s="1141"/>
      <c r="M26" s="1132"/>
      <c r="N26" s="1132"/>
      <c r="O26" s="1132"/>
      <c r="P26" s="3318" t="s">
        <v>2566</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96" t="s">
        <v>2566</v>
      </c>
      <c r="Z26" s="1814" t="str">
        <f t="shared" ref="Z26:Z36" si="15">Q26</f>
        <v>配套类型</v>
      </c>
      <c r="AA26" s="1811">
        <f t="shared" si="3"/>
        <v>1</v>
      </c>
      <c r="AB26" s="1811">
        <f t="shared" si="4"/>
        <v>1</v>
      </c>
      <c r="AC26" s="1811">
        <f t="shared" si="5"/>
        <v>1</v>
      </c>
    </row>
    <row r="27" spans="1:29" s="469" customFormat="1" ht="15">
      <c r="A27" s="651"/>
      <c r="B27" s="652" t="s">
        <v>2714</v>
      </c>
      <c r="C27" s="653"/>
      <c r="D27" s="136">
        <v>100</v>
      </c>
      <c r="E27" s="653"/>
      <c r="F27" s="461">
        <f>SUMIF(81:81,E27,82:82)-SUMIF(81:81,C27,82:82)+100</f>
        <v>100</v>
      </c>
      <c r="G27" s="653"/>
      <c r="H27" s="435">
        <f>SUMIF(81:81,G27,82:82)-SUMIF(81:81,C27,82:82)+100</f>
        <v>100</v>
      </c>
      <c r="I27" s="653"/>
      <c r="J27" s="435">
        <f>SUMIF(81:81,I27,82:82)-SUMIF(81:81,C27,82:82)+100</f>
        <v>100</v>
      </c>
      <c r="K27" s="611"/>
      <c r="L27" s="1139"/>
      <c r="M27" s="1142"/>
      <c r="N27" s="1142"/>
      <c r="O27" s="1142"/>
      <c r="P27" s="3296"/>
      <c r="Q27" s="774" t="str">
        <f t="shared" si="11"/>
        <v>项目停车位配比</v>
      </c>
      <c r="R27" s="775" t="s">
        <v>17</v>
      </c>
      <c r="S27" s="776">
        <f t="shared" si="12"/>
        <v>100</v>
      </c>
      <c r="T27" s="775" t="s">
        <v>17</v>
      </c>
      <c r="U27" s="776">
        <f t="shared" si="13"/>
        <v>100</v>
      </c>
      <c r="V27" s="775" t="s">
        <v>17</v>
      </c>
      <c r="W27" s="776">
        <f t="shared" si="14"/>
        <v>100</v>
      </c>
      <c r="X27" s="777"/>
      <c r="Y27" s="3296"/>
      <c r="Z27" s="778" t="str">
        <f t="shared" si="15"/>
        <v>项目停车位配比</v>
      </c>
      <c r="AA27" s="1811">
        <f t="shared" si="3"/>
        <v>1</v>
      </c>
      <c r="AB27" s="1811">
        <f t="shared" si="4"/>
        <v>1</v>
      </c>
      <c r="AC27" s="1811">
        <f t="shared" si="5"/>
        <v>1</v>
      </c>
    </row>
    <row r="28" spans="1:29" ht="15">
      <c r="A28" s="654"/>
      <c r="B28" s="652" t="s">
        <v>2715</v>
      </c>
      <c r="C28" s="460"/>
      <c r="D28" s="435">
        <v>100</v>
      </c>
      <c r="E28" s="460"/>
      <c r="F28" s="461">
        <f>SUMIF(83:83,E28,84:84)-SUMIF(83:83,C28,84:84)+100</f>
        <v>100</v>
      </c>
      <c r="G28" s="460"/>
      <c r="H28" s="435">
        <f>SUMIF(83:83,G28,84:84)-SUMIF(83:83,C28,84:84)+100</f>
        <v>100</v>
      </c>
      <c r="I28" s="460"/>
      <c r="J28" s="435">
        <f>SUMIF(83:83,I28,84:84)-SUMIF(83:83,C28,84:84)+100</f>
        <v>100</v>
      </c>
      <c r="K28" s="610"/>
      <c r="L28" s="1141"/>
      <c r="M28" s="1132"/>
      <c r="N28" s="1132"/>
      <c r="O28" s="1132"/>
      <c r="P28" s="3296"/>
      <c r="Q28" s="1810" t="str">
        <f t="shared" si="11"/>
        <v>公共部分装修</v>
      </c>
      <c r="R28" s="772" t="s">
        <v>17</v>
      </c>
      <c r="S28" s="773">
        <f t="shared" si="12"/>
        <v>100</v>
      </c>
      <c r="T28" s="772" t="s">
        <v>17</v>
      </c>
      <c r="U28" s="773">
        <f t="shared" si="13"/>
        <v>100</v>
      </c>
      <c r="V28" s="772" t="s">
        <v>17</v>
      </c>
      <c r="W28" s="773">
        <f t="shared" si="14"/>
        <v>100</v>
      </c>
      <c r="X28" s="1813"/>
      <c r="Y28" s="3296"/>
      <c r="Z28" s="1814" t="str">
        <f t="shared" si="15"/>
        <v>公共部分装修</v>
      </c>
      <c r="AA28" s="1811">
        <f t="shared" si="3"/>
        <v>1</v>
      </c>
      <c r="AB28" s="1811">
        <f t="shared" si="4"/>
        <v>1</v>
      </c>
      <c r="AC28" s="1811">
        <f t="shared" si="5"/>
        <v>1</v>
      </c>
    </row>
    <row r="29" spans="1:29" ht="15">
      <c r="A29" s="654"/>
      <c r="B29" s="652" t="s">
        <v>2716</v>
      </c>
      <c r="C29" s="467"/>
      <c r="D29" s="435">
        <v>100</v>
      </c>
      <c r="E29" s="472"/>
      <c r="F29" s="461" t="e">
        <f>LOOKUP(E29,86:86,87:87)-LOOKUP(C29,86:86,87:87)+100</f>
        <v>#N/A</v>
      </c>
      <c r="G29" s="472"/>
      <c r="H29" s="461" t="e">
        <f>LOOKUP(G29,86:86,87:87)-LOOKUP(C29,86:86,87:87)+100</f>
        <v>#N/A</v>
      </c>
      <c r="I29" s="472"/>
      <c r="J29" s="435" t="e">
        <f>LOOKUP(I29,86:86,87:87)-LOOKUP(C29,86:86,87:87)+100</f>
        <v>#N/A</v>
      </c>
      <c r="K29" s="610"/>
      <c r="L29" s="1141"/>
      <c r="M29" s="1132"/>
      <c r="N29" s="1132"/>
      <c r="O29" s="1132"/>
      <c r="P29" s="3296"/>
      <c r="Q29" s="1810" t="str">
        <f t="shared" si="11"/>
        <v>成新率</v>
      </c>
      <c r="R29" s="772" t="s">
        <v>17</v>
      </c>
      <c r="S29" s="773" t="e">
        <f t="shared" si="12"/>
        <v>#N/A</v>
      </c>
      <c r="T29" s="772" t="s">
        <v>17</v>
      </c>
      <c r="U29" s="773" t="e">
        <f t="shared" si="13"/>
        <v>#N/A</v>
      </c>
      <c r="V29" s="772" t="s">
        <v>17</v>
      </c>
      <c r="W29" s="773" t="e">
        <f t="shared" si="14"/>
        <v>#N/A</v>
      </c>
      <c r="X29" s="1813"/>
      <c r="Y29" s="3296"/>
      <c r="Z29" s="1814" t="str">
        <f t="shared" si="15"/>
        <v>成新率</v>
      </c>
      <c r="AA29" s="1811" t="e">
        <f t="shared" si="3"/>
        <v>#N/A</v>
      </c>
      <c r="AB29" s="1811" t="e">
        <f t="shared" si="4"/>
        <v>#N/A</v>
      </c>
      <c r="AC29" s="1811" t="e">
        <f t="shared" si="5"/>
        <v>#N/A</v>
      </c>
    </row>
    <row r="30" spans="1:29" ht="15">
      <c r="A30" s="654"/>
      <c r="B30" s="652" t="s">
        <v>2717</v>
      </c>
      <c r="C30" s="655"/>
      <c r="D30" s="435">
        <v>100</v>
      </c>
      <c r="E30" s="655"/>
      <c r="F30" s="461">
        <f>SUMIF(88:88,E30,89:89)-SUMIF(88:88,C30,89:89)+100</f>
        <v>100</v>
      </c>
      <c r="G30" s="655"/>
      <c r="H30" s="435">
        <f>SUMIF(88:88,E30,89:89)-SUMIF(88:88,C30,89:89)+100</f>
        <v>100</v>
      </c>
      <c r="I30" s="655"/>
      <c r="J30" s="435">
        <f>SUMIF(88:88,E30,89:89)-SUMIF(88:88,C30,89:89)+100</f>
        <v>100</v>
      </c>
      <c r="K30" s="610"/>
      <c r="L30" s="1141"/>
      <c r="M30" s="1132"/>
      <c r="N30" s="1132"/>
      <c r="O30" s="1132"/>
      <c r="P30" s="3296"/>
      <c r="Q30" s="1810" t="str">
        <f t="shared" si="11"/>
        <v>物业等级</v>
      </c>
      <c r="R30" s="772" t="s">
        <v>17</v>
      </c>
      <c r="S30" s="773">
        <f t="shared" si="12"/>
        <v>100</v>
      </c>
      <c r="T30" s="772" t="s">
        <v>17</v>
      </c>
      <c r="U30" s="773">
        <f t="shared" si="13"/>
        <v>100</v>
      </c>
      <c r="V30" s="772" t="s">
        <v>17</v>
      </c>
      <c r="W30" s="773">
        <f t="shared" si="14"/>
        <v>100</v>
      </c>
      <c r="X30" s="1813"/>
      <c r="Y30" s="3296"/>
      <c r="Z30" s="1814" t="str">
        <f t="shared" si="15"/>
        <v>物业等级</v>
      </c>
      <c r="AA30" s="1811">
        <f t="shared" si="3"/>
        <v>1</v>
      </c>
      <c r="AB30" s="1811">
        <f t="shared" si="4"/>
        <v>1</v>
      </c>
      <c r="AC30" s="1811">
        <f t="shared" si="5"/>
        <v>1</v>
      </c>
    </row>
    <row r="31" spans="1:29" s="117" customFormat="1" ht="15">
      <c r="A31" s="656"/>
      <c r="B31" s="652" t="s">
        <v>2718</v>
      </c>
      <c r="C31" s="467"/>
      <c r="D31" s="136">
        <v>100</v>
      </c>
      <c r="E31" s="467"/>
      <c r="F31" s="461" t="e">
        <f>LOOKUP(E31,91:91,92:92)-LOOKUP(C31,91:91,92:92)+100</f>
        <v>#N/A</v>
      </c>
      <c r="G31" s="467"/>
      <c r="H31" s="435" t="e">
        <f>LOOKUP(G31,91:91,92:92)-LOOKUP(C31,91:91,92:92)+100</f>
        <v>#N/A</v>
      </c>
      <c r="I31" s="467"/>
      <c r="J31" s="435" t="e">
        <f>LOOKUP(I31,91:91,92:92)-LOOKUP(C31,91:91,92:92)+100</f>
        <v>#N/A</v>
      </c>
      <c r="K31" s="610"/>
      <c r="L31" s="1133"/>
      <c r="M31" s="1134"/>
      <c r="N31" s="1134"/>
      <c r="O31" s="1134"/>
      <c r="P31" s="3296"/>
      <c r="Q31" s="1795" t="str">
        <f t="shared" si="11"/>
        <v>停车位面积</v>
      </c>
      <c r="R31" s="768" t="s">
        <v>17</v>
      </c>
      <c r="S31" s="769" t="e">
        <f t="shared" si="12"/>
        <v>#N/A</v>
      </c>
      <c r="T31" s="768" t="s">
        <v>17</v>
      </c>
      <c r="U31" s="769" t="e">
        <f t="shared" si="13"/>
        <v>#N/A</v>
      </c>
      <c r="V31" s="768" t="s">
        <v>17</v>
      </c>
      <c r="W31" s="769" t="e">
        <f t="shared" si="14"/>
        <v>#N/A</v>
      </c>
      <c r="X31" s="770"/>
      <c r="Y31" s="3296"/>
      <c r="Z31" s="55" t="str">
        <f t="shared" si="15"/>
        <v>停车位面积</v>
      </c>
      <c r="AA31" s="771" t="e">
        <f t="shared" si="3"/>
        <v>#N/A</v>
      </c>
      <c r="AB31" s="771" t="e">
        <f t="shared" si="4"/>
        <v>#N/A</v>
      </c>
      <c r="AC31" s="771" t="e">
        <f t="shared" si="5"/>
        <v>#N/A</v>
      </c>
    </row>
    <row r="32" spans="1:29" ht="15">
      <c r="A32" s="654"/>
      <c r="B32" s="652" t="s">
        <v>2719</v>
      </c>
      <c r="C32" s="460"/>
      <c r="D32" s="435">
        <v>100</v>
      </c>
      <c r="E32" s="460"/>
      <c r="F32" s="461">
        <f>SUMIF(93:93,E32,94:94)-SUMIF(93:93,C32,94:94)+100</f>
        <v>100</v>
      </c>
      <c r="G32" s="460"/>
      <c r="H32" s="435">
        <f>SUMIF(93:93,G32,94:94)-SUMIF(93:93,C32,94:94)+100</f>
        <v>100</v>
      </c>
      <c r="I32" s="460"/>
      <c r="J32" s="435">
        <f>SUMIF(93:93,I32,94:94)-SUMIF(93:93,C32,94:94)+100</f>
        <v>100</v>
      </c>
      <c r="K32" s="610"/>
      <c r="L32" s="1141"/>
      <c r="M32" s="1132"/>
      <c r="N32" s="1132"/>
      <c r="O32" s="1132"/>
      <c r="P32" s="3296" t="s">
        <v>2566</v>
      </c>
      <c r="Q32" s="1810" t="str">
        <f t="shared" si="11"/>
        <v>车位类型</v>
      </c>
      <c r="R32" s="772" t="s">
        <v>17</v>
      </c>
      <c r="S32" s="773">
        <f t="shared" si="12"/>
        <v>100</v>
      </c>
      <c r="T32" s="772" t="s">
        <v>17</v>
      </c>
      <c r="U32" s="773">
        <f t="shared" si="13"/>
        <v>100</v>
      </c>
      <c r="V32" s="772" t="s">
        <v>17</v>
      </c>
      <c r="W32" s="773">
        <f t="shared" si="14"/>
        <v>100</v>
      </c>
      <c r="X32" s="1813"/>
      <c r="Y32" s="3296" t="s">
        <v>2566</v>
      </c>
      <c r="Z32" s="1814" t="str">
        <f t="shared" si="15"/>
        <v>车位类型</v>
      </c>
      <c r="AA32" s="1811">
        <f t="shared" si="3"/>
        <v>1</v>
      </c>
      <c r="AB32" s="1811">
        <f t="shared" si="4"/>
        <v>1</v>
      </c>
      <c r="AC32" s="1811">
        <f t="shared" si="5"/>
        <v>1</v>
      </c>
    </row>
    <row r="33" spans="1:29" ht="15">
      <c r="A33" s="654"/>
      <c r="B33" s="652" t="s">
        <v>2720</v>
      </c>
      <c r="C33" s="460"/>
      <c r="D33" s="435">
        <v>100</v>
      </c>
      <c r="E33" s="460"/>
      <c r="F33" s="461">
        <f>SUMIF(95:95,E33,96:96)-SUMIF(95:95,C33,96:96)+100</f>
        <v>100</v>
      </c>
      <c r="G33" s="460"/>
      <c r="H33" s="435">
        <f>SUMIF(95:95,G33,96:96)-SUMIF(95:95,C33,96:96)+100</f>
        <v>100</v>
      </c>
      <c r="I33" s="460"/>
      <c r="J33" s="435">
        <f>SUMIF(95:95,I33,96:96)-SUMIF(95:95,C33,96:96)+100</f>
        <v>100</v>
      </c>
      <c r="K33" s="610"/>
      <c r="L33" s="1141"/>
      <c r="M33" s="1132"/>
      <c r="N33" s="1132"/>
      <c r="O33" s="1132"/>
      <c r="P33" s="3296"/>
      <c r="Q33" s="1810" t="str">
        <f t="shared" si="11"/>
        <v>是否直接入户</v>
      </c>
      <c r="R33" s="772" t="s">
        <v>17</v>
      </c>
      <c r="S33" s="773">
        <f t="shared" si="12"/>
        <v>100</v>
      </c>
      <c r="T33" s="772" t="s">
        <v>17</v>
      </c>
      <c r="U33" s="773">
        <f t="shared" si="13"/>
        <v>100</v>
      </c>
      <c r="V33" s="772" t="s">
        <v>17</v>
      </c>
      <c r="W33" s="773">
        <f t="shared" si="14"/>
        <v>100</v>
      </c>
      <c r="X33" s="1813"/>
      <c r="Y33" s="3296"/>
      <c r="Z33" s="1814" t="str">
        <f t="shared" si="15"/>
        <v>是否直接入户</v>
      </c>
      <c r="AA33" s="1811">
        <f t="shared" si="3"/>
        <v>1</v>
      </c>
      <c r="AB33" s="1811">
        <f t="shared" si="4"/>
        <v>1</v>
      </c>
      <c r="AC33" s="1811">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1"/>
      <c r="L34" s="1141"/>
      <c r="M34" s="1132"/>
      <c r="N34" s="1132"/>
      <c r="O34" s="1132"/>
      <c r="P34" s="3296"/>
      <c r="Q34" s="1810">
        <f t="shared" si="11"/>
        <v>111</v>
      </c>
      <c r="R34" s="772" t="s">
        <v>17</v>
      </c>
      <c r="S34" s="773">
        <f t="shared" si="12"/>
        <v>100</v>
      </c>
      <c r="T34" s="772" t="s">
        <v>17</v>
      </c>
      <c r="U34" s="773">
        <f t="shared" si="13"/>
        <v>100</v>
      </c>
      <c r="V34" s="772" t="s">
        <v>17</v>
      </c>
      <c r="W34" s="773">
        <f t="shared" si="14"/>
        <v>100</v>
      </c>
      <c r="X34" s="1813"/>
      <c r="Y34" s="3296"/>
      <c r="Z34" s="1814">
        <f t="shared" si="15"/>
        <v>111</v>
      </c>
      <c r="AA34" s="1811">
        <f t="shared" si="3"/>
        <v>1</v>
      </c>
      <c r="AB34" s="1811">
        <f t="shared" si="4"/>
        <v>1</v>
      </c>
      <c r="AC34" s="1811">
        <f t="shared" si="5"/>
        <v>1</v>
      </c>
    </row>
    <row r="35" spans="1:29" s="469"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1"/>
      <c r="L35" s="1139"/>
      <c r="M35" s="1142"/>
      <c r="N35" s="1142"/>
      <c r="O35" s="1142"/>
      <c r="P35" s="3296"/>
      <c r="Q35" s="774">
        <f t="shared" si="11"/>
        <v>111</v>
      </c>
      <c r="R35" s="775" t="s">
        <v>17</v>
      </c>
      <c r="S35" s="776">
        <f t="shared" si="12"/>
        <v>100</v>
      </c>
      <c r="T35" s="775" t="s">
        <v>17</v>
      </c>
      <c r="U35" s="776">
        <f t="shared" si="13"/>
        <v>100</v>
      </c>
      <c r="V35" s="775" t="s">
        <v>17</v>
      </c>
      <c r="W35" s="776">
        <f t="shared" si="14"/>
        <v>100</v>
      </c>
      <c r="X35" s="777"/>
      <c r="Y35" s="3296"/>
      <c r="Z35" s="778">
        <f t="shared" si="15"/>
        <v>111</v>
      </c>
      <c r="AA35" s="1811">
        <f t="shared" si="3"/>
        <v>1</v>
      </c>
      <c r="AB35" s="1811">
        <f t="shared" si="4"/>
        <v>1</v>
      </c>
      <c r="AC35" s="1811">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1"/>
      <c r="L36" s="1141"/>
      <c r="M36" s="1132"/>
      <c r="N36" s="1132"/>
      <c r="O36" s="1132"/>
      <c r="P36" s="3296"/>
      <c r="Q36" s="1810">
        <f t="shared" si="11"/>
        <v>111</v>
      </c>
      <c r="R36" s="772" t="s">
        <v>17</v>
      </c>
      <c r="S36" s="773">
        <f t="shared" si="12"/>
        <v>100</v>
      </c>
      <c r="T36" s="772" t="s">
        <v>17</v>
      </c>
      <c r="U36" s="773">
        <f t="shared" si="13"/>
        <v>100</v>
      </c>
      <c r="V36" s="772" t="s">
        <v>17</v>
      </c>
      <c r="W36" s="773">
        <f t="shared" si="14"/>
        <v>100</v>
      </c>
      <c r="X36" s="1813"/>
      <c r="Y36" s="3296"/>
      <c r="Z36" s="1814">
        <f t="shared" si="15"/>
        <v>111</v>
      </c>
      <c r="AA36" s="1811">
        <f t="shared" si="3"/>
        <v>1</v>
      </c>
      <c r="AB36" s="1811">
        <f t="shared" si="4"/>
        <v>1</v>
      </c>
      <c r="AC36" s="1811">
        <f t="shared" si="5"/>
        <v>1</v>
      </c>
    </row>
    <row r="37" spans="1:29" ht="15">
      <c r="A37" s="477" t="s">
        <v>2721</v>
      </c>
      <c r="B37" s="2697" t="s">
        <v>2722</v>
      </c>
      <c r="C37" s="1407" t="s">
        <v>1</v>
      </c>
      <c r="D37" s="1408"/>
      <c r="E37" s="1409"/>
      <c r="F37" s="1410"/>
      <c r="G37" s="1411"/>
      <c r="H37" s="1412"/>
      <c r="I37" s="1409"/>
      <c r="J37" s="1412"/>
      <c r="K37" s="617"/>
      <c r="L37" s="1144"/>
      <c r="M37" s="1145"/>
      <c r="N37" s="1132"/>
      <c r="O37" s="1145"/>
      <c r="P37" s="3298" t="str">
        <f>A37</f>
        <v>成交单价</v>
      </c>
      <c r="Q37" s="3298"/>
      <c r="R37" s="3299">
        <f>E37</f>
        <v>0</v>
      </c>
      <c r="S37" s="3299"/>
      <c r="T37" s="3299">
        <f>G37</f>
        <v>0</v>
      </c>
      <c r="U37" s="3299"/>
      <c r="V37" s="3299">
        <f>I37</f>
        <v>0</v>
      </c>
      <c r="W37" s="3299"/>
      <c r="X37" s="757"/>
      <c r="Y37" s="779"/>
      <c r="Z37" s="757"/>
      <c r="AA37" s="757"/>
      <c r="AB37" s="757"/>
      <c r="AC37" s="757"/>
    </row>
    <row r="38" spans="1:29" ht="15.75" thickBot="1">
      <c r="A38" s="484" t="s">
        <v>2723</v>
      </c>
      <c r="B38" s="485" t="str">
        <f>B37</f>
        <v>元/车位</v>
      </c>
      <c r="C38" s="1413" t="e">
        <f>R39</f>
        <v>#DIV/0!</v>
      </c>
      <c r="D38" s="1414"/>
      <c r="E38" s="1415" t="e">
        <f>R38</f>
        <v>#DIV/0!</v>
      </c>
      <c r="F38" s="1415"/>
      <c r="G38" s="1413" t="e">
        <f>T38</f>
        <v>#DIV/0!</v>
      </c>
      <c r="H38" s="1414"/>
      <c r="I38" s="1415" t="e">
        <f>V38</f>
        <v>#DIV/0!</v>
      </c>
      <c r="J38" s="1414"/>
      <c r="K38" s="618"/>
      <c r="L38" s="1144"/>
      <c r="M38" s="1145"/>
      <c r="N38" s="1145"/>
      <c r="O38" s="1145"/>
      <c r="P38" s="3298" t="str">
        <f>A38</f>
        <v>比较价值（元/平方米）</v>
      </c>
      <c r="Q38" s="3298"/>
      <c r="R38" s="3299" t="e">
        <f>IF(F1="售价",ROUND(PRODUCT(R37,AA7:AA36),0),ROUND(PRODUCT(R37,AA7:AA36),1))</f>
        <v>#DIV/0!</v>
      </c>
      <c r="S38" s="3299"/>
      <c r="T38" s="3299" t="e">
        <f>IF(F1="售价",ROUND(PRODUCT(T37,AB7:AB36),0),ROUND(PRODUCT(T37,AB7:AB36),1))</f>
        <v>#DIV/0!</v>
      </c>
      <c r="U38" s="3299"/>
      <c r="V38" s="3299" t="e">
        <f>IF(F1="售价",ROUND(PRODUCT(V37,AC7:AC36),0),ROUND(PRODUCT(V37,AC7:AC36),1))</f>
        <v>#DIV/0!</v>
      </c>
      <c r="W38" s="3299"/>
      <c r="X38" s="757"/>
      <c r="Y38" s="757"/>
      <c r="Z38" s="757"/>
      <c r="AA38" s="757"/>
      <c r="AB38" s="757"/>
      <c r="AC38" s="757"/>
    </row>
    <row r="39" spans="1:29" ht="15.75" thickBot="1">
      <c r="A39" s="490" t="s">
        <v>2724</v>
      </c>
      <c r="B39" s="491"/>
      <c r="C39" s="1417" t="e">
        <f>R39</f>
        <v>#DIV/0!</v>
      </c>
      <c r="D39" s="1417"/>
      <c r="E39" s="1417"/>
      <c r="F39" s="1417"/>
      <c r="G39" s="1417"/>
      <c r="H39" s="1417"/>
      <c r="I39" s="1417"/>
      <c r="J39" s="1417"/>
      <c r="K39" s="619"/>
      <c r="L39" s="1144"/>
      <c r="M39" s="1145"/>
      <c r="N39" s="1145"/>
      <c r="O39" s="1145"/>
      <c r="P39" s="3300" t="str">
        <f>A39</f>
        <v>估价对象XX用房的比较价值（楼面单价，元/平方米）</v>
      </c>
      <c r="Q39" s="3301"/>
      <c r="R39" s="3302" t="e">
        <f>IF(F1="售价",ROUND(AVERAGE(R38:V38),0),ROUND(AVERAGE(R38:V38),1))</f>
        <v>#DIV/0!</v>
      </c>
      <c r="S39" s="3302"/>
      <c r="T39" s="3302"/>
      <c r="U39" s="3302"/>
      <c r="V39" s="3302"/>
      <c r="W39" s="3302"/>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5" t="s">
        <v>2725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5" t="s">
        <v>2726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0" customFormat="1" ht="13.5" customHeight="1">
      <c r="A44" s="1146"/>
      <c r="B44" s="1146"/>
      <c r="C44" s="495" t="s">
        <v>2727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2728</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6" customFormat="1" ht="15">
      <c r="A48" s="503" t="s">
        <v>2729</v>
      </c>
      <c r="B48" s="504"/>
      <c r="C48" s="1574" t="str">
        <f>YEAR(C7)&amp;"-"&amp;MONTH(C7)</f>
        <v>2018-10</v>
      </c>
      <c r="D48" s="1575">
        <f>EDATE(C48,-1)</f>
        <v>43344</v>
      </c>
      <c r="E48" s="1575">
        <f t="shared" ref="E48:O48" si="16">EDATE(D48,-1)</f>
        <v>43313</v>
      </c>
      <c r="F48" s="1575">
        <f t="shared" si="16"/>
        <v>43282</v>
      </c>
      <c r="G48" s="1575">
        <f t="shared" si="16"/>
        <v>43252</v>
      </c>
      <c r="H48" s="1575">
        <f t="shared" si="16"/>
        <v>43221</v>
      </c>
      <c r="I48" s="1575">
        <f t="shared" si="16"/>
        <v>43191</v>
      </c>
      <c r="J48" s="1575">
        <f t="shared" si="16"/>
        <v>43160</v>
      </c>
      <c r="K48" s="1575">
        <f t="shared" si="16"/>
        <v>43132</v>
      </c>
      <c r="L48" s="1575">
        <f t="shared" si="16"/>
        <v>43101</v>
      </c>
      <c r="M48" s="1575">
        <f t="shared" si="16"/>
        <v>43070</v>
      </c>
      <c r="N48" s="1575">
        <f t="shared" si="16"/>
        <v>43040</v>
      </c>
      <c r="O48" s="1575">
        <f t="shared" si="16"/>
        <v>43009</v>
      </c>
      <c r="P48" s="1438"/>
      <c r="Q48" s="1439"/>
      <c r="R48" s="1439"/>
      <c r="S48" s="1439"/>
      <c r="T48" s="1439"/>
      <c r="U48" s="1439"/>
      <c r="V48" s="1439"/>
      <c r="W48" s="1439"/>
      <c r="X48" s="1439"/>
      <c r="Y48" s="1439"/>
      <c r="Z48" s="1439"/>
      <c r="AA48" s="1439"/>
      <c r="AB48" s="1439"/>
      <c r="AC48" s="1439"/>
    </row>
    <row r="49" spans="1:29" s="117"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7" customFormat="1" ht="15.75" thickBot="1">
      <c r="A50" s="513" t="s">
        <v>2586</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7" customFormat="1" ht="15">
      <c r="A51" s="519" t="s">
        <v>2551</v>
      </c>
      <c r="B51" s="508"/>
      <c r="C51" s="520" t="s">
        <v>2653</v>
      </c>
      <c r="D51" s="521"/>
      <c r="E51" s="521"/>
      <c r="F51" s="521"/>
      <c r="G51" s="521"/>
      <c r="H51" s="521"/>
      <c r="I51" s="521"/>
      <c r="J51" s="521"/>
      <c r="K51" s="521"/>
      <c r="L51" s="522"/>
      <c r="M51" s="523"/>
      <c r="N51" s="1152"/>
      <c r="O51" s="1152"/>
      <c r="P51" s="1426"/>
      <c r="Q51" s="1423"/>
      <c r="R51" s="1427"/>
      <c r="S51" s="1427"/>
      <c r="T51" s="1427"/>
      <c r="U51" s="1427"/>
      <c r="V51" s="1427"/>
      <c r="W51" s="1427"/>
      <c r="X51" s="1427"/>
      <c r="Y51" s="1427"/>
      <c r="Z51" s="1427"/>
      <c r="AA51" s="1427"/>
      <c r="AB51" s="1427"/>
      <c r="AC51" s="1427"/>
    </row>
    <row r="52" spans="1:29" s="117" customFormat="1" ht="15.75" thickBot="1">
      <c r="A52" s="519"/>
      <c r="B52" s="508"/>
      <c r="C52" s="637">
        <v>100</v>
      </c>
      <c r="D52" s="510"/>
      <c r="E52" s="510"/>
      <c r="F52" s="510"/>
      <c r="G52" s="510"/>
      <c r="H52" s="510"/>
      <c r="I52" s="510"/>
      <c r="J52" s="510"/>
      <c r="K52" s="510"/>
      <c r="L52" s="510"/>
      <c r="M52" s="512"/>
      <c r="N52" s="1152"/>
      <c r="O52" s="1152"/>
      <c r="P52" s="1428"/>
      <c r="Q52" s="1423"/>
      <c r="R52" s="1427"/>
      <c r="S52" s="1427"/>
      <c r="T52" s="1427"/>
      <c r="U52" s="1427"/>
      <c r="V52" s="1427"/>
      <c r="W52" s="1427"/>
      <c r="X52" s="1427"/>
      <c r="Y52" s="1427"/>
      <c r="Z52" s="1427"/>
      <c r="AA52" s="1427"/>
      <c r="AB52" s="1427"/>
      <c r="AC52" s="1427"/>
    </row>
    <row r="53" spans="1:29">
      <c r="A53" s="525" t="s">
        <v>2589</v>
      </c>
      <c r="B53" s="526" t="s">
        <v>2555</v>
      </c>
      <c r="C53" s="527">
        <f>C9</f>
        <v>0</v>
      </c>
      <c r="D53" s="528"/>
      <c r="E53" s="528"/>
      <c r="F53" s="528"/>
      <c r="G53" s="528"/>
      <c r="H53" s="528"/>
      <c r="I53" s="528"/>
      <c r="J53" s="528"/>
      <c r="K53" s="529"/>
      <c r="L53" s="530"/>
      <c r="M53" s="531"/>
      <c r="N53" s="1153"/>
      <c r="O53" s="1153"/>
      <c r="P53" s="1429"/>
      <c r="Q53" s="1423"/>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29"/>
      <c r="Q54" s="1423"/>
      <c r="R54" s="1145"/>
      <c r="S54" s="1145"/>
      <c r="T54" s="1145"/>
      <c r="U54" s="1145"/>
      <c r="V54" s="1145"/>
      <c r="W54" s="1145"/>
      <c r="X54" s="1145"/>
      <c r="Y54" s="1145"/>
      <c r="Z54" s="1145"/>
      <c r="AA54" s="1145"/>
      <c r="AB54" s="1145"/>
      <c r="AC54" s="1145"/>
    </row>
    <row r="55" spans="1:29" ht="27.75" thickTop="1">
      <c r="A55" s="532"/>
      <c r="B55" s="536" t="s">
        <v>2558</v>
      </c>
      <c r="C55" s="537" t="s">
        <v>2590</v>
      </c>
      <c r="D55" s="537" t="s">
        <v>2591</v>
      </c>
      <c r="E55" s="537" t="s">
        <v>2592</v>
      </c>
      <c r="F55" s="537" t="s">
        <v>2593</v>
      </c>
      <c r="G55" s="537" t="s">
        <v>2594</v>
      </c>
      <c r="H55" s="537" t="s">
        <v>2595</v>
      </c>
      <c r="I55" s="537" t="s">
        <v>2596</v>
      </c>
      <c r="J55" s="537"/>
      <c r="K55" s="538"/>
      <c r="L55" s="539"/>
      <c r="M55" s="540"/>
      <c r="N55" s="1153"/>
      <c r="O55" s="1153"/>
      <c r="P55" s="1429"/>
      <c r="Q55" s="1423"/>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29"/>
      <c r="Q56" s="1423"/>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29"/>
      <c r="Q57" s="1423"/>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29"/>
      <c r="Q58" s="1423"/>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4"/>
      <c r="O60" s="1154"/>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5"/>
      <c r="O61" s="1155"/>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5"/>
      <c r="O62" s="1155"/>
      <c r="P62" s="1430"/>
      <c r="Q62" s="1431"/>
      <c r="R62" s="1432"/>
      <c r="S62" s="1432"/>
      <c r="T62" s="1432"/>
      <c r="U62" s="1432"/>
      <c r="V62" s="1432"/>
      <c r="W62" s="1432"/>
      <c r="X62" s="1432"/>
      <c r="Y62" s="1432"/>
      <c r="Z62" s="1432"/>
      <c r="AA62" s="1432"/>
      <c r="AB62" s="1432"/>
      <c r="AC62" s="1432"/>
    </row>
    <row r="63" spans="1:29" ht="15" thickTop="1">
      <c r="A63" s="525" t="s">
        <v>2560</v>
      </c>
      <c r="B63" s="526" t="s">
        <v>2603</v>
      </c>
      <c r="C63" s="571" t="s">
        <v>2598</v>
      </c>
      <c r="D63" s="571" t="s">
        <v>2599</v>
      </c>
      <c r="E63" s="571" t="s">
        <v>2600</v>
      </c>
      <c r="F63" s="571" t="s">
        <v>2601</v>
      </c>
      <c r="G63" s="571" t="s">
        <v>2602</v>
      </c>
      <c r="H63" s="527"/>
      <c r="I63" s="527"/>
      <c r="J63" s="527"/>
      <c r="K63" s="572"/>
      <c r="L63" s="573"/>
      <c r="M63" s="574"/>
      <c r="N63" s="1153"/>
      <c r="O63" s="1153"/>
      <c r="P63" s="1435"/>
      <c r="Q63" s="1423"/>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29"/>
      <c r="Q64" s="1423"/>
      <c r="R64" s="1145"/>
      <c r="S64" s="1145"/>
      <c r="T64" s="1145"/>
      <c r="U64" s="1145"/>
      <c r="V64" s="1145"/>
      <c r="W64" s="1145"/>
      <c r="X64" s="1145"/>
      <c r="Y64" s="1145"/>
      <c r="Z64" s="1145"/>
      <c r="AA64" s="1145"/>
      <c r="AB64" s="1145"/>
      <c r="AC64" s="1145"/>
    </row>
    <row r="65" spans="1:29" ht="15.75" thickTop="1">
      <c r="A65" s="532"/>
      <c r="B65" s="536" t="s">
        <v>2604</v>
      </c>
      <c r="C65" s="576" t="s">
        <v>2598</v>
      </c>
      <c r="D65" s="576" t="s">
        <v>2599</v>
      </c>
      <c r="E65" s="576" t="s">
        <v>2600</v>
      </c>
      <c r="F65" s="576" t="s">
        <v>2601</v>
      </c>
      <c r="G65" s="576" t="s">
        <v>2602</v>
      </c>
      <c r="H65" s="537"/>
      <c r="I65" s="537"/>
      <c r="J65" s="537"/>
      <c r="K65" s="538"/>
      <c r="L65" s="539"/>
      <c r="M65" s="540"/>
      <c r="N65" s="1153"/>
      <c r="O65" s="1153"/>
      <c r="P65" s="1429"/>
      <c r="Q65" s="1423"/>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29"/>
      <c r="Q66" s="1423"/>
      <c r="R66" s="1145"/>
      <c r="S66" s="1145"/>
      <c r="T66" s="1145"/>
      <c r="U66" s="1145"/>
      <c r="V66" s="1145"/>
      <c r="W66" s="1145"/>
      <c r="X66" s="1145"/>
      <c r="Y66" s="1145"/>
      <c r="Z66" s="1145"/>
      <c r="AA66" s="1145"/>
      <c r="AB66" s="1145"/>
      <c r="AC66" s="1145"/>
    </row>
    <row r="67" spans="1:29" ht="15.75" thickTop="1">
      <c r="A67" s="532"/>
      <c r="B67" s="544" t="s">
        <v>2690</v>
      </c>
      <c r="C67" s="658" t="s">
        <v>2676</v>
      </c>
      <c r="D67" s="658" t="s">
        <v>2677</v>
      </c>
      <c r="E67" s="658" t="s">
        <v>2678</v>
      </c>
      <c r="F67" s="658" t="s">
        <v>2679</v>
      </c>
      <c r="G67" s="658" t="s">
        <v>2680</v>
      </c>
      <c r="H67" s="537"/>
      <c r="I67" s="537"/>
      <c r="J67" s="537"/>
      <c r="K67" s="537"/>
      <c r="L67" s="537"/>
      <c r="M67" s="1383"/>
      <c r="N67" s="1154"/>
      <c r="O67" s="1154"/>
      <c r="P67" s="1429"/>
      <c r="Q67" s="1423"/>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50"/>
      <c r="N68" s="1154"/>
      <c r="O68" s="1154"/>
      <c r="P68" s="1429"/>
      <c r="Q68" s="1423"/>
      <c r="R68" s="1145"/>
      <c r="S68" s="1145"/>
      <c r="T68" s="1145"/>
      <c r="U68" s="1145"/>
      <c r="V68" s="1145"/>
      <c r="W68" s="1145"/>
      <c r="X68" s="1145"/>
      <c r="Y68" s="1145"/>
      <c r="Z68" s="1145"/>
      <c r="AA68" s="1145"/>
      <c r="AB68" s="1145"/>
      <c r="AC68" s="1145"/>
    </row>
    <row r="69" spans="1:29" ht="15.75" thickTop="1">
      <c r="A69" s="532"/>
      <c r="B69" s="536" t="s">
        <v>2610</v>
      </c>
      <c r="C69" s="576" t="s">
        <v>2598</v>
      </c>
      <c r="D69" s="576" t="s">
        <v>2599</v>
      </c>
      <c r="E69" s="576" t="s">
        <v>2600</v>
      </c>
      <c r="F69" s="576" t="s">
        <v>2601</v>
      </c>
      <c r="G69" s="576" t="s">
        <v>2602</v>
      </c>
      <c r="H69" s="537"/>
      <c r="I69" s="537"/>
      <c r="J69" s="537"/>
      <c r="K69" s="538"/>
      <c r="L69" s="539"/>
      <c r="M69" s="540"/>
      <c r="N69" s="1153"/>
      <c r="O69" s="1153"/>
      <c r="P69" s="1429"/>
      <c r="Q69" s="1423"/>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29"/>
      <c r="Q70" s="1423"/>
      <c r="R70" s="1145"/>
      <c r="S70" s="1145"/>
      <c r="T70" s="1145"/>
      <c r="U70" s="1145"/>
      <c r="V70" s="1145"/>
      <c r="W70" s="1145"/>
      <c r="X70" s="1145"/>
      <c r="Y70" s="1145"/>
      <c r="Z70" s="1145"/>
      <c r="AA70" s="1145"/>
      <c r="AB70" s="1145"/>
      <c r="AC70" s="1145"/>
    </row>
    <row r="71" spans="1:29" ht="15.75" thickTop="1">
      <c r="A71" s="532"/>
      <c r="B71" s="536" t="s">
        <v>2730</v>
      </c>
      <c r="C71" s="552"/>
      <c r="D71" s="552"/>
      <c r="E71" s="552"/>
      <c r="F71" s="552"/>
      <c r="G71" s="552"/>
      <c r="H71" s="581"/>
      <c r="I71" s="581"/>
      <c r="J71" s="581"/>
      <c r="K71" s="582"/>
      <c r="L71" s="583"/>
      <c r="M71" s="584"/>
      <c r="N71" s="1153"/>
      <c r="O71" s="1153"/>
      <c r="P71" s="1429"/>
      <c r="Q71" s="1423"/>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29"/>
      <c r="Q72" s="1423"/>
      <c r="R72" s="1145"/>
      <c r="S72" s="1145"/>
      <c r="T72" s="1145"/>
      <c r="U72" s="1145"/>
      <c r="V72" s="1145"/>
      <c r="W72" s="1145"/>
      <c r="X72" s="1145"/>
      <c r="Y72" s="1145"/>
      <c r="Z72" s="1145"/>
      <c r="AA72" s="1145"/>
      <c r="AB72" s="1145"/>
      <c r="AC72" s="1145"/>
    </row>
    <row r="73" spans="1:29" s="117" customFormat="1" ht="15.75" thickTop="1">
      <c r="A73" s="577"/>
      <c r="B73" s="536">
        <f>B23</f>
        <v>111</v>
      </c>
      <c r="C73" s="547"/>
      <c r="D73" s="547"/>
      <c r="E73" s="547"/>
      <c r="F73" s="547"/>
      <c r="G73" s="552"/>
      <c r="H73" s="552"/>
      <c r="I73" s="552"/>
      <c r="J73" s="552"/>
      <c r="K73" s="552"/>
      <c r="L73" s="578"/>
      <c r="M73" s="579"/>
      <c r="N73" s="1152"/>
      <c r="O73" s="1152"/>
      <c r="P73" s="1429"/>
      <c r="Q73" s="1423"/>
      <c r="R73" s="1427"/>
      <c r="S73" s="1427"/>
      <c r="T73" s="1427"/>
      <c r="U73" s="1427"/>
      <c r="V73" s="1427"/>
      <c r="W73" s="1427"/>
      <c r="X73" s="1427"/>
      <c r="Y73" s="1427"/>
      <c r="Z73" s="1427"/>
      <c r="AA73" s="1427"/>
      <c r="AB73" s="1427"/>
      <c r="AC73" s="1427"/>
    </row>
    <row r="74" spans="1:29" s="117" customFormat="1" ht="15.75" thickBot="1">
      <c r="A74" s="577"/>
      <c r="B74" s="541"/>
      <c r="C74" s="558"/>
      <c r="D74" s="534"/>
      <c r="E74" s="534"/>
      <c r="F74" s="534"/>
      <c r="G74" s="534"/>
      <c r="H74" s="534"/>
      <c r="I74" s="534"/>
      <c r="J74" s="534"/>
      <c r="K74" s="534"/>
      <c r="L74" s="534"/>
      <c r="M74" s="535"/>
      <c r="N74" s="1154"/>
      <c r="O74" s="1154"/>
      <c r="P74" s="1429"/>
      <c r="Q74" s="1423"/>
      <c r="R74" s="1427"/>
      <c r="S74" s="1427"/>
      <c r="T74" s="1427"/>
      <c r="U74" s="1427"/>
      <c r="V74" s="1427"/>
      <c r="W74" s="1427"/>
      <c r="X74" s="1427"/>
      <c r="Y74" s="1427"/>
      <c r="Z74" s="1427"/>
      <c r="AA74" s="1427"/>
      <c r="AB74" s="1427"/>
      <c r="AC74" s="1427"/>
    </row>
    <row r="75" spans="1:29" s="117" customFormat="1" ht="15.75" thickTop="1">
      <c r="A75" s="577"/>
      <c r="B75" s="536">
        <f>B24</f>
        <v>111</v>
      </c>
      <c r="C75" s="547"/>
      <c r="D75" s="547"/>
      <c r="E75" s="547"/>
      <c r="F75" s="547"/>
      <c r="G75" s="552"/>
      <c r="H75" s="552"/>
      <c r="I75" s="552"/>
      <c r="J75" s="552"/>
      <c r="K75" s="552"/>
      <c r="L75" s="552"/>
      <c r="M75" s="579"/>
      <c r="N75" s="1152"/>
      <c r="O75" s="1152"/>
      <c r="P75" s="1429"/>
      <c r="Q75" s="1423"/>
      <c r="R75" s="1427"/>
      <c r="S75" s="1427"/>
      <c r="T75" s="1427"/>
      <c r="U75" s="1427"/>
      <c r="V75" s="1427"/>
      <c r="W75" s="1427"/>
      <c r="X75" s="1427"/>
      <c r="Y75" s="1427"/>
      <c r="Z75" s="1427"/>
      <c r="AA75" s="1427"/>
      <c r="AB75" s="1427"/>
      <c r="AC75" s="1427"/>
    </row>
    <row r="76" spans="1:29" s="117" customFormat="1" ht="15.75" thickBot="1">
      <c r="A76" s="577"/>
      <c r="B76" s="541"/>
      <c r="C76" s="558"/>
      <c r="D76" s="534"/>
      <c r="E76" s="534"/>
      <c r="F76" s="534"/>
      <c r="G76" s="534"/>
      <c r="H76" s="534"/>
      <c r="I76" s="534"/>
      <c r="J76" s="534"/>
      <c r="K76" s="534"/>
      <c r="L76" s="534"/>
      <c r="M76" s="535"/>
      <c r="N76" s="1154"/>
      <c r="O76" s="1154"/>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5"/>
      <c r="O77" s="1155"/>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5"/>
      <c r="O78" s="1155"/>
      <c r="P78" s="1430"/>
      <c r="Q78" s="1431"/>
      <c r="R78" s="1432"/>
      <c r="S78" s="1432"/>
      <c r="T78" s="1432"/>
      <c r="U78" s="1432"/>
      <c r="V78" s="1432"/>
      <c r="W78" s="1432"/>
      <c r="X78" s="1432"/>
      <c r="Y78" s="1432"/>
      <c r="Z78" s="1432"/>
      <c r="AA78" s="1432"/>
      <c r="AB78" s="1432"/>
      <c r="AC78" s="1432"/>
    </row>
    <row r="79" spans="1:29" ht="27.75" thickTop="1">
      <c r="A79" s="525" t="s">
        <v>2564</v>
      </c>
      <c r="B79" s="526" t="s">
        <v>2731</v>
      </c>
      <c r="C79" s="527">
        <f>C26</f>
        <v>0</v>
      </c>
      <c r="D79" s="528"/>
      <c r="E79" s="528"/>
      <c r="F79" s="528"/>
      <c r="G79" s="528"/>
      <c r="H79" s="528"/>
      <c r="I79" s="528"/>
      <c r="J79" s="528"/>
      <c r="K79" s="529"/>
      <c r="L79" s="530"/>
      <c r="M79" s="531"/>
      <c r="N79" s="1153"/>
      <c r="O79" s="1153"/>
      <c r="P79" s="1429"/>
      <c r="Q79" s="1423"/>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2"/>
      <c r="B81" s="536" t="s">
        <v>2732</v>
      </c>
      <c r="C81" s="659"/>
      <c r="D81" s="659"/>
      <c r="E81" s="659"/>
      <c r="F81" s="659"/>
      <c r="G81" s="659"/>
      <c r="H81" s="659"/>
      <c r="I81" s="659"/>
      <c r="J81" s="659"/>
      <c r="K81" s="660"/>
      <c r="L81" s="661"/>
      <c r="M81" s="662"/>
      <c r="N81" s="1152"/>
      <c r="O81" s="1152"/>
      <c r="P81" s="1429"/>
      <c r="Q81" s="1423"/>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0"/>
      <c r="Q82" s="1431"/>
      <c r="R82" s="1432"/>
      <c r="S82" s="1432"/>
      <c r="T82" s="1432"/>
      <c r="U82" s="1432"/>
      <c r="V82" s="1432"/>
      <c r="W82" s="1432"/>
      <c r="X82" s="1432"/>
      <c r="Y82" s="1432"/>
      <c r="Z82" s="1432"/>
      <c r="AA82" s="1432"/>
      <c r="AB82" s="1432"/>
      <c r="AC82" s="1432"/>
    </row>
    <row r="83" spans="1:29" ht="15" thickTop="1">
      <c r="A83" s="597"/>
      <c r="B83" s="536" t="s">
        <v>2617</v>
      </c>
      <c r="C83" s="552"/>
      <c r="D83" s="552"/>
      <c r="E83" s="581"/>
      <c r="F83" s="581"/>
      <c r="G83" s="581"/>
      <c r="H83" s="581"/>
      <c r="I83" s="581"/>
      <c r="J83" s="581"/>
      <c r="K83" s="582"/>
      <c r="L83" s="583"/>
      <c r="M83" s="584"/>
      <c r="N83" s="1153"/>
      <c r="O83" s="1153"/>
      <c r="P83" s="1429"/>
      <c r="Q83" s="1423"/>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7"/>
      <c r="B85" s="536" t="s">
        <v>2733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29"/>
      <c r="Q85" s="1423"/>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29"/>
      <c r="Q86" s="1423"/>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7"/>
      <c r="B88" s="544" t="s">
        <v>2734</v>
      </c>
      <c r="C88" s="528"/>
      <c r="D88" s="528"/>
      <c r="E88" s="528"/>
      <c r="F88" s="528"/>
      <c r="G88" s="528"/>
      <c r="H88" s="528"/>
      <c r="I88" s="528"/>
      <c r="J88" s="528"/>
      <c r="K88" s="529"/>
      <c r="L88" s="530"/>
      <c r="M88" s="531"/>
      <c r="N88" s="1153"/>
      <c r="O88" s="1153"/>
      <c r="P88" s="1429"/>
      <c r="Q88" s="1423"/>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29"/>
      <c r="Q89" s="1423"/>
      <c r="R89" s="1145"/>
      <c r="S89" s="1145"/>
      <c r="T89" s="1145"/>
      <c r="U89" s="1145"/>
      <c r="V89" s="1145"/>
      <c r="W89" s="1145"/>
      <c r="X89" s="1145"/>
      <c r="Y89" s="1145"/>
      <c r="Z89" s="1145"/>
      <c r="AA89" s="1145"/>
      <c r="AB89" s="1145"/>
      <c r="AC89" s="1145"/>
    </row>
    <row r="90" spans="1:29" s="469" customFormat="1" ht="15" thickTop="1">
      <c r="A90" s="591"/>
      <c r="B90" s="536" t="s">
        <v>2735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5"/>
      <c r="O91" s="1155"/>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5"/>
      <c r="O92" s="1155"/>
      <c r="P92" s="1430"/>
      <c r="Q92" s="1431"/>
      <c r="R92" s="1432"/>
      <c r="S92" s="1432"/>
      <c r="T92" s="1432"/>
      <c r="U92" s="1432"/>
      <c r="V92" s="1432"/>
      <c r="W92" s="1432"/>
      <c r="X92" s="1432"/>
      <c r="Y92" s="1432"/>
      <c r="Z92" s="1432"/>
      <c r="AA92" s="1432"/>
      <c r="AB92" s="1432"/>
      <c r="AC92" s="1432"/>
    </row>
    <row r="93" spans="1:29" ht="15" thickTop="1">
      <c r="A93" s="597"/>
      <c r="B93" s="536" t="s">
        <v>2736</v>
      </c>
      <c r="C93" s="552"/>
      <c r="D93" s="552"/>
      <c r="E93" s="581"/>
      <c r="F93" s="581"/>
      <c r="G93" s="581"/>
      <c r="H93" s="581"/>
      <c r="I93" s="581"/>
      <c r="J93" s="581"/>
      <c r="K93" s="582"/>
      <c r="L93" s="583"/>
      <c r="M93" s="584"/>
      <c r="N93" s="1153"/>
      <c r="O93" s="1153"/>
      <c r="P93" s="1429"/>
      <c r="Q93" s="1423"/>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7"/>
      <c r="B95" s="536" t="s">
        <v>2737</v>
      </c>
      <c r="C95" s="528"/>
      <c r="D95" s="528"/>
      <c r="E95" s="528"/>
      <c r="F95" s="528"/>
      <c r="G95" s="528"/>
      <c r="H95" s="528"/>
      <c r="I95" s="528"/>
      <c r="J95" s="528"/>
      <c r="K95" s="529"/>
      <c r="L95" s="530"/>
      <c r="M95" s="531"/>
      <c r="N95" s="1153"/>
      <c r="O95" s="1153"/>
      <c r="P95" s="1429"/>
      <c r="Q95" s="1423"/>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29"/>
      <c r="Q96" s="1423"/>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6"/>
      <c r="Q97" s="1437"/>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29"/>
      <c r="Q98" s="1423"/>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5"/>
      <c r="O100" s="1155"/>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3"/>
      <c r="O101" s="1153"/>
      <c r="P101" s="1429"/>
      <c r="Q101" s="1423"/>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受贵公司委托，我公司对北京市房地产市场价值进行了预评估。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估价对象为北京市房地产，为所有。根据《国有土地使用证》[]，估价对象（分摊）出让国有建设用地使用权面积为0.44平方米，建筑面积为1平方米。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估价对象为北京市房地产,属开发建设的，该项目尚在开发建设中。根据《国有土地使用证》[]，估价对象（分摊）出让国有建设用地使用权面积为0.44平方米，规划建筑面积为1平方米。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1618</v>
      </c>
    </row>
    <row r="15" spans="1:1" ht="18">
      <c r="A15" s="1954" t="str">
        <f>TEXT(项目基本情况!D3,"yyyy年m月d日;;")&amp;IF(项目基本情况!D3=项目基本情况!B3,"（评估专业人员实地查勘之日）","")</f>
        <v>2018年10月24日（评估专业人员实地查勘之日）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1609</v>
      </c>
    </row>
    <row r="24" spans="1:1" ht="18">
      <c r="A24" s="1955" t="str">
        <f>"本次评估采用的主估价方法为"&amp;结果表!K4&amp;"和"&amp;结果表!L4&amp;"。"</f>
        <v>本次评估采用的主估价方法为成本法和比较法。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7"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76" t="s">
        <v>2647</v>
      </c>
      <c r="D4" s="3277"/>
      <c r="E4" s="3278" t="s">
        <v>2648</v>
      </c>
      <c r="F4" s="3279"/>
      <c r="G4" s="3276" t="s">
        <v>2649</v>
      </c>
      <c r="H4" s="3277"/>
      <c r="I4" s="3276" t="s">
        <v>2650</v>
      </c>
      <c r="J4" s="3277"/>
      <c r="K4" s="608" t="s">
        <v>2651</v>
      </c>
      <c r="L4" s="1131"/>
      <c r="M4" s="1132"/>
      <c r="N4" s="1132"/>
      <c r="O4" s="1132"/>
      <c r="P4" s="3280" t="s">
        <v>2652</v>
      </c>
      <c r="Q4" s="3281"/>
      <c r="R4" s="3263" t="s">
        <v>2648</v>
      </c>
      <c r="S4" s="3264"/>
      <c r="T4" s="3263" t="s">
        <v>2649</v>
      </c>
      <c r="U4" s="3264"/>
      <c r="V4" s="3260" t="s">
        <v>2650</v>
      </c>
      <c r="W4" s="3260"/>
      <c r="X4" s="1813"/>
      <c r="Y4" s="3263" t="s">
        <v>2652</v>
      </c>
      <c r="Z4" s="3264"/>
      <c r="AA4" s="3257" t="s">
        <v>2648</v>
      </c>
      <c r="AB4" s="3258" t="s">
        <v>2649</v>
      </c>
      <c r="AC4" s="3257" t="s">
        <v>2650</v>
      </c>
    </row>
    <row r="5" spans="1:29" ht="15">
      <c r="A5" s="404"/>
      <c r="B5" s="405"/>
      <c r="C5" s="3269" t="s">
        <v>2543</v>
      </c>
      <c r="D5" s="3270"/>
      <c r="E5" s="3267" t="s">
        <v>2544</v>
      </c>
      <c r="F5" s="3268"/>
      <c r="G5" s="3269" t="s">
        <v>2545</v>
      </c>
      <c r="H5" s="3270"/>
      <c r="I5" s="3269" t="s">
        <v>2546</v>
      </c>
      <c r="J5" s="3270"/>
      <c r="K5" s="608"/>
      <c r="L5" s="1131"/>
      <c r="M5" s="1132"/>
      <c r="N5" s="1132"/>
      <c r="O5" s="1132"/>
      <c r="P5" s="3282"/>
      <c r="Q5" s="3283"/>
      <c r="R5" s="3265"/>
      <c r="S5" s="3266"/>
      <c r="T5" s="3265"/>
      <c r="U5" s="3266"/>
      <c r="V5" s="3260"/>
      <c r="W5" s="3260"/>
      <c r="X5" s="1813"/>
      <c r="Y5" s="3265"/>
      <c r="Z5" s="3266"/>
      <c r="AA5" s="3258"/>
      <c r="AB5" s="3258"/>
      <c r="AC5" s="3258"/>
    </row>
    <row r="6" spans="1:29" ht="15.75" thickBot="1">
      <c r="A6" s="406"/>
      <c r="B6" s="407"/>
      <c r="C6" s="3271" t="s">
        <v>2547</v>
      </c>
      <c r="D6" s="3272"/>
      <c r="E6" s="3273" t="s">
        <v>2547</v>
      </c>
      <c r="F6" s="3274"/>
      <c r="G6" s="3271" t="s">
        <v>2547</v>
      </c>
      <c r="H6" s="3272"/>
      <c r="I6" s="3271" t="s">
        <v>2547</v>
      </c>
      <c r="J6" s="3272"/>
      <c r="K6" s="608" t="s">
        <v>2548</v>
      </c>
      <c r="L6" s="1131"/>
      <c r="M6" s="1132"/>
      <c r="N6" s="1132"/>
      <c r="O6" s="1132"/>
      <c r="P6" s="3284"/>
      <c r="Q6" s="3285"/>
      <c r="R6" s="3265"/>
      <c r="S6" s="3266"/>
      <c r="T6" s="3286"/>
      <c r="U6" s="3287"/>
      <c r="V6" s="3260"/>
      <c r="W6" s="3260"/>
      <c r="X6" s="1813"/>
      <c r="Y6" s="3286"/>
      <c r="Z6" s="3287"/>
      <c r="AA6" s="3259"/>
      <c r="AB6" s="3259"/>
      <c r="AC6" s="3259"/>
    </row>
    <row r="7" spans="1:29" s="117" customFormat="1" ht="15.75" thickBot="1">
      <c r="A7" s="408" t="s">
        <v>2549</v>
      </c>
      <c r="B7" s="409"/>
      <c r="C7" s="410">
        <f>'数据-取费表'!B2</f>
        <v>43397</v>
      </c>
      <c r="D7" s="411">
        <v>100</v>
      </c>
      <c r="E7" s="412"/>
      <c r="F7" s="413">
        <f>SUMIF(46:46,YEAR(E7)&amp;"-"&amp;MONTH(E7),47:47)</f>
        <v>0</v>
      </c>
      <c r="G7" s="2698"/>
      <c r="H7" s="411">
        <f>SUMIF(46:46,YEAR(G7)&amp;"-"&amp;MONTH(G7),47:47)</f>
        <v>0</v>
      </c>
      <c r="I7" s="412"/>
      <c r="J7" s="411">
        <f>SUMIF(46:46,YEAR(I7)&amp;"-"&amp;MONTH(I7),47:47)</f>
        <v>0</v>
      </c>
      <c r="K7" s="609"/>
      <c r="L7" s="1133"/>
      <c r="M7" s="1134"/>
      <c r="N7" s="1134"/>
      <c r="O7" s="1134"/>
      <c r="P7" s="3261" t="s">
        <v>2550</v>
      </c>
      <c r="Q7" s="3288"/>
      <c r="R7" s="768" t="s">
        <v>17</v>
      </c>
      <c r="S7" s="769">
        <f t="shared" ref="S7:S14" si="0">F7</f>
        <v>0</v>
      </c>
      <c r="T7" s="768" t="s">
        <v>17</v>
      </c>
      <c r="U7" s="769">
        <f t="shared" ref="U7:U14" si="1">H7</f>
        <v>0</v>
      </c>
      <c r="V7" s="768" t="s">
        <v>17</v>
      </c>
      <c r="W7" s="769">
        <f t="shared" ref="W7:W14" si="2">J7</f>
        <v>0</v>
      </c>
      <c r="X7" s="770"/>
      <c r="Y7" s="3261" t="s">
        <v>2550</v>
      </c>
      <c r="Z7" s="3262"/>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09"/>
      <c r="L8" s="1133"/>
      <c r="M8" s="1134"/>
      <c r="N8" s="1134"/>
      <c r="O8" s="1134"/>
      <c r="P8" s="3261" t="s">
        <v>2553</v>
      </c>
      <c r="Q8" s="3262"/>
      <c r="R8" s="768" t="s">
        <v>17</v>
      </c>
      <c r="S8" s="769">
        <f t="shared" si="0"/>
        <v>0</v>
      </c>
      <c r="T8" s="768" t="s">
        <v>17</v>
      </c>
      <c r="U8" s="769">
        <f t="shared" si="1"/>
        <v>0</v>
      </c>
      <c r="V8" s="768" t="s">
        <v>17</v>
      </c>
      <c r="W8" s="769">
        <f t="shared" si="2"/>
        <v>0</v>
      </c>
      <c r="X8" s="770"/>
      <c r="Y8" s="3261" t="s">
        <v>2553</v>
      </c>
      <c r="Z8" s="3262"/>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09"/>
      <c r="L9" s="1133"/>
      <c r="M9" s="1134"/>
      <c r="N9" s="1134"/>
      <c r="O9" s="1135"/>
      <c r="P9" s="3298" t="s">
        <v>2556</v>
      </c>
      <c r="Q9" s="1795" t="str">
        <f t="shared" ref="Q9:Q14" si="6">B9</f>
        <v>用途</v>
      </c>
      <c r="R9" s="768" t="s">
        <v>17</v>
      </c>
      <c r="S9" s="769">
        <f t="shared" si="0"/>
        <v>100</v>
      </c>
      <c r="T9" s="768" t="s">
        <v>17</v>
      </c>
      <c r="U9" s="769">
        <f t="shared" si="1"/>
        <v>100</v>
      </c>
      <c r="V9" s="768" t="s">
        <v>17</v>
      </c>
      <c r="W9" s="769">
        <f t="shared" si="2"/>
        <v>100</v>
      </c>
      <c r="X9" s="770"/>
      <c r="Y9" s="3107"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0"/>
      <c r="L10" s="1136"/>
      <c r="M10" s="1137"/>
      <c r="N10" s="1137"/>
      <c r="O10" s="1138"/>
      <c r="P10" s="3298"/>
      <c r="Q10" s="1795" t="str">
        <f t="shared" si="6"/>
        <v>土地使用年限（年）</v>
      </c>
      <c r="R10" s="768" t="s">
        <v>17</v>
      </c>
      <c r="S10" s="769">
        <f t="shared" si="0"/>
        <v>100</v>
      </c>
      <c r="T10" s="768" t="s">
        <v>17</v>
      </c>
      <c r="U10" s="769">
        <f t="shared" si="1"/>
        <v>100</v>
      </c>
      <c r="V10" s="768" t="s">
        <v>17</v>
      </c>
      <c r="W10" s="769">
        <f t="shared" si="2"/>
        <v>100</v>
      </c>
      <c r="X10" s="770"/>
      <c r="Y10" s="3107"/>
      <c r="Z10" s="55" t="str">
        <f t="shared" si="7"/>
        <v>土地使用年限（年）</v>
      </c>
      <c r="AA10" s="771">
        <f t="shared" si="3"/>
        <v>1</v>
      </c>
      <c r="AB10" s="771">
        <f t="shared" si="4"/>
        <v>1</v>
      </c>
      <c r="AC10" s="771">
        <f t="shared" si="5"/>
        <v>1</v>
      </c>
    </row>
    <row r="11" spans="1:29" ht="15">
      <c r="A11" s="428"/>
      <c r="B11" s="2602">
        <v>111</v>
      </c>
      <c r="C11" s="432"/>
      <c r="D11" s="136">
        <v>100</v>
      </c>
      <c r="E11" s="467"/>
      <c r="F11" s="425">
        <f>SUMIF(55:55,E11,56:56)-SUMIF(55:55,C11,56:56)+100</f>
        <v>100</v>
      </c>
      <c r="G11" s="467"/>
      <c r="H11" s="136">
        <f>SUMIF(55:55,G11,56:56)-SUMIF(55:55,C11,56:56)+100</f>
        <v>100</v>
      </c>
      <c r="I11" s="467"/>
      <c r="J11" s="136">
        <f>SUMIF(55:55,I11,56:56)-SUMIF(55:55,C11,56:56)+100</f>
        <v>100</v>
      </c>
      <c r="K11" s="611"/>
      <c r="L11" s="1139"/>
      <c r="M11" s="1132"/>
      <c r="N11" s="1132"/>
      <c r="O11" s="1140"/>
      <c r="P11" s="3298"/>
      <c r="Q11" s="1795">
        <f t="shared" si="6"/>
        <v>111</v>
      </c>
      <c r="R11" s="768" t="s">
        <v>17</v>
      </c>
      <c r="S11" s="769">
        <f t="shared" si="0"/>
        <v>100</v>
      </c>
      <c r="T11" s="768" t="s">
        <v>17</v>
      </c>
      <c r="U11" s="769">
        <f t="shared" si="1"/>
        <v>100</v>
      </c>
      <c r="V11" s="768" t="s">
        <v>17</v>
      </c>
      <c r="W11" s="769">
        <f t="shared" si="2"/>
        <v>100</v>
      </c>
      <c r="X11" s="770"/>
      <c r="Y11" s="3107"/>
      <c r="Z11" s="55">
        <f t="shared" si="7"/>
        <v>111</v>
      </c>
      <c r="AA11" s="771">
        <f t="shared" si="3"/>
        <v>1</v>
      </c>
      <c r="AB11" s="771">
        <f t="shared" si="4"/>
        <v>1</v>
      </c>
      <c r="AC11" s="771">
        <f t="shared" si="5"/>
        <v>1</v>
      </c>
    </row>
    <row r="12" spans="1:29" s="117" customFormat="1" ht="15">
      <c r="A12" s="431"/>
      <c r="B12" s="2602">
        <v>111</v>
      </c>
      <c r="C12" s="432"/>
      <c r="D12" s="433">
        <v>100</v>
      </c>
      <c r="E12" s="467"/>
      <c r="F12" s="425">
        <f>SUMIF(57:57,E12,58:58)-SUMIF(57:57,C12,58:58)+100</f>
        <v>100</v>
      </c>
      <c r="G12" s="467"/>
      <c r="H12" s="136">
        <f>SUMIF(57:57,G12,58:58)-SUMIF(57:57,C12,58:58)+100</f>
        <v>100</v>
      </c>
      <c r="I12" s="467"/>
      <c r="J12" s="136">
        <f>SUMIF(57:57,I12,58:58)-SUMIF(57:57,C12,58:58)+100</f>
        <v>100</v>
      </c>
      <c r="K12" s="611"/>
      <c r="L12" s="1133"/>
      <c r="M12" s="1134"/>
      <c r="N12" s="1134"/>
      <c r="O12" s="1135"/>
      <c r="P12" s="3298"/>
      <c r="Q12" s="1795">
        <f t="shared" si="6"/>
        <v>111</v>
      </c>
      <c r="R12" s="768" t="s">
        <v>17</v>
      </c>
      <c r="S12" s="769">
        <f t="shared" si="0"/>
        <v>100</v>
      </c>
      <c r="T12" s="768" t="s">
        <v>17</v>
      </c>
      <c r="U12" s="769">
        <f t="shared" si="1"/>
        <v>100</v>
      </c>
      <c r="V12" s="768" t="s">
        <v>17</v>
      </c>
      <c r="W12" s="769">
        <f t="shared" si="2"/>
        <v>100</v>
      </c>
      <c r="X12" s="770"/>
      <c r="Y12" s="3107"/>
      <c r="Z12" s="55">
        <f t="shared" si="7"/>
        <v>111</v>
      </c>
      <c r="AA12" s="771">
        <f>D12/F12</f>
        <v>1</v>
      </c>
      <c r="AB12" s="771">
        <f>D12/H12</f>
        <v>1</v>
      </c>
      <c r="AC12" s="771">
        <f>D12/J12</f>
        <v>1</v>
      </c>
    </row>
    <row r="13" spans="1:29" ht="15.75" thickBot="1">
      <c r="A13" s="428"/>
      <c r="B13" s="2602">
        <v>111</v>
      </c>
      <c r="C13" s="434"/>
      <c r="D13" s="435">
        <v>100</v>
      </c>
      <c r="E13" s="467"/>
      <c r="F13" s="425">
        <f>SUMIF(59:59,E13,60:60)-SUMIF(59:59,C13,60:60)+100</f>
        <v>100</v>
      </c>
      <c r="G13" s="2699"/>
      <c r="H13" s="438">
        <f>SUMIF(59:59,G13,60:60)-SUMIF(59:59,C13,60:60)+100</f>
        <v>100</v>
      </c>
      <c r="I13" s="467"/>
      <c r="J13" s="435">
        <f>SUMIF(59:59,I13,60:60)-SUMIF(59:59,C13,60:60)+100</f>
        <v>100</v>
      </c>
      <c r="K13" s="611"/>
      <c r="L13" s="1141"/>
      <c r="M13" s="1132"/>
      <c r="N13" s="1132"/>
      <c r="O13" s="1140"/>
      <c r="P13" s="3298"/>
      <c r="Q13" s="1795">
        <f t="shared" si="6"/>
        <v>111</v>
      </c>
      <c r="R13" s="768" t="s">
        <v>17</v>
      </c>
      <c r="S13" s="769">
        <f t="shared" si="0"/>
        <v>100</v>
      </c>
      <c r="T13" s="768" t="s">
        <v>17</v>
      </c>
      <c r="U13" s="769">
        <f t="shared" si="1"/>
        <v>100</v>
      </c>
      <c r="V13" s="768" t="s">
        <v>17</v>
      </c>
      <c r="W13" s="769">
        <f t="shared" si="2"/>
        <v>100</v>
      </c>
      <c r="X13" s="770"/>
      <c r="Y13" s="3107"/>
      <c r="Z13" s="55">
        <f t="shared" si="7"/>
        <v>111</v>
      </c>
      <c r="AA13" s="771">
        <f t="shared" si="3"/>
        <v>1</v>
      </c>
      <c r="AB13" s="771">
        <f t="shared" si="4"/>
        <v>1</v>
      </c>
      <c r="AC13" s="771">
        <f t="shared" si="5"/>
        <v>1</v>
      </c>
    </row>
    <row r="14" spans="1:29" ht="156.75">
      <c r="A14" s="440" t="s">
        <v>2560</v>
      </c>
      <c r="B14" s="69" t="s">
        <v>2710</v>
      </c>
      <c r="C14" s="2695" t="str">
        <f>IF(B1="工业",估价对象房地状况!G4,估价对象房地状况!C6)</f>
        <v>估价对象紧邻城市支路-门头沟路、附近有公交车站西辛房站，停靠线路有370、960、992、M25等，附近5公里范围内无轨道交通站点，综合评价交通便捷度较好。</v>
      </c>
      <c r="D14" s="441">
        <v>100</v>
      </c>
      <c r="E14" s="442"/>
      <c r="F14" s="443">
        <f>SUMIF(61:61,E15,62:62)-SUMIF(61:61,C15,62:62)+100</f>
        <v>100</v>
      </c>
      <c r="G14" s="444"/>
      <c r="H14" s="441">
        <f>SUMIF(61:61,G15,62:62)-SUMIF(61:61,C15,62:62)+100</f>
        <v>100</v>
      </c>
      <c r="I14" s="442"/>
      <c r="J14" s="441">
        <f>SUMIF(61:61,I15,62:62)-SUMIF(61:61,C15,62:62)+100</f>
        <v>100</v>
      </c>
      <c r="K14" s="612"/>
      <c r="L14" s="1141"/>
      <c r="M14" s="1132"/>
      <c r="N14" s="1132"/>
      <c r="O14" s="1140"/>
      <c r="P14" s="3291" t="s">
        <v>2561</v>
      </c>
      <c r="Q14" s="1810" t="str">
        <f t="shared" si="6"/>
        <v>交通便捷度</v>
      </c>
      <c r="R14" s="772" t="s">
        <v>17</v>
      </c>
      <c r="S14" s="773">
        <f t="shared" si="0"/>
        <v>100</v>
      </c>
      <c r="T14" s="772" t="s">
        <v>17</v>
      </c>
      <c r="U14" s="773">
        <f t="shared" si="1"/>
        <v>100</v>
      </c>
      <c r="V14" s="772" t="s">
        <v>17</v>
      </c>
      <c r="W14" s="773">
        <f t="shared" si="2"/>
        <v>100</v>
      </c>
      <c r="X14" s="1813"/>
      <c r="Y14" s="3291"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3"/>
      <c r="L15" s="1141"/>
      <c r="M15" s="1132"/>
      <c r="N15" s="1132"/>
      <c r="O15" s="1140"/>
      <c r="P15" s="3292"/>
      <c r="Q15" s="1810"/>
      <c r="R15" s="772"/>
      <c r="S15" s="773"/>
      <c r="T15" s="772"/>
      <c r="U15" s="773"/>
      <c r="V15" s="772"/>
      <c r="W15" s="773"/>
      <c r="X15" s="1813"/>
      <c r="Y15" s="3292"/>
      <c r="Z15" s="1814"/>
      <c r="AA15" s="1811">
        <v>1</v>
      </c>
      <c r="AB15" s="1811">
        <v>1</v>
      </c>
      <c r="AC15" s="1811">
        <v>1</v>
      </c>
    </row>
    <row r="16" spans="1:29" ht="128.25">
      <c r="A16" s="428"/>
      <c r="B16" s="451" t="s">
        <v>2689</v>
      </c>
      <c r="C16" s="2609" t="str">
        <f>IF(B1="工业",估价对象房地状况!G5,估价对象房地状况!C7)</f>
        <v>估价对象所在区域有东辛房小学、龙泉医院、京煤公司总医院门矿医院东辛房卫生服务站、邮政储蓄银行、农商银行等，公共配套设施状况较好</v>
      </c>
      <c r="D16" s="455">
        <v>100</v>
      </c>
      <c r="E16" s="457"/>
      <c r="F16" s="458">
        <f>SUMIF(63:63,E17,64:64)-SUMIF(63:63,C17,64:64)+100</f>
        <v>100</v>
      </c>
      <c r="G16" s="459"/>
      <c r="H16" s="455">
        <f>SUMIF(63:63,G17,64:64)-SUMIF(63:63,C17,64:64)+100</f>
        <v>100</v>
      </c>
      <c r="I16" s="457"/>
      <c r="J16" s="455">
        <f>SUMIF(63:63,I17,64:64)-SUMIF(63:63,C17,64:64)+100</f>
        <v>100</v>
      </c>
      <c r="K16" s="612"/>
      <c r="L16" s="1141"/>
      <c r="M16" s="1132"/>
      <c r="N16" s="1132"/>
      <c r="O16" s="1140"/>
      <c r="P16" s="3292"/>
      <c r="Q16" s="1810" t="str">
        <f>B16</f>
        <v>公共配套设施</v>
      </c>
      <c r="R16" s="772" t="s">
        <v>17</v>
      </c>
      <c r="S16" s="773">
        <f>F16</f>
        <v>100</v>
      </c>
      <c r="T16" s="772" t="s">
        <v>17</v>
      </c>
      <c r="U16" s="773">
        <f>H16</f>
        <v>100</v>
      </c>
      <c r="V16" s="772" t="s">
        <v>17</v>
      </c>
      <c r="W16" s="773">
        <f>J16</f>
        <v>100</v>
      </c>
      <c r="X16" s="1813"/>
      <c r="Y16" s="3292"/>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3"/>
      <c r="L17" s="1141"/>
      <c r="M17" s="1132"/>
      <c r="N17" s="1132"/>
      <c r="O17" s="1140"/>
      <c r="P17" s="3292"/>
      <c r="Q17" s="1810"/>
      <c r="R17" s="772"/>
      <c r="S17" s="773"/>
      <c r="T17" s="772"/>
      <c r="U17" s="773"/>
      <c r="V17" s="772"/>
      <c r="W17" s="773"/>
      <c r="X17" s="1813"/>
      <c r="Y17" s="3292"/>
      <c r="Z17" s="1814"/>
      <c r="AA17" s="1811">
        <v>1</v>
      </c>
      <c r="AB17" s="1811">
        <v>1</v>
      </c>
      <c r="AC17" s="1811">
        <v>1</v>
      </c>
    </row>
    <row r="18" spans="1:29" ht="42.75">
      <c r="A18" s="428"/>
      <c r="B18" s="1385" t="s">
        <v>2690</v>
      </c>
      <c r="C18" s="2609" t="str">
        <f>IF(B1="工业",估价对象房地状况!G6,估价对象房地状况!C8)</f>
        <v>估价对象所在区域基础设施水平为七通一平</v>
      </c>
      <c r="D18" s="455">
        <v>100</v>
      </c>
      <c r="E18" s="452"/>
      <c r="F18" s="458">
        <f>SUMIF(65:65,E19,66:66)-SUMIF(65:65,C19,66:66)+100</f>
        <v>100</v>
      </c>
      <c r="G18" s="454"/>
      <c r="H18" s="455">
        <f>SUMIF(65:65,G19,66:66)-SUMIF(65:65,C19,66:66)+100</f>
        <v>100</v>
      </c>
      <c r="I18" s="457"/>
      <c r="J18" s="455">
        <f>SUMIF(65:65,I19,66:66)-SUMIF(65:65,C19,66:66)+100</f>
        <v>100</v>
      </c>
      <c r="K18" s="612"/>
      <c r="L18" s="1141"/>
      <c r="M18" s="1132"/>
      <c r="N18" s="1132"/>
      <c r="O18" s="1140"/>
      <c r="P18" s="3292"/>
      <c r="Q18" s="1810" t="str">
        <f>B18</f>
        <v>基础设施水平</v>
      </c>
      <c r="R18" s="772" t="s">
        <v>17</v>
      </c>
      <c r="S18" s="773">
        <f>F18</f>
        <v>100</v>
      </c>
      <c r="T18" s="772" t="s">
        <v>17</v>
      </c>
      <c r="U18" s="773">
        <f>H18</f>
        <v>100</v>
      </c>
      <c r="V18" s="772" t="s">
        <v>17</v>
      </c>
      <c r="W18" s="773">
        <f>J18</f>
        <v>100</v>
      </c>
      <c r="X18" s="1813"/>
      <c r="Y18" s="3292"/>
      <c r="Z18" s="1814" t="str">
        <f>Q18</f>
        <v>基础设施水平</v>
      </c>
      <c r="AA18" s="1811">
        <f t="shared" ref="AA18" si="8">D18/F18</f>
        <v>1</v>
      </c>
      <c r="AB18" s="1811">
        <f t="shared" ref="AB18" si="9">D18/H18</f>
        <v>1</v>
      </c>
      <c r="AC18" s="1811">
        <f t="shared" ref="AC18" si="10">D18/J18</f>
        <v>1</v>
      </c>
    </row>
    <row r="19" spans="1:29" ht="15">
      <c r="A19" s="428"/>
      <c r="B19" s="1385"/>
      <c r="C19" s="2610"/>
      <c r="D19" s="450"/>
      <c r="E19" s="2610"/>
      <c r="F19" s="453"/>
      <c r="G19" s="2610"/>
      <c r="H19" s="448"/>
      <c r="I19" s="447"/>
      <c r="J19" s="448"/>
      <c r="K19" s="1384"/>
      <c r="L19" s="1141"/>
      <c r="M19" s="1132"/>
      <c r="N19" s="1132"/>
      <c r="O19" s="1140"/>
      <c r="P19" s="3292"/>
      <c r="Q19" s="1810"/>
      <c r="R19" s="772"/>
      <c r="S19" s="773"/>
      <c r="T19" s="772"/>
      <c r="U19" s="773"/>
      <c r="V19" s="772"/>
      <c r="W19" s="773"/>
      <c r="X19" s="1813"/>
      <c r="Y19" s="3292"/>
      <c r="Z19" s="1814"/>
      <c r="AA19" s="1811">
        <v>1</v>
      </c>
      <c r="AB19" s="1811">
        <v>1</v>
      </c>
      <c r="AC19" s="1811">
        <v>1</v>
      </c>
    </row>
    <row r="20" spans="1:29" ht="114">
      <c r="A20" s="428"/>
      <c r="B20" s="451" t="s">
        <v>2711</v>
      </c>
      <c r="C20" s="2609" t="str">
        <f>IF(B1="工业",估价对象房地状况!G7,估价对象房地状况!C9)</f>
        <v>估价对象临黑河沟及其绿化带；周边2公里范围内有门头沟博物馆等人文设施；综合评价环境状况较好。加油站？</v>
      </c>
      <c r="D20" s="455">
        <v>100</v>
      </c>
      <c r="E20" s="457"/>
      <c r="F20" s="458">
        <f>SUMIF(67:67,E21,68:68)-SUMIF(67:67,C21,68:68)+100</f>
        <v>100</v>
      </c>
      <c r="G20" s="459"/>
      <c r="H20" s="450">
        <f>SUMIF(67:67,G21,68:68)-SUMIF(67:67,C21,68:68)+100</f>
        <v>100</v>
      </c>
      <c r="I20" s="452"/>
      <c r="J20" s="450">
        <f>SUMIF(67:67,I21,68:68)-SUMIF(67:67,C21,68:68)+100</f>
        <v>100</v>
      </c>
      <c r="K20" s="612"/>
      <c r="L20" s="1141"/>
      <c r="M20" s="1132"/>
      <c r="N20" s="1132"/>
      <c r="O20" s="1140"/>
      <c r="P20" s="3292"/>
      <c r="Q20" s="1810" t="str">
        <f>B20</f>
        <v>自然及人文环境</v>
      </c>
      <c r="R20" s="772" t="s">
        <v>17</v>
      </c>
      <c r="S20" s="773">
        <f>F20</f>
        <v>100</v>
      </c>
      <c r="T20" s="772" t="s">
        <v>17</v>
      </c>
      <c r="U20" s="773">
        <f>H20</f>
        <v>100</v>
      </c>
      <c r="V20" s="772" t="s">
        <v>17</v>
      </c>
      <c r="W20" s="773">
        <f>J20</f>
        <v>100</v>
      </c>
      <c r="X20" s="1813"/>
      <c r="Y20" s="329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3"/>
      <c r="L21" s="1141"/>
      <c r="M21" s="1132"/>
      <c r="N21" s="1132"/>
      <c r="O21" s="1140"/>
      <c r="P21" s="3292"/>
      <c r="Q21" s="1810"/>
      <c r="R21" s="772"/>
      <c r="S21" s="773"/>
      <c r="T21" s="772"/>
      <c r="U21" s="773"/>
      <c r="V21" s="772"/>
      <c r="W21" s="773"/>
      <c r="X21" s="1813"/>
      <c r="Y21" s="3292"/>
      <c r="Z21" s="1814"/>
      <c r="AA21" s="1811">
        <v>1</v>
      </c>
      <c r="AB21" s="1811">
        <v>1</v>
      </c>
      <c r="AC21" s="1811">
        <v>1</v>
      </c>
    </row>
    <row r="22" spans="1:29" ht="15">
      <c r="A22" s="428"/>
      <c r="B22" s="451" t="s">
        <v>2712</v>
      </c>
      <c r="C22" s="614"/>
      <c r="D22" s="450">
        <v>100</v>
      </c>
      <c r="E22" s="614"/>
      <c r="F22" s="461">
        <f>SUMIF(69:69,E22,70:70)-SUMIF(69:69,C22,70:70)+100</f>
        <v>100</v>
      </c>
      <c r="G22" s="614"/>
      <c r="H22" s="435">
        <f>SUMIF(69:69,G22,70:70)-SUMIF(69:69,C22,70:70)+100</f>
        <v>100</v>
      </c>
      <c r="I22" s="614"/>
      <c r="J22" s="435">
        <f>SUMIF(69:69,I22,70:70)-SUMIF(69:69,C22,70:70)+100</f>
        <v>100</v>
      </c>
      <c r="K22" s="610"/>
      <c r="L22" s="1141"/>
      <c r="M22" s="1132"/>
      <c r="N22" s="1132"/>
      <c r="O22" s="1140"/>
      <c r="P22" s="3292"/>
      <c r="Q22" s="1810" t="str">
        <f>B22</f>
        <v>楼层</v>
      </c>
      <c r="R22" s="772" t="s">
        <v>17</v>
      </c>
      <c r="S22" s="773">
        <f>F22</f>
        <v>100</v>
      </c>
      <c r="T22" s="772" t="s">
        <v>17</v>
      </c>
      <c r="U22" s="773">
        <f>H22</f>
        <v>100</v>
      </c>
      <c r="V22" s="772" t="s">
        <v>17</v>
      </c>
      <c r="W22" s="773">
        <f>J22</f>
        <v>100</v>
      </c>
      <c r="X22" s="1813"/>
      <c r="Y22" s="3292"/>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1"/>
      <c r="L23" s="1141"/>
      <c r="M23" s="1132"/>
      <c r="N23" s="1132"/>
      <c r="O23" s="1140"/>
      <c r="P23" s="3292"/>
      <c r="Q23" s="1810">
        <f>B23</f>
        <v>111</v>
      </c>
      <c r="R23" s="772" t="s">
        <v>17</v>
      </c>
      <c r="S23" s="773">
        <f>F23</f>
        <v>100</v>
      </c>
      <c r="T23" s="772" t="s">
        <v>17</v>
      </c>
      <c r="U23" s="773">
        <f>H23</f>
        <v>100</v>
      </c>
      <c r="V23" s="772" t="s">
        <v>17</v>
      </c>
      <c r="W23" s="773">
        <f>J23</f>
        <v>100</v>
      </c>
      <c r="X23" s="1813"/>
      <c r="Y23" s="3292"/>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1"/>
      <c r="L24" s="1141"/>
      <c r="M24" s="1132"/>
      <c r="N24" s="1132"/>
      <c r="O24" s="1140"/>
      <c r="P24" s="3292"/>
      <c r="Q24" s="1810">
        <f t="shared" ref="Q24:Q34" si="11">B24</f>
        <v>111</v>
      </c>
      <c r="R24" s="772" t="s">
        <v>17</v>
      </c>
      <c r="S24" s="773">
        <f>F24</f>
        <v>100</v>
      </c>
      <c r="T24" s="772" t="s">
        <v>17</v>
      </c>
      <c r="U24" s="773">
        <f>H24</f>
        <v>100</v>
      </c>
      <c r="V24" s="772" t="s">
        <v>17</v>
      </c>
      <c r="W24" s="773">
        <f>J24</f>
        <v>100</v>
      </c>
      <c r="X24" s="1813"/>
      <c r="Y24" s="3292"/>
      <c r="Z24" s="1814">
        <f>Q24</f>
        <v>111</v>
      </c>
      <c r="AA24" s="1811">
        <f t="shared" si="3"/>
        <v>1</v>
      </c>
      <c r="AB24" s="1811">
        <f t="shared" si="4"/>
        <v>1</v>
      </c>
      <c r="AC24" s="1811">
        <f t="shared" si="5"/>
        <v>1</v>
      </c>
    </row>
    <row r="25" spans="1:29" s="117" customFormat="1" ht="15.75" thickBot="1">
      <c r="A25" s="431"/>
      <c r="B25" s="2602">
        <v>111</v>
      </c>
      <c r="C25" s="2700"/>
      <c r="D25" s="663">
        <v>100</v>
      </c>
      <c r="E25" s="2700"/>
      <c r="F25" s="664">
        <f>SUMIF(75:75,E25,76:76)-SUMIF(75:75,C25,76:76)+100</f>
        <v>100</v>
      </c>
      <c r="G25" s="2700"/>
      <c r="H25" s="663">
        <f>SUMIF(75:75,G25,76:76)-SUMIF(75:75,C25,76:76)+100</f>
        <v>100</v>
      </c>
      <c r="I25" s="2700"/>
      <c r="J25" s="663">
        <f>SUMIF(75:75,I25,76:76)-SUMIF(75:75,C25,76:76)+100</f>
        <v>100</v>
      </c>
      <c r="K25" s="611"/>
      <c r="L25" s="1133"/>
      <c r="M25" s="1134"/>
      <c r="N25" s="1134"/>
      <c r="O25" s="1135"/>
      <c r="P25" s="3292"/>
      <c r="Q25" s="1795">
        <f t="shared" si="11"/>
        <v>111</v>
      </c>
      <c r="R25" s="768" t="s">
        <v>17</v>
      </c>
      <c r="S25" s="769">
        <f>F25</f>
        <v>100</v>
      </c>
      <c r="T25" s="768" t="s">
        <v>17</v>
      </c>
      <c r="U25" s="769">
        <f>H25</f>
        <v>100</v>
      </c>
      <c r="V25" s="768" t="s">
        <v>17</v>
      </c>
      <c r="W25" s="769">
        <f>J25</f>
        <v>100</v>
      </c>
      <c r="X25" s="770"/>
      <c r="Y25" s="3292"/>
      <c r="Z25" s="55">
        <f>Q25</f>
        <v>111</v>
      </c>
      <c r="AA25" s="1811">
        <f>D25/F25</f>
        <v>1</v>
      </c>
      <c r="AB25" s="1811">
        <f>D25/H25</f>
        <v>1</v>
      </c>
      <c r="AC25" s="1811">
        <f>D25/J25</f>
        <v>1</v>
      </c>
    </row>
    <row r="26" spans="1:29" ht="15">
      <c r="A26" s="464" t="s">
        <v>2564</v>
      </c>
      <c r="B26" s="71" t="s">
        <v>2715</v>
      </c>
      <c r="C26" s="2681"/>
      <c r="D26" s="465">
        <v>100</v>
      </c>
      <c r="E26" s="2681"/>
      <c r="F26" s="665">
        <f>SUMIF(77:77,E26,78:78)-SUMIF(77:77,C26,78:78)+100</f>
        <v>100</v>
      </c>
      <c r="G26" s="2681"/>
      <c r="H26" s="465">
        <f>SUMIF(77:77,G26,78:78)-SUMIF(77:77,C26,78:78)+100</f>
        <v>100</v>
      </c>
      <c r="I26" s="2681"/>
      <c r="J26" s="465">
        <f>SUMIF(77:77,I26,78:78)-SUMIF(77:77,C26,78:78)+100</f>
        <v>100</v>
      </c>
      <c r="K26" s="610"/>
      <c r="L26" s="1141"/>
      <c r="M26" s="1132"/>
      <c r="N26" s="1132"/>
      <c r="O26" s="1140"/>
      <c r="P26" s="3318" t="s">
        <v>2566</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96" t="s">
        <v>2566</v>
      </c>
      <c r="Z26" s="1814" t="str">
        <f t="shared" ref="Z26:Z34" si="15">Q26</f>
        <v>公共部分装修</v>
      </c>
      <c r="AA26" s="1811">
        <f t="shared" si="3"/>
        <v>1</v>
      </c>
      <c r="AB26" s="1811">
        <f t="shared" si="4"/>
        <v>1</v>
      </c>
      <c r="AC26" s="1811">
        <f t="shared" si="5"/>
        <v>1</v>
      </c>
    </row>
    <row r="27" spans="1:29" s="469" customFormat="1" ht="15">
      <c r="A27" s="466"/>
      <c r="B27" s="422" t="s">
        <v>2716</v>
      </c>
      <c r="C27" s="472"/>
      <c r="D27" s="136">
        <v>100</v>
      </c>
      <c r="E27" s="473"/>
      <c r="F27" s="461" t="e">
        <f>LOOKUP(E27,80:80,81:81)-LOOKUP(C27,80:80,81:81)+100</f>
        <v>#N/A</v>
      </c>
      <c r="G27" s="474"/>
      <c r="H27" s="435" t="e">
        <f>LOOKUP(G27,80:80,81:81)-LOOKUP(C27,80:80,81:81)+100</f>
        <v>#N/A</v>
      </c>
      <c r="I27" s="474"/>
      <c r="J27" s="435" t="e">
        <f>LOOKUP(I27,80:80,81:81)-LOOKUP(C27,80:80,81:81)+100</f>
        <v>#N/A</v>
      </c>
      <c r="K27" s="610"/>
      <c r="L27" s="1139"/>
      <c r="M27" s="1142"/>
      <c r="N27" s="1142"/>
      <c r="O27" s="1143"/>
      <c r="P27" s="3296"/>
      <c r="Q27" s="774" t="str">
        <f t="shared" si="11"/>
        <v>成新率</v>
      </c>
      <c r="R27" s="775" t="s">
        <v>17</v>
      </c>
      <c r="S27" s="776" t="e">
        <f t="shared" si="12"/>
        <v>#N/A</v>
      </c>
      <c r="T27" s="775" t="s">
        <v>17</v>
      </c>
      <c r="U27" s="776" t="e">
        <f t="shared" si="13"/>
        <v>#N/A</v>
      </c>
      <c r="V27" s="775" t="s">
        <v>17</v>
      </c>
      <c r="W27" s="776" t="e">
        <f t="shared" si="14"/>
        <v>#N/A</v>
      </c>
      <c r="X27" s="777"/>
      <c r="Y27" s="3296"/>
      <c r="Z27" s="778" t="str">
        <f t="shared" si="15"/>
        <v>成新率</v>
      </c>
      <c r="AA27" s="1811" t="e">
        <f t="shared" si="3"/>
        <v>#N/A</v>
      </c>
      <c r="AB27" s="1811" t="e">
        <f t="shared" si="4"/>
        <v>#N/A</v>
      </c>
      <c r="AC27" s="1811" t="e">
        <f t="shared" si="5"/>
        <v>#N/A</v>
      </c>
    </row>
    <row r="28" spans="1:29" ht="15">
      <c r="A28" s="470"/>
      <c r="B28" s="422" t="s">
        <v>2717</v>
      </c>
      <c r="C28" s="460"/>
      <c r="D28" s="435">
        <v>100</v>
      </c>
      <c r="E28" s="460"/>
      <c r="F28" s="461">
        <f>SUMIF(82:82,E28,83:83)-SUMIF(82:82,C28,83:83)+100</f>
        <v>100</v>
      </c>
      <c r="G28" s="460"/>
      <c r="H28" s="435">
        <f>SUMIF(82:82,G28,83:83)-SUMIF(82:82,C28,83:83)+100</f>
        <v>100</v>
      </c>
      <c r="I28" s="460"/>
      <c r="J28" s="435">
        <f>SUMIF(82:82,I28,83:83)-SUMIF(82:82,C28,83:83)+100</f>
        <v>100</v>
      </c>
      <c r="K28" s="610"/>
      <c r="L28" s="1141"/>
      <c r="M28" s="1132"/>
      <c r="N28" s="1132"/>
      <c r="O28" s="1140"/>
      <c r="P28" s="3296"/>
      <c r="Q28" s="1810" t="str">
        <f t="shared" si="11"/>
        <v>物业等级</v>
      </c>
      <c r="R28" s="772" t="s">
        <v>17</v>
      </c>
      <c r="S28" s="773">
        <f t="shared" si="12"/>
        <v>100</v>
      </c>
      <c r="T28" s="772" t="s">
        <v>17</v>
      </c>
      <c r="U28" s="773">
        <f t="shared" si="13"/>
        <v>100</v>
      </c>
      <c r="V28" s="772" t="s">
        <v>17</v>
      </c>
      <c r="W28" s="773">
        <f t="shared" si="14"/>
        <v>100</v>
      </c>
      <c r="X28" s="1813"/>
      <c r="Y28" s="3296"/>
      <c r="Z28" s="1814" t="str">
        <f t="shared" si="15"/>
        <v>物业等级</v>
      </c>
      <c r="AA28" s="1811">
        <f t="shared" si="3"/>
        <v>1</v>
      </c>
      <c r="AB28" s="1811">
        <f t="shared" si="4"/>
        <v>1</v>
      </c>
      <c r="AC28" s="1811">
        <f t="shared" si="5"/>
        <v>1</v>
      </c>
    </row>
    <row r="29" spans="1:29" ht="15">
      <c r="A29" s="470"/>
      <c r="B29" s="422" t="s">
        <v>2738</v>
      </c>
      <c r="C29" s="655"/>
      <c r="D29" s="435">
        <v>100</v>
      </c>
      <c r="E29" s="655"/>
      <c r="F29" s="461">
        <f>SUMIF(84:84,E29,85:85)-SUMIF(84:84,C29,85:85)+100</f>
        <v>100</v>
      </c>
      <c r="G29" s="655"/>
      <c r="H29" s="435">
        <f>SUMIF(84:84,G29,85:85)-SUMIF(84:84,C29,85:85)+100</f>
        <v>100</v>
      </c>
      <c r="I29" s="655"/>
      <c r="J29" s="435">
        <f>SUMIF(84:84,I29,85:85)-SUMIF(84:84,C29,85:85)+100</f>
        <v>100</v>
      </c>
      <c r="K29" s="610"/>
      <c r="L29" s="1141"/>
      <c r="M29" s="1132"/>
      <c r="N29" s="1132"/>
      <c r="O29" s="1140"/>
      <c r="P29" s="3296"/>
      <c r="Q29" s="1810" t="str">
        <f t="shared" si="11"/>
        <v>有无电梯</v>
      </c>
      <c r="R29" s="772" t="s">
        <v>17</v>
      </c>
      <c r="S29" s="773">
        <f t="shared" si="12"/>
        <v>100</v>
      </c>
      <c r="T29" s="772" t="s">
        <v>17</v>
      </c>
      <c r="U29" s="773">
        <f t="shared" si="13"/>
        <v>100</v>
      </c>
      <c r="V29" s="772" t="s">
        <v>17</v>
      </c>
      <c r="W29" s="773">
        <f t="shared" si="14"/>
        <v>100</v>
      </c>
      <c r="X29" s="1813"/>
      <c r="Y29" s="3296"/>
      <c r="Z29" s="1814" t="str">
        <f t="shared" si="15"/>
        <v>有无电梯</v>
      </c>
      <c r="AA29" s="1811">
        <f t="shared" si="3"/>
        <v>1</v>
      </c>
      <c r="AB29" s="1811">
        <f t="shared" si="4"/>
        <v>1</v>
      </c>
      <c r="AC29" s="1811">
        <f t="shared" si="5"/>
        <v>1</v>
      </c>
    </row>
    <row r="30" spans="1:29" ht="15">
      <c r="A30" s="470"/>
      <c r="B30" s="422" t="s">
        <v>2739</v>
      </c>
      <c r="C30" s="467"/>
      <c r="D30" s="435">
        <v>100</v>
      </c>
      <c r="E30" s="467"/>
      <c r="F30" s="461" t="e">
        <f>LOOKUP(E30,87:87,88:88)-LOOKUP(C30,87:87,88:88)+100</f>
        <v>#N/A</v>
      </c>
      <c r="G30" s="467"/>
      <c r="H30" s="435" t="e">
        <f>LOOKUP(G30,87:87,88:88)-LOOKUP(C30,87:87,88:88)+100</f>
        <v>#N/A</v>
      </c>
      <c r="I30" s="467"/>
      <c r="J30" s="435" t="e">
        <f>LOOKUP(I30,87:87,88:88)-LOOKUP(C30,87:87,88:88)+100</f>
        <v>#N/A</v>
      </c>
      <c r="K30" s="611"/>
      <c r="L30" s="1141"/>
      <c r="M30" s="1132"/>
      <c r="N30" s="1132"/>
      <c r="O30" s="1140"/>
      <c r="P30" s="3296"/>
      <c r="Q30" s="1810" t="str">
        <f t="shared" si="11"/>
        <v>建筑面积</v>
      </c>
      <c r="R30" s="772" t="s">
        <v>17</v>
      </c>
      <c r="S30" s="773" t="e">
        <f t="shared" si="12"/>
        <v>#N/A</v>
      </c>
      <c r="T30" s="772" t="s">
        <v>17</v>
      </c>
      <c r="U30" s="773" t="e">
        <f t="shared" si="13"/>
        <v>#N/A</v>
      </c>
      <c r="V30" s="772" t="s">
        <v>17</v>
      </c>
      <c r="W30" s="773" t="e">
        <f t="shared" si="14"/>
        <v>#N/A</v>
      </c>
      <c r="X30" s="1813"/>
      <c r="Y30" s="3296"/>
      <c r="Z30" s="1814" t="str">
        <f t="shared" si="15"/>
        <v>建筑面积</v>
      </c>
      <c r="AA30" s="1811" t="e">
        <f t="shared" si="3"/>
        <v>#N/A</v>
      </c>
      <c r="AB30" s="1811" t="e">
        <f t="shared" si="4"/>
        <v>#N/A</v>
      </c>
      <c r="AC30" s="1811" t="e">
        <f t="shared" si="5"/>
        <v>#N/A</v>
      </c>
    </row>
    <row r="31" spans="1:29" s="117" customFormat="1" ht="15">
      <c r="A31" s="471"/>
      <c r="B31" s="422" t="s">
        <v>2740</v>
      </c>
      <c r="C31" s="655"/>
      <c r="D31" s="136">
        <v>100</v>
      </c>
      <c r="E31" s="655"/>
      <c r="F31" s="461">
        <f>SUMIF(89:89,E31,90:90)-SUMIF(89:89,C31,90:90)+100</f>
        <v>100</v>
      </c>
      <c r="G31" s="655"/>
      <c r="H31" s="435">
        <f>SUMIF(89:89,G31,90:90)-SUMIF(89:89,C31,90:90)+100</f>
        <v>100</v>
      </c>
      <c r="I31" s="655"/>
      <c r="J31" s="435">
        <f>SUMIF(89:89,I31,90:90)-SUMIF(89:89,C31,90:90)+100</f>
        <v>100</v>
      </c>
      <c r="K31" s="610"/>
      <c r="L31" s="1133"/>
      <c r="M31" s="1134"/>
      <c r="N31" s="1134"/>
      <c r="O31" s="1135"/>
      <c r="P31" s="3296"/>
      <c r="Q31" s="1795" t="str">
        <f t="shared" si="11"/>
        <v>是否封闭</v>
      </c>
      <c r="R31" s="768" t="s">
        <v>17</v>
      </c>
      <c r="S31" s="769">
        <f t="shared" si="12"/>
        <v>100</v>
      </c>
      <c r="T31" s="768" t="s">
        <v>17</v>
      </c>
      <c r="U31" s="769">
        <f t="shared" si="13"/>
        <v>100</v>
      </c>
      <c r="V31" s="768" t="s">
        <v>17</v>
      </c>
      <c r="W31" s="769">
        <f t="shared" si="14"/>
        <v>100</v>
      </c>
      <c r="X31" s="770"/>
      <c r="Y31" s="3296"/>
      <c r="Z31" s="55" t="str">
        <f t="shared" si="15"/>
        <v>是否封闭</v>
      </c>
      <c r="AA31" s="771">
        <f t="shared" si="3"/>
        <v>1</v>
      </c>
      <c r="AB31" s="771">
        <f t="shared" si="4"/>
        <v>1</v>
      </c>
      <c r="AC31" s="771">
        <f t="shared" si="5"/>
        <v>1</v>
      </c>
    </row>
    <row r="32" spans="1:29" ht="15">
      <c r="A32" s="470"/>
      <c r="B32" s="2602">
        <v>111</v>
      </c>
      <c r="C32" s="432"/>
      <c r="D32" s="435">
        <v>100</v>
      </c>
      <c r="E32" s="467"/>
      <c r="F32" s="461">
        <f>SUMIF(91:91,E32,92:92)-SUMIF(91:91,C32,92:92)+100</f>
        <v>100</v>
      </c>
      <c r="G32" s="467"/>
      <c r="H32" s="435">
        <f>SUMIF(91:91,G32,92:92)-SUMIF(91:91,C32,92:92)+100</f>
        <v>100</v>
      </c>
      <c r="I32" s="467"/>
      <c r="J32" s="435">
        <f>SUMIF(91:91,I32,92:92)-SUMIF(91:91,C32,92:92)+100</f>
        <v>100</v>
      </c>
      <c r="K32" s="611"/>
      <c r="L32" s="1141"/>
      <c r="M32" s="1132"/>
      <c r="N32" s="1132"/>
      <c r="O32" s="1140"/>
      <c r="P32" s="3296" t="s">
        <v>2566</v>
      </c>
      <c r="Q32" s="1810">
        <f t="shared" si="11"/>
        <v>111</v>
      </c>
      <c r="R32" s="772" t="s">
        <v>17</v>
      </c>
      <c r="S32" s="773">
        <f t="shared" si="12"/>
        <v>100</v>
      </c>
      <c r="T32" s="772" t="s">
        <v>17</v>
      </c>
      <c r="U32" s="773">
        <f t="shared" si="13"/>
        <v>100</v>
      </c>
      <c r="V32" s="772" t="s">
        <v>17</v>
      </c>
      <c r="W32" s="773">
        <f t="shared" si="14"/>
        <v>100</v>
      </c>
      <c r="X32" s="1813"/>
      <c r="Y32" s="3296" t="s">
        <v>2566</v>
      </c>
      <c r="Z32" s="1814">
        <f t="shared" si="15"/>
        <v>111</v>
      </c>
      <c r="AA32" s="1811">
        <f t="shared" si="3"/>
        <v>1</v>
      </c>
      <c r="AB32" s="1811">
        <f t="shared" si="4"/>
        <v>1</v>
      </c>
      <c r="AC32" s="1811">
        <f t="shared" si="5"/>
        <v>1</v>
      </c>
    </row>
    <row r="33" spans="1:29" ht="15">
      <c r="A33" s="470"/>
      <c r="B33" s="2602">
        <v>111</v>
      </c>
      <c r="C33" s="432"/>
      <c r="D33" s="435">
        <v>100</v>
      </c>
      <c r="E33" s="467"/>
      <c r="F33" s="461">
        <f>SUMIF(93:93,E33,94:94)-SUMIF(93:93,C33,94:94)+100</f>
        <v>100</v>
      </c>
      <c r="G33" s="467"/>
      <c r="H33" s="435">
        <f>SUMIF(93:93,G33,94:94)-SUMIF(93:93,C33,94:94)+100</f>
        <v>100</v>
      </c>
      <c r="I33" s="467"/>
      <c r="J33" s="435">
        <f>SUMIF(93:93,I33,94:94)-SUMIF(93:93,C33,94:94)+100</f>
        <v>100</v>
      </c>
      <c r="K33" s="611"/>
      <c r="L33" s="1141"/>
      <c r="M33" s="1132"/>
      <c r="N33" s="1132"/>
      <c r="O33" s="1140"/>
      <c r="P33" s="3296"/>
      <c r="Q33" s="1810">
        <f t="shared" si="11"/>
        <v>111</v>
      </c>
      <c r="R33" s="772" t="s">
        <v>17</v>
      </c>
      <c r="S33" s="773">
        <f t="shared" si="12"/>
        <v>100</v>
      </c>
      <c r="T33" s="772" t="s">
        <v>17</v>
      </c>
      <c r="U33" s="773">
        <f t="shared" si="13"/>
        <v>100</v>
      </c>
      <c r="V33" s="772" t="s">
        <v>17</v>
      </c>
      <c r="W33" s="773">
        <f t="shared" si="14"/>
        <v>100</v>
      </c>
      <c r="X33" s="1813"/>
      <c r="Y33" s="3296"/>
      <c r="Z33" s="1814">
        <f t="shared" si="15"/>
        <v>111</v>
      </c>
      <c r="AA33" s="1811">
        <f t="shared" si="3"/>
        <v>1</v>
      </c>
      <c r="AB33" s="1811">
        <f t="shared" si="4"/>
        <v>1</v>
      </c>
      <c r="AC33" s="1811">
        <f t="shared" si="5"/>
        <v>1</v>
      </c>
    </row>
    <row r="34" spans="1:29" ht="15.75" thickBot="1">
      <c r="A34" s="476"/>
      <c r="B34" s="2604">
        <v>111</v>
      </c>
      <c r="C34" s="437"/>
      <c r="D34" s="438">
        <v>100</v>
      </c>
      <c r="E34" s="2699"/>
      <c r="F34" s="439">
        <f>SUMIF(95:95,E34,96:96)-SUMIF(95:95,C34,96:96)+100</f>
        <v>100</v>
      </c>
      <c r="G34" s="2699"/>
      <c r="H34" s="438">
        <f>SUMIF(95:95,G34,96:96)-SUMIF(95:95,C34,96:96)+100</f>
        <v>100</v>
      </c>
      <c r="I34" s="2699"/>
      <c r="J34" s="438">
        <f>SUMIF(95:95,I34,96:96)-SUMIF(95:95,C34,96:96)+100</f>
        <v>100</v>
      </c>
      <c r="K34" s="611"/>
      <c r="L34" s="1141"/>
      <c r="M34" s="1132"/>
      <c r="N34" s="1132"/>
      <c r="O34" s="1140"/>
      <c r="P34" s="3296"/>
      <c r="Q34" s="1810">
        <f t="shared" si="11"/>
        <v>111</v>
      </c>
      <c r="R34" s="772" t="s">
        <v>17</v>
      </c>
      <c r="S34" s="773">
        <f t="shared" si="12"/>
        <v>100</v>
      </c>
      <c r="T34" s="772" t="s">
        <v>17</v>
      </c>
      <c r="U34" s="773">
        <f t="shared" si="13"/>
        <v>100</v>
      </c>
      <c r="V34" s="772" t="s">
        <v>17</v>
      </c>
      <c r="W34" s="773">
        <f t="shared" si="14"/>
        <v>100</v>
      </c>
      <c r="X34" s="1813"/>
      <c r="Y34" s="3296"/>
      <c r="Z34" s="1814">
        <f t="shared" si="15"/>
        <v>111</v>
      </c>
      <c r="AA34" s="1811">
        <f t="shared" si="3"/>
        <v>1</v>
      </c>
      <c r="AB34" s="1811">
        <f t="shared" si="4"/>
        <v>1</v>
      </c>
      <c r="AC34" s="1811">
        <f t="shared" si="5"/>
        <v>1</v>
      </c>
    </row>
    <row r="35" spans="1:29" ht="15">
      <c r="A35" s="477" t="s">
        <v>2578</v>
      </c>
      <c r="B35" s="478"/>
      <c r="C35" s="1407" t="s">
        <v>1</v>
      </c>
      <c r="D35" s="1408"/>
      <c r="E35" s="1409"/>
      <c r="F35" s="1410"/>
      <c r="G35" s="1411"/>
      <c r="H35" s="1412"/>
      <c r="I35" s="1409"/>
      <c r="J35" s="1412"/>
      <c r="K35" s="781"/>
      <c r="L35" s="1144"/>
      <c r="M35" s="1145"/>
      <c r="N35" s="1132"/>
      <c r="O35" s="1145"/>
      <c r="P35" s="3298" t="str">
        <f>A35</f>
        <v>成交单价（元/平方米）</v>
      </c>
      <c r="Q35" s="3298"/>
      <c r="R35" s="3299">
        <f>E35</f>
        <v>0</v>
      </c>
      <c r="S35" s="3299"/>
      <c r="T35" s="3299">
        <f>G35</f>
        <v>0</v>
      </c>
      <c r="U35" s="3299"/>
      <c r="V35" s="3299">
        <f>I35</f>
        <v>0</v>
      </c>
      <c r="W35" s="3299"/>
      <c r="X35" s="757"/>
      <c r="Y35" s="779"/>
      <c r="Z35" s="757"/>
      <c r="AA35" s="757"/>
      <c r="AB35" s="757"/>
      <c r="AC35" s="757"/>
    </row>
    <row r="36" spans="1:29" ht="15.75" thickBot="1">
      <c r="A36" s="484" t="s">
        <v>2670</v>
      </c>
      <c r="B36" s="485"/>
      <c r="C36" s="1413" t="e">
        <f>R37</f>
        <v>#DIV/0!</v>
      </c>
      <c r="D36" s="1414"/>
      <c r="E36" s="1415" t="e">
        <f>R36</f>
        <v>#DIV/0!</v>
      </c>
      <c r="F36" s="1415"/>
      <c r="G36" s="1413" t="e">
        <f>T36</f>
        <v>#DIV/0!</v>
      </c>
      <c r="H36" s="1414"/>
      <c r="I36" s="1415" t="e">
        <f>V36</f>
        <v>#DIV/0!</v>
      </c>
      <c r="J36" s="1414"/>
      <c r="K36" s="782"/>
      <c r="L36" s="1144"/>
      <c r="M36" s="1145"/>
      <c r="N36" s="1132"/>
      <c r="O36" s="1145"/>
      <c r="P36" s="3298" t="str">
        <f>A36</f>
        <v>比较价值（元/平方米）</v>
      </c>
      <c r="Q36" s="3298"/>
      <c r="R36" s="3299" t="e">
        <f>IF(F1="售价",ROUND(PRODUCT(R35,AA7:AA34),0),ROUND(PRODUCT(R35,AA7:AA34),1))</f>
        <v>#DIV/0!</v>
      </c>
      <c r="S36" s="3299"/>
      <c r="T36" s="3299" t="e">
        <f>IF(F1="售价",ROUND(PRODUCT(T35,AB7:AB34),0),ROUND(PRODUCT(T35,AB7:AB34),1))</f>
        <v>#DIV/0!</v>
      </c>
      <c r="U36" s="3299"/>
      <c r="V36" s="3299" t="e">
        <f>IF(F1="售价",ROUND(PRODUCT(V35,AC7:AC34),0),ROUND(PRODUCT(V35,AC7:AC34),1))</f>
        <v>#DIV/0!</v>
      </c>
      <c r="W36" s="3299"/>
      <c r="X36" s="757"/>
      <c r="Y36" s="757"/>
      <c r="Z36" s="757"/>
      <c r="AA36" s="757"/>
      <c r="AB36" s="757"/>
      <c r="AC36" s="757"/>
    </row>
    <row r="37" spans="1:29" ht="15.75" thickBot="1">
      <c r="A37" s="490" t="s">
        <v>2671</v>
      </c>
      <c r="B37" s="491"/>
      <c r="C37" s="1417" t="e">
        <f>R37</f>
        <v>#DIV/0!</v>
      </c>
      <c r="D37" s="1417"/>
      <c r="E37" s="1417"/>
      <c r="F37" s="1417"/>
      <c r="G37" s="1417"/>
      <c r="H37" s="1417"/>
      <c r="I37" s="1417"/>
      <c r="J37" s="1417"/>
      <c r="K37" s="783"/>
      <c r="L37" s="1144"/>
      <c r="M37" s="1145"/>
      <c r="N37" s="1145"/>
      <c r="O37" s="1145"/>
      <c r="P37" s="3300" t="str">
        <f>A37</f>
        <v>估价对象XX用房的比较价值（楼面单价，元/平方米）</v>
      </c>
      <c r="Q37" s="3301"/>
      <c r="R37" s="3302" t="e">
        <f>IF(F1="售价",ROUND(AVERAGE(R36:V36),0),ROUND(AVERAGE(R36:V36),1))</f>
        <v>#DIV/0!</v>
      </c>
      <c r="S37" s="3302"/>
      <c r="T37" s="3302"/>
      <c r="U37" s="3302"/>
      <c r="V37" s="3302"/>
      <c r="W37" s="3302"/>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1"/>
      <c r="Q45" s="502"/>
    </row>
    <row r="46" spans="1:29" s="506" customFormat="1" ht="15">
      <c r="A46" s="503" t="s">
        <v>2549</v>
      </c>
      <c r="B46" s="504"/>
      <c r="C46" s="1574" t="str">
        <f>YEAR(C7)&amp;"-"&amp;MONTH(C7)</f>
        <v>2018-10</v>
      </c>
      <c r="D46" s="1575">
        <f>EDATE(C46,-1)</f>
        <v>43344</v>
      </c>
      <c r="E46" s="1575">
        <f t="shared" ref="E46:O46" si="16">EDATE(D46,-1)</f>
        <v>43313</v>
      </c>
      <c r="F46" s="1575">
        <f t="shared" si="16"/>
        <v>43282</v>
      </c>
      <c r="G46" s="1575">
        <f t="shared" si="16"/>
        <v>43252</v>
      </c>
      <c r="H46" s="1575">
        <f t="shared" si="16"/>
        <v>43221</v>
      </c>
      <c r="I46" s="1575">
        <f t="shared" si="16"/>
        <v>43191</v>
      </c>
      <c r="J46" s="1575">
        <f t="shared" si="16"/>
        <v>43160</v>
      </c>
      <c r="K46" s="1575">
        <f t="shared" si="16"/>
        <v>43132</v>
      </c>
      <c r="L46" s="1575">
        <f t="shared" si="16"/>
        <v>43101</v>
      </c>
      <c r="M46" s="1575">
        <f t="shared" si="16"/>
        <v>43070</v>
      </c>
      <c r="N46" s="1575">
        <f t="shared" si="16"/>
        <v>43040</v>
      </c>
      <c r="O46" s="1575">
        <f t="shared" si="16"/>
        <v>43009</v>
      </c>
      <c r="P46" s="505"/>
    </row>
    <row r="47" spans="1:29" s="117" customFormat="1" ht="15">
      <c r="A47" s="507"/>
      <c r="B47" s="508"/>
      <c r="C47" s="1573">
        <v>100</v>
      </c>
      <c r="D47" s="510"/>
      <c r="E47" s="510"/>
      <c r="F47" s="510"/>
      <c r="G47" s="510"/>
      <c r="H47" s="510"/>
      <c r="I47" s="510"/>
      <c r="J47" s="510"/>
      <c r="K47" s="510"/>
      <c r="L47" s="510"/>
      <c r="M47" s="511"/>
      <c r="N47" s="510"/>
      <c r="O47" s="512"/>
      <c r="P47" s="502"/>
    </row>
    <row r="48" spans="1:29" s="117" customFormat="1" ht="15.75" thickBot="1">
      <c r="A48" s="513" t="s">
        <v>2586</v>
      </c>
      <c r="B48" s="514"/>
      <c r="C48" s="515"/>
      <c r="D48" s="516"/>
      <c r="E48" s="516"/>
      <c r="F48" s="516"/>
      <c r="G48" s="516"/>
      <c r="H48" s="516"/>
      <c r="I48" s="516"/>
      <c r="J48" s="516"/>
      <c r="K48" s="516"/>
      <c r="L48" s="516"/>
      <c r="M48" s="517"/>
      <c r="N48" s="516"/>
      <c r="O48" s="518"/>
      <c r="P48" s="502"/>
      <c r="Q48" s="502"/>
    </row>
    <row r="49" spans="1:17" s="117" customFormat="1" ht="15">
      <c r="A49" s="519" t="s">
        <v>2551</v>
      </c>
      <c r="B49" s="508"/>
      <c r="C49" s="520" t="s">
        <v>2653</v>
      </c>
      <c r="D49" s="521"/>
      <c r="E49" s="521"/>
      <c r="F49" s="521"/>
      <c r="G49" s="521"/>
      <c r="H49" s="521"/>
      <c r="I49" s="521"/>
      <c r="J49" s="521"/>
      <c r="K49" s="521"/>
      <c r="L49" s="522"/>
      <c r="M49" s="523"/>
      <c r="N49" s="1152"/>
      <c r="O49" s="1152"/>
      <c r="P49" s="524"/>
      <c r="Q49" s="502"/>
    </row>
    <row r="50" spans="1:17" s="117"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2589</v>
      </c>
      <c r="B51" s="526" t="s">
        <v>2555</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2558</v>
      </c>
      <c r="C53" s="537" t="s">
        <v>2590</v>
      </c>
      <c r="D53" s="537" t="s">
        <v>2591</v>
      </c>
      <c r="E53" s="537" t="s">
        <v>2592</v>
      </c>
      <c r="F53" s="537" t="s">
        <v>2593</v>
      </c>
      <c r="G53" s="537" t="s">
        <v>2594</v>
      </c>
      <c r="H53" s="537" t="s">
        <v>2595</v>
      </c>
      <c r="I53" s="537" t="s">
        <v>2596</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2560</v>
      </c>
      <c r="B61" s="526" t="s">
        <v>2603</v>
      </c>
      <c r="C61" s="571" t="s">
        <v>2598</v>
      </c>
      <c r="D61" s="571" t="s">
        <v>2599</v>
      </c>
      <c r="E61" s="571" t="s">
        <v>2600</v>
      </c>
      <c r="F61" s="571" t="s">
        <v>2601</v>
      </c>
      <c r="G61" s="571" t="s">
        <v>2602</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2741</v>
      </c>
      <c r="C63" s="576" t="s">
        <v>2598</v>
      </c>
      <c r="D63" s="576" t="s">
        <v>2599</v>
      </c>
      <c r="E63" s="576" t="s">
        <v>2600</v>
      </c>
      <c r="F63" s="576" t="s">
        <v>2601</v>
      </c>
      <c r="G63" s="576" t="s">
        <v>2602</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2690</v>
      </c>
      <c r="C65" s="658" t="s">
        <v>2676</v>
      </c>
      <c r="D65" s="658" t="s">
        <v>2677</v>
      </c>
      <c r="E65" s="658" t="s">
        <v>2678</v>
      </c>
      <c r="F65" s="658" t="s">
        <v>2679</v>
      </c>
      <c r="G65" s="658" t="s">
        <v>2680</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50"/>
      <c r="N66" s="1154"/>
      <c r="O66" s="1154"/>
      <c r="P66" s="45"/>
      <c r="Q66" s="502"/>
    </row>
    <row r="67" spans="1:17" ht="15.75" thickTop="1">
      <c r="A67" s="532"/>
      <c r="B67" s="536" t="s">
        <v>2610</v>
      </c>
      <c r="C67" s="576" t="s">
        <v>2598</v>
      </c>
      <c r="D67" s="576" t="s">
        <v>2599</v>
      </c>
      <c r="E67" s="576" t="s">
        <v>2600</v>
      </c>
      <c r="F67" s="576" t="s">
        <v>2601</v>
      </c>
      <c r="G67" s="576" t="s">
        <v>2602</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2730</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7" customFormat="1" ht="15.75" thickTop="1">
      <c r="A71" s="577"/>
      <c r="B71" s="536">
        <f>B23</f>
        <v>111</v>
      </c>
      <c r="C71" s="547"/>
      <c r="D71" s="547"/>
      <c r="E71" s="547"/>
      <c r="F71" s="547"/>
      <c r="G71" s="552"/>
      <c r="H71" s="552"/>
      <c r="I71" s="552"/>
      <c r="J71" s="552"/>
      <c r="K71" s="552"/>
      <c r="L71" s="578"/>
      <c r="M71" s="579"/>
      <c r="N71" s="1152"/>
      <c r="O71" s="1152"/>
      <c r="P71" s="45"/>
      <c r="Q71" s="502"/>
    </row>
    <row r="72" spans="1:17" s="117" customFormat="1" ht="15.75" thickBot="1">
      <c r="A72" s="577"/>
      <c r="B72" s="541"/>
      <c r="C72" s="558"/>
      <c r="D72" s="534"/>
      <c r="E72" s="534"/>
      <c r="F72" s="534"/>
      <c r="G72" s="534"/>
      <c r="H72" s="534"/>
      <c r="I72" s="534"/>
      <c r="J72" s="534"/>
      <c r="K72" s="534"/>
      <c r="L72" s="534"/>
      <c r="M72" s="535"/>
      <c r="N72" s="1154"/>
      <c r="O72" s="1154"/>
      <c r="P72" s="45"/>
      <c r="Q72" s="502"/>
    </row>
    <row r="73" spans="1:17" s="117" customFormat="1" ht="15.75" thickTop="1">
      <c r="A73" s="577"/>
      <c r="B73" s="536">
        <f>B24</f>
        <v>111</v>
      </c>
      <c r="C73" s="547"/>
      <c r="D73" s="547"/>
      <c r="E73" s="547"/>
      <c r="F73" s="547"/>
      <c r="G73" s="552"/>
      <c r="H73" s="552"/>
      <c r="I73" s="552"/>
      <c r="J73" s="552"/>
      <c r="K73" s="552"/>
      <c r="L73" s="552"/>
      <c r="M73" s="579"/>
      <c r="N73" s="1152"/>
      <c r="O73" s="1152"/>
      <c r="P73" s="45"/>
      <c r="Q73" s="502"/>
    </row>
    <row r="74" spans="1:17" s="117"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2564</v>
      </c>
      <c r="B77" s="526" t="s">
        <v>2617</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2734</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2742</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2744</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C39" sqref="C39"/>
    </sheetView>
  </sheetViews>
  <sheetFormatPr defaultRowHeight="14.25"/>
  <cols>
    <col min="1" max="1" width="14.375" style="403" customWidth="1"/>
    <col min="2" max="2" width="15.75" style="403" customWidth="1"/>
    <col min="3" max="3" width="17.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69">
        <f>F66</f>
        <v>3</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7">
        <f>ROUND(IF(D3="",B2*10000/'数据-汇总表'!E3,B2*10000/D3),0)</f>
        <v>30000</v>
      </c>
      <c r="C3" s="247" t="s">
        <v>2747</v>
      </c>
      <c r="D3" s="1583">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8" customHeight="1">
      <c r="A4" s="2997" t="s">
        <v>2536</v>
      </c>
      <c r="B4" s="2998"/>
      <c r="C4" s="3327" t="s">
        <v>2537</v>
      </c>
      <c r="D4" s="3328"/>
      <c r="E4" s="3329" t="s">
        <v>2538</v>
      </c>
      <c r="F4" s="3330"/>
      <c r="G4" s="3327" t="s">
        <v>2539</v>
      </c>
      <c r="H4" s="3328"/>
      <c r="I4" s="3327" t="s">
        <v>2540</v>
      </c>
      <c r="J4" s="3328"/>
      <c r="K4" s="608" t="s">
        <v>2651</v>
      </c>
      <c r="L4" s="1131"/>
      <c r="M4" s="1132"/>
      <c r="N4" s="1132"/>
      <c r="O4" s="1132"/>
      <c r="P4" s="3280" t="s">
        <v>2652</v>
      </c>
      <c r="Q4" s="3281"/>
      <c r="R4" s="3263" t="s">
        <v>2648</v>
      </c>
      <c r="S4" s="3264"/>
      <c r="T4" s="3263" t="s">
        <v>2649</v>
      </c>
      <c r="U4" s="3264"/>
      <c r="V4" s="3260" t="s">
        <v>2650</v>
      </c>
      <c r="W4" s="3260"/>
      <c r="X4" s="1813"/>
      <c r="Y4" s="3263" t="s">
        <v>2652</v>
      </c>
      <c r="Z4" s="3264"/>
      <c r="AA4" s="3257" t="s">
        <v>2648</v>
      </c>
      <c r="AB4" s="3258" t="s">
        <v>2649</v>
      </c>
      <c r="AC4" s="3257" t="s">
        <v>2650</v>
      </c>
    </row>
    <row r="5" spans="1:30" ht="54.75" customHeight="1">
      <c r="A5" s="2999"/>
      <c r="B5" s="3000"/>
      <c r="C5" s="3321" t="s">
        <v>3158</v>
      </c>
      <c r="D5" s="3322"/>
      <c r="E5" s="3319" t="str">
        <f>土地案例!B2</f>
        <v>海淀区"海淀北部地区整体开发”西北旺镇亮甲店村HD00-0404-6005、6006地块R2二类居住用地</v>
      </c>
      <c r="F5" s="3320"/>
      <c r="G5" s="3321" t="str">
        <f>土地案例!B3</f>
        <v>海淀区“海淀北部地区整体开发”永丰产业基地（新）HD00-0401-0146地块</v>
      </c>
      <c r="H5" s="3322"/>
      <c r="I5" s="3321" t="str">
        <f>土地案例!B4</f>
        <v>石景山区玉泉西一路x-18160地块</v>
      </c>
      <c r="J5" s="3322"/>
      <c r="K5" s="608"/>
      <c r="L5" s="1131"/>
      <c r="M5" s="1132"/>
      <c r="N5" s="1132"/>
      <c r="O5" s="1132"/>
      <c r="P5" s="3282"/>
      <c r="Q5" s="3283"/>
      <c r="R5" s="3265"/>
      <c r="S5" s="3266"/>
      <c r="T5" s="3265"/>
      <c r="U5" s="3266"/>
      <c r="V5" s="3260"/>
      <c r="W5" s="3260"/>
      <c r="X5" s="1813"/>
      <c r="Y5" s="3265"/>
      <c r="Z5" s="3266"/>
      <c r="AA5" s="3258"/>
      <c r="AB5" s="3258"/>
      <c r="AC5" s="3258"/>
    </row>
    <row r="6" spans="1:30" ht="15.75" thickBot="1">
      <c r="A6" s="3001"/>
      <c r="B6" s="3002"/>
      <c r="C6" s="3323" t="s">
        <v>3064</v>
      </c>
      <c r="D6" s="3324"/>
      <c r="E6" s="3325" t="s">
        <v>3222</v>
      </c>
      <c r="F6" s="3326"/>
      <c r="G6" s="3325" t="s">
        <v>3223</v>
      </c>
      <c r="H6" s="3326"/>
      <c r="I6" s="3323" t="s">
        <v>3224</v>
      </c>
      <c r="J6" s="3324"/>
      <c r="K6" s="608" t="s">
        <v>2548</v>
      </c>
      <c r="L6" s="1131"/>
      <c r="M6" s="1132"/>
      <c r="N6" s="1132"/>
      <c r="O6" s="1132"/>
      <c r="P6" s="3284"/>
      <c r="Q6" s="3285"/>
      <c r="R6" s="3265"/>
      <c r="S6" s="3266"/>
      <c r="T6" s="3286"/>
      <c r="U6" s="3287"/>
      <c r="V6" s="3260"/>
      <c r="W6" s="3260"/>
      <c r="X6" s="1813"/>
      <c r="Y6" s="3286"/>
      <c r="Z6" s="3287"/>
      <c r="AA6" s="3259"/>
      <c r="AB6" s="3259"/>
      <c r="AC6" s="3259"/>
    </row>
    <row r="7" spans="1:30" s="117" customFormat="1" ht="15.75" thickBot="1">
      <c r="A7" s="3009" t="s">
        <v>3162</v>
      </c>
      <c r="B7" s="3010"/>
      <c r="C7" s="2975">
        <f>'数据-取费表'!B2</f>
        <v>43397</v>
      </c>
      <c r="D7" s="2976">
        <v>100</v>
      </c>
      <c r="E7" s="2968">
        <v>43137</v>
      </c>
      <c r="F7" s="2977">
        <f>SUMIF(70:70,YEAR(E7)&amp;"-"&amp;INT((MONTH(E7)+2)/3),71:71)</f>
        <v>97</v>
      </c>
      <c r="G7" s="2969">
        <v>42850</v>
      </c>
      <c r="H7" s="2976">
        <f>SUMIF(70:70,YEAR(G7)&amp;"-"&amp;INT((MONTH(G7)+2)/3),71:71)</f>
        <v>94</v>
      </c>
      <c r="I7" s="2969">
        <v>43076</v>
      </c>
      <c r="J7" s="2976">
        <f>SUMIF(70:70,YEAR(I7)&amp;"-"&amp;INT((MONTH(I7)+2)/3),71:71)</f>
        <v>96</v>
      </c>
      <c r="K7" s="609"/>
      <c r="L7" s="1133"/>
      <c r="M7" s="1134"/>
      <c r="N7" s="1134"/>
      <c r="O7" s="1134"/>
      <c r="P7" s="3261" t="s">
        <v>2550</v>
      </c>
      <c r="Q7" s="3288"/>
      <c r="R7" s="768" t="s">
        <v>17</v>
      </c>
      <c r="S7" s="769">
        <f t="shared" ref="S7:S15" si="0">F7</f>
        <v>97</v>
      </c>
      <c r="T7" s="768" t="s">
        <v>17</v>
      </c>
      <c r="U7" s="769">
        <f t="shared" ref="U7:U15" si="1">H7</f>
        <v>94</v>
      </c>
      <c r="V7" s="768" t="s">
        <v>17</v>
      </c>
      <c r="W7" s="769">
        <f t="shared" ref="W7:W15" si="2">J7</f>
        <v>96</v>
      </c>
      <c r="X7" s="770"/>
      <c r="Y7" s="3261" t="s">
        <v>2550</v>
      </c>
      <c r="Z7" s="3262"/>
      <c r="AA7" s="771">
        <f>D7/F7</f>
        <v>1.0309278350515463</v>
      </c>
      <c r="AB7" s="771">
        <f>D7/H7</f>
        <v>1.0638297872340425</v>
      </c>
      <c r="AC7" s="771">
        <f>D7/J7</f>
        <v>1.0416666666666667</v>
      </c>
    </row>
    <row r="8" spans="1:30" s="117" customFormat="1" ht="15.75" thickBot="1">
      <c r="A8" s="3009" t="s">
        <v>3163</v>
      </c>
      <c r="B8" s="3010"/>
      <c r="C8" s="2978" t="s">
        <v>3157</v>
      </c>
      <c r="D8" s="2976">
        <v>100</v>
      </c>
      <c r="E8" s="2978" t="s">
        <v>3067</v>
      </c>
      <c r="F8" s="2977">
        <f>SUMIF(73:73,E8,74:74)-SUMIF(73:73,C8,74:74)+100</f>
        <v>100</v>
      </c>
      <c r="G8" s="2978" t="s">
        <v>3067</v>
      </c>
      <c r="H8" s="2976">
        <f>SUMIF(73:73,G8,74:74)-SUMIF(73:73,C8,74:74)+100</f>
        <v>100</v>
      </c>
      <c r="I8" s="2978" t="s">
        <v>3067</v>
      </c>
      <c r="J8" s="2976">
        <f>SUMIF(73:73,I8,74:74)-SUMIF(73:73,C8,74:74)+100</f>
        <v>100</v>
      </c>
      <c r="K8" s="609"/>
      <c r="L8" s="1133"/>
      <c r="M8" s="1134"/>
      <c r="N8" s="1134"/>
      <c r="O8" s="1134"/>
      <c r="P8" s="3261" t="s">
        <v>2553</v>
      </c>
      <c r="Q8" s="3262"/>
      <c r="R8" s="768" t="s">
        <v>17</v>
      </c>
      <c r="S8" s="769">
        <f t="shared" si="0"/>
        <v>100</v>
      </c>
      <c r="T8" s="768" t="s">
        <v>17</v>
      </c>
      <c r="U8" s="769">
        <f t="shared" si="1"/>
        <v>100</v>
      </c>
      <c r="V8" s="768" t="s">
        <v>17</v>
      </c>
      <c r="W8" s="769">
        <f t="shared" si="2"/>
        <v>100</v>
      </c>
      <c r="X8" s="770"/>
      <c r="Y8" s="3261" t="s">
        <v>2553</v>
      </c>
      <c r="Z8" s="3262"/>
      <c r="AA8" s="771">
        <f t="shared" ref="AA8:AA45" si="3">D8/F8</f>
        <v>1</v>
      </c>
      <c r="AB8" s="771">
        <f t="shared" ref="AB8:AB45" si="4">D8/H8</f>
        <v>1</v>
      </c>
      <c r="AC8" s="771">
        <f t="shared" ref="AC8:AC45" si="5">D8/J8</f>
        <v>1</v>
      </c>
    </row>
    <row r="9" spans="1:30" s="117" customFormat="1">
      <c r="A9" s="3005" t="s">
        <v>2589</v>
      </c>
      <c r="B9" s="3011" t="s">
        <v>3164</v>
      </c>
      <c r="C9" s="2979" t="s">
        <v>3065</v>
      </c>
      <c r="D9" s="2980">
        <v>100</v>
      </c>
      <c r="E9" s="2979" t="s">
        <v>3065</v>
      </c>
      <c r="F9" s="2980">
        <f>SUMIF(75:75,E9,76:76)-SUMIF(75:75,C9,76:76)+100</f>
        <v>100</v>
      </c>
      <c r="G9" s="2979" t="s">
        <v>3065</v>
      </c>
      <c r="H9" s="2980">
        <f>SUMIF(75:75,G9,76:76)-SUMIF(75:75,C9,76:76)+100</f>
        <v>100</v>
      </c>
      <c r="I9" s="2979" t="s">
        <v>3065</v>
      </c>
      <c r="J9" s="2980">
        <f>SUMIF(75:75,I9,76:76)-SUMIF(75:75,C9,76:76)+100</f>
        <v>100</v>
      </c>
      <c r="K9" s="609"/>
      <c r="L9" s="1133"/>
      <c r="M9" s="1134"/>
      <c r="N9" s="1134"/>
      <c r="O9" s="1135"/>
      <c r="P9" s="3298" t="s">
        <v>2556</v>
      </c>
      <c r="Q9" s="1795" t="str">
        <f t="shared" ref="Q9:Q15" si="6">B9</f>
        <v>用途</v>
      </c>
      <c r="R9" s="768" t="s">
        <v>17</v>
      </c>
      <c r="S9" s="769">
        <f t="shared" si="0"/>
        <v>100</v>
      </c>
      <c r="T9" s="768" t="s">
        <v>17</v>
      </c>
      <c r="U9" s="769">
        <f t="shared" si="1"/>
        <v>100</v>
      </c>
      <c r="V9" s="768" t="s">
        <v>17</v>
      </c>
      <c r="W9" s="769">
        <f t="shared" si="2"/>
        <v>100</v>
      </c>
      <c r="X9" s="770"/>
      <c r="Y9" s="3107" t="s">
        <v>2557</v>
      </c>
      <c r="Z9" s="55" t="str">
        <f t="shared" ref="Z9:Z15" si="7">Q9</f>
        <v>用途</v>
      </c>
      <c r="AA9" s="771">
        <f t="shared" si="3"/>
        <v>1</v>
      </c>
      <c r="AB9" s="771">
        <f t="shared" si="4"/>
        <v>1</v>
      </c>
      <c r="AC9" s="771">
        <f t="shared" si="5"/>
        <v>1</v>
      </c>
    </row>
    <row r="10" spans="1:30" s="427" customFormat="1" ht="27">
      <c r="A10" s="3003"/>
      <c r="B10" s="3012" t="s">
        <v>3165</v>
      </c>
      <c r="C10" s="2970">
        <v>70</v>
      </c>
      <c r="D10" s="2981">
        <v>100</v>
      </c>
      <c r="E10" s="2971" t="s">
        <v>3068</v>
      </c>
      <c r="F10" s="2981">
        <f>ROUND(100/'数据-取费表'!G16,0)</f>
        <v>100</v>
      </c>
      <c r="G10" s="2972" t="s">
        <v>3068</v>
      </c>
      <c r="H10" s="2981">
        <f>ROUND(100/'数据-取费表'!G16,0)</f>
        <v>100</v>
      </c>
      <c r="I10" s="2972" t="s">
        <v>3068</v>
      </c>
      <c r="J10" s="2981">
        <f>ROUND(100/'数据-取费表'!G16,0)</f>
        <v>100</v>
      </c>
      <c r="K10" s="670"/>
      <c r="L10" s="1136"/>
      <c r="M10" s="1137"/>
      <c r="N10" s="1137"/>
      <c r="O10" s="1138"/>
      <c r="P10" s="3298"/>
      <c r="Q10" s="1795" t="str">
        <f t="shared" si="6"/>
        <v>土地使用年限（年）</v>
      </c>
      <c r="R10" s="768" t="s">
        <v>17</v>
      </c>
      <c r="S10" s="769">
        <f t="shared" si="0"/>
        <v>100</v>
      </c>
      <c r="T10" s="768" t="s">
        <v>17</v>
      </c>
      <c r="U10" s="769">
        <f t="shared" si="1"/>
        <v>100</v>
      </c>
      <c r="V10" s="768" t="s">
        <v>17</v>
      </c>
      <c r="W10" s="769">
        <f t="shared" si="2"/>
        <v>100</v>
      </c>
      <c r="X10" s="770"/>
      <c r="Y10" s="3107"/>
      <c r="Z10" s="55" t="str">
        <f t="shared" si="7"/>
        <v>土地使用年限（年）</v>
      </c>
      <c r="AA10" s="771">
        <f t="shared" si="3"/>
        <v>1</v>
      </c>
      <c r="AB10" s="771">
        <f t="shared" si="4"/>
        <v>1</v>
      </c>
      <c r="AC10" s="771">
        <f t="shared" si="5"/>
        <v>1</v>
      </c>
    </row>
    <row r="11" spans="1:30" ht="15.75" thickBot="1">
      <c r="A11" s="3003"/>
      <c r="B11" s="3012" t="s">
        <v>3166</v>
      </c>
      <c r="C11" s="3037">
        <f>面积汇总!F14</f>
        <v>2.260591133004926</v>
      </c>
      <c r="D11" s="2981">
        <v>100</v>
      </c>
      <c r="E11" s="672">
        <v>2.2000000000000002</v>
      </c>
      <c r="F11" s="2981">
        <f>LOOKUP(E11,80:80,81:81)-LOOKUP(C11,80:80,81:81)+100</f>
        <v>100</v>
      </c>
      <c r="G11" s="475">
        <v>2.1</v>
      </c>
      <c r="H11" s="2981">
        <f>LOOKUP(G11,80:80,81:81)-LOOKUP(C11,80:80,81:81)+100</f>
        <v>100</v>
      </c>
      <c r="I11" s="672">
        <v>1.6</v>
      </c>
      <c r="J11" s="2981">
        <f>LOOKUP(I11,80:80,81:81)-LOOKUP(C11,80:80,81:81)+100</f>
        <v>102</v>
      </c>
      <c r="K11" s="671">
        <v>2</v>
      </c>
      <c r="L11" s="1139"/>
      <c r="M11" s="1132"/>
      <c r="N11" s="1132"/>
      <c r="O11" s="1140"/>
      <c r="P11" s="3298"/>
      <c r="Q11" s="1795" t="str">
        <f t="shared" si="6"/>
        <v>容积率</v>
      </c>
      <c r="R11" s="768" t="s">
        <v>17</v>
      </c>
      <c r="S11" s="769">
        <f t="shared" si="0"/>
        <v>100</v>
      </c>
      <c r="T11" s="768" t="s">
        <v>17</v>
      </c>
      <c r="U11" s="769">
        <f t="shared" si="1"/>
        <v>100</v>
      </c>
      <c r="V11" s="768" t="s">
        <v>17</v>
      </c>
      <c r="W11" s="769">
        <f t="shared" si="2"/>
        <v>102</v>
      </c>
      <c r="X11" s="770"/>
      <c r="Y11" s="3107"/>
      <c r="Z11" s="55" t="str">
        <f t="shared" si="7"/>
        <v>容积率</v>
      </c>
      <c r="AA11" s="771">
        <f t="shared" si="3"/>
        <v>1</v>
      </c>
      <c r="AB11" s="771">
        <f t="shared" si="4"/>
        <v>1</v>
      </c>
      <c r="AC11" s="771">
        <f t="shared" si="5"/>
        <v>0.98039215686274506</v>
      </c>
    </row>
    <row r="12" spans="1:30" s="117" customFormat="1" ht="27" hidden="1">
      <c r="A12" s="3003"/>
      <c r="B12" s="3013" t="s">
        <v>3070</v>
      </c>
      <c r="C12" s="2970">
        <v>1</v>
      </c>
      <c r="D12" s="2982">
        <v>100</v>
      </c>
      <c r="E12" s="2973" t="s">
        <v>3159</v>
      </c>
      <c r="F12" s="2981">
        <f>SUMIF(82:82,E12,83:83)-SUMIF(82:82,C12,83:83)+100</f>
        <v>100</v>
      </c>
      <c r="G12" s="2974" t="s">
        <v>3160</v>
      </c>
      <c r="H12" s="2981">
        <f>SUMIF(82:82,G12,83:83)-SUMIF(82:82,C12,83:83)+100</f>
        <v>100</v>
      </c>
      <c r="I12" s="2973" t="s">
        <v>3161</v>
      </c>
      <c r="J12" s="2981">
        <f>SUMIF(82:82,I12,83:83)-SUMIF(82:82,C12,83:83)+100</f>
        <v>100</v>
      </c>
      <c r="K12" s="670"/>
      <c r="L12" s="1133"/>
      <c r="M12" s="1134"/>
      <c r="N12" s="1134"/>
      <c r="O12" s="1135"/>
      <c r="P12" s="3298"/>
      <c r="Q12" s="1795" t="str">
        <f t="shared" si="6"/>
        <v>土地受让方</v>
      </c>
      <c r="R12" s="768" t="s">
        <v>17</v>
      </c>
      <c r="S12" s="769">
        <f t="shared" si="0"/>
        <v>100</v>
      </c>
      <c r="T12" s="768" t="s">
        <v>17</v>
      </c>
      <c r="U12" s="769">
        <f t="shared" si="1"/>
        <v>100</v>
      </c>
      <c r="V12" s="768" t="s">
        <v>17</v>
      </c>
      <c r="W12" s="769">
        <f t="shared" si="2"/>
        <v>100</v>
      </c>
      <c r="X12" s="770"/>
      <c r="Y12" s="3107"/>
      <c r="Z12" s="55" t="str">
        <f t="shared" si="7"/>
        <v>土地受让方</v>
      </c>
      <c r="AA12" s="771">
        <f>D12/F12</f>
        <v>1</v>
      </c>
      <c r="AB12" s="771">
        <f>D12/H12</f>
        <v>1</v>
      </c>
      <c r="AC12" s="771">
        <f>D12/J12</f>
        <v>1</v>
      </c>
    </row>
    <row r="13" spans="1:30" ht="15" hidden="1">
      <c r="A13" s="3003"/>
      <c r="B13" s="2964">
        <v>111</v>
      </c>
      <c r="C13" s="434"/>
      <c r="D13" s="2981">
        <v>100</v>
      </c>
      <c r="E13" s="547"/>
      <c r="F13" s="2981">
        <f>SUMIF(84:84,E13,85:85)-SUMIF(84:84,C13,85:85)+100</f>
        <v>100</v>
      </c>
      <c r="G13" s="672"/>
      <c r="H13" s="2981">
        <f>SUMIF(84:84,G13,85:85)-SUMIF(84:84,C13,85:85)+100</f>
        <v>100</v>
      </c>
      <c r="I13" s="672"/>
      <c r="J13" s="2981">
        <f>SUMIF(84:84,I13,85:85)-SUMIF(84:84,C13,85:85)+100</f>
        <v>100</v>
      </c>
      <c r="K13" s="670"/>
      <c r="L13" s="1141"/>
      <c r="M13" s="1132"/>
      <c r="N13" s="1132"/>
      <c r="O13" s="1140"/>
      <c r="P13" s="3298"/>
      <c r="Q13" s="1795">
        <f t="shared" si="6"/>
        <v>111</v>
      </c>
      <c r="R13" s="768" t="s">
        <v>17</v>
      </c>
      <c r="S13" s="769">
        <f t="shared" si="0"/>
        <v>100</v>
      </c>
      <c r="T13" s="768" t="s">
        <v>17</v>
      </c>
      <c r="U13" s="769">
        <f t="shared" si="1"/>
        <v>100</v>
      </c>
      <c r="V13" s="768" t="s">
        <v>17</v>
      </c>
      <c r="W13" s="769">
        <f t="shared" si="2"/>
        <v>100</v>
      </c>
      <c r="X13" s="770"/>
      <c r="Y13" s="3107"/>
      <c r="Z13" s="55">
        <f t="shared" si="7"/>
        <v>111</v>
      </c>
      <c r="AA13" s="771">
        <f>D13/F13</f>
        <v>1</v>
      </c>
      <c r="AB13" s="771">
        <f>D13/H13</f>
        <v>1</v>
      </c>
      <c r="AC13" s="771">
        <f>D13/J13</f>
        <v>1</v>
      </c>
    </row>
    <row r="14" spans="1:30" ht="15.75" hidden="1" thickBot="1">
      <c r="A14" s="3004"/>
      <c r="B14" s="3014">
        <v>111</v>
      </c>
      <c r="C14" s="437"/>
      <c r="D14" s="2983">
        <v>100</v>
      </c>
      <c r="E14" s="547"/>
      <c r="F14" s="2983">
        <f>SUMIF(86:86,E14,87:87)-SUMIF(86:86,C14,87:87)+100</f>
        <v>100</v>
      </c>
      <c r="G14" s="672"/>
      <c r="H14" s="2983">
        <f>SUMIF(86:86,G14,87:87)-SUMIF(86:86,C14,87:87)+100</f>
        <v>100</v>
      </c>
      <c r="I14" s="672"/>
      <c r="J14" s="2983">
        <f>SUMIF(86:86,I14,87:87)-SUMIF(86:86,C14,87:87)+100</f>
        <v>100</v>
      </c>
      <c r="K14" s="670"/>
      <c r="L14" s="1141"/>
      <c r="M14" s="1132"/>
      <c r="N14" s="1132"/>
      <c r="O14" s="1140"/>
      <c r="P14" s="3298"/>
      <c r="Q14" s="1795">
        <f t="shared" si="6"/>
        <v>111</v>
      </c>
      <c r="R14" s="768" t="s">
        <v>17</v>
      </c>
      <c r="S14" s="769">
        <f t="shared" si="0"/>
        <v>100</v>
      </c>
      <c r="T14" s="768" t="s">
        <v>17</v>
      </c>
      <c r="U14" s="769">
        <f t="shared" si="1"/>
        <v>100</v>
      </c>
      <c r="V14" s="768" t="s">
        <v>17</v>
      </c>
      <c r="W14" s="769">
        <f t="shared" si="2"/>
        <v>100</v>
      </c>
      <c r="X14" s="770"/>
      <c r="Y14" s="3107"/>
      <c r="Z14" s="55">
        <f t="shared" si="7"/>
        <v>111</v>
      </c>
      <c r="AA14" s="771">
        <f>D14/F14</f>
        <v>1</v>
      </c>
      <c r="AB14" s="771">
        <f>D14/H14</f>
        <v>1</v>
      </c>
      <c r="AC14" s="771">
        <f>D14/J14</f>
        <v>1</v>
      </c>
    </row>
    <row r="15" spans="1:30" ht="151.5" customHeight="1">
      <c r="A15" s="3005" t="s">
        <v>2560</v>
      </c>
      <c r="B15" s="3015" t="s">
        <v>3167</v>
      </c>
      <c r="C15" s="2984" t="str">
        <f>估价对象房地状况!C15</f>
        <v>估价对象周边惠泽家园、龙门新区、滨河楼等小区、居住小区规模较大，入住率较高，综合评价居住社区成熟度较好</v>
      </c>
      <c r="D15" s="2985">
        <v>100</v>
      </c>
      <c r="E15" s="442"/>
      <c r="F15" s="2985">
        <f>SUMIF(88:88,E16,89:89)-SUMIF(88:88,C16,89:89)+100</f>
        <v>100</v>
      </c>
      <c r="G15" s="442"/>
      <c r="H15" s="2985">
        <f>SUMIF(88:88,G16,89:89)-SUMIF(88:88,C16,89:89)+100</f>
        <v>100</v>
      </c>
      <c r="I15" s="444"/>
      <c r="J15" s="2985">
        <f>SUMIF(88:88,I16,89:89)-SUMIF(88:88,C16,89:89)+100</f>
        <v>100</v>
      </c>
      <c r="K15" s="671">
        <v>4.5</v>
      </c>
      <c r="L15" s="1141"/>
      <c r="M15" s="1132"/>
      <c r="N15" s="1132"/>
      <c r="O15" s="1140"/>
      <c r="P15" s="3291" t="s">
        <v>2561</v>
      </c>
      <c r="Q15" s="1810" t="str">
        <f t="shared" si="6"/>
        <v>居住社区成熟度</v>
      </c>
      <c r="R15" s="772" t="s">
        <v>17</v>
      </c>
      <c r="S15" s="773">
        <f t="shared" si="0"/>
        <v>100</v>
      </c>
      <c r="T15" s="772" t="s">
        <v>17</v>
      </c>
      <c r="U15" s="773">
        <f t="shared" si="1"/>
        <v>100</v>
      </c>
      <c r="V15" s="772" t="s">
        <v>17</v>
      </c>
      <c r="W15" s="773">
        <f t="shared" si="2"/>
        <v>100</v>
      </c>
      <c r="X15" s="1813"/>
      <c r="Y15" s="3291" t="s">
        <v>2561</v>
      </c>
      <c r="Z15" s="1814" t="str">
        <f t="shared" si="7"/>
        <v>居住社区成熟度</v>
      </c>
      <c r="AA15" s="1811">
        <f t="shared" si="3"/>
        <v>1</v>
      </c>
      <c r="AB15" s="1811">
        <f t="shared" si="4"/>
        <v>1</v>
      </c>
      <c r="AC15" s="1811">
        <f t="shared" si="5"/>
        <v>1</v>
      </c>
    </row>
    <row r="16" spans="1:30" ht="15">
      <c r="A16" s="3003"/>
      <c r="B16" s="3006"/>
      <c r="C16" s="2970" t="s">
        <v>3072</v>
      </c>
      <c r="D16" s="2986"/>
      <c r="E16" s="2972" t="s">
        <v>3072</v>
      </c>
      <c r="F16" s="2986"/>
      <c r="G16" s="2972" t="s">
        <v>3072</v>
      </c>
      <c r="H16" s="2987"/>
      <c r="I16" s="2971" t="s">
        <v>3072</v>
      </c>
      <c r="J16" s="2986"/>
      <c r="K16" s="670"/>
      <c r="L16" s="1141"/>
      <c r="M16" s="1132"/>
      <c r="N16" s="1132"/>
      <c r="O16" s="1140"/>
      <c r="P16" s="3292"/>
      <c r="Q16" s="1810"/>
      <c r="R16" s="772"/>
      <c r="S16" s="773"/>
      <c r="T16" s="772"/>
      <c r="U16" s="773"/>
      <c r="V16" s="772"/>
      <c r="W16" s="773"/>
      <c r="X16" s="1813"/>
      <c r="Y16" s="3292"/>
      <c r="Z16" s="1814"/>
      <c r="AA16" s="1811">
        <v>1</v>
      </c>
      <c r="AB16" s="1811">
        <v>1</v>
      </c>
      <c r="AC16" s="1811">
        <v>1</v>
      </c>
    </row>
    <row r="17" spans="1:29" ht="15" hidden="1">
      <c r="A17" s="3003"/>
      <c r="B17" s="3016" t="s">
        <v>3168</v>
      </c>
      <c r="C17" s="2988">
        <f>估价对象房地状况!C16</f>
        <v>0</v>
      </c>
      <c r="D17" s="2987">
        <v>100</v>
      </c>
      <c r="E17" s="452"/>
      <c r="F17" s="2987">
        <f>SUMIF(90:90,E18,91:91)-SUMIF(90:90,C18,91:91)+100</f>
        <v>100</v>
      </c>
      <c r="G17" s="452"/>
      <c r="H17" s="2989">
        <f>SUMIF(90:90,G18,91:91)-SUMIF(90:90,C18,91:91)+100</f>
        <v>100</v>
      </c>
      <c r="I17" s="454"/>
      <c r="J17" s="2989">
        <f>SUMIF(90:90,I18,91:91)-SUMIF(90:90,C18,91:91)+100</f>
        <v>100</v>
      </c>
      <c r="K17" s="671"/>
      <c r="L17" s="1141"/>
      <c r="M17" s="1132"/>
      <c r="N17" s="1132"/>
      <c r="O17" s="1140"/>
      <c r="P17" s="3292"/>
      <c r="Q17" s="1810" t="str">
        <f>B17</f>
        <v>商业繁华度</v>
      </c>
      <c r="R17" s="772" t="s">
        <v>17</v>
      </c>
      <c r="S17" s="773">
        <f>F17</f>
        <v>100</v>
      </c>
      <c r="T17" s="772" t="s">
        <v>17</v>
      </c>
      <c r="U17" s="773">
        <f>H17</f>
        <v>100</v>
      </c>
      <c r="V17" s="772" t="s">
        <v>17</v>
      </c>
      <c r="W17" s="773">
        <f>J17</f>
        <v>100</v>
      </c>
      <c r="X17" s="1813"/>
      <c r="Y17" s="3292"/>
      <c r="Z17" s="1814" t="str">
        <f>Q17</f>
        <v>商业繁华度</v>
      </c>
      <c r="AA17" s="1811">
        <f t="shared" si="3"/>
        <v>1</v>
      </c>
      <c r="AB17" s="1811">
        <f t="shared" si="4"/>
        <v>1</v>
      </c>
      <c r="AC17" s="1811">
        <f t="shared" si="5"/>
        <v>1</v>
      </c>
    </row>
    <row r="18" spans="1:29" ht="15" hidden="1">
      <c r="A18" s="3003"/>
      <c r="B18" s="3017"/>
      <c r="C18" s="2990" t="s">
        <v>3074</v>
      </c>
      <c r="D18" s="2987"/>
      <c r="E18" s="452" t="s">
        <v>3074</v>
      </c>
      <c r="F18" s="2987"/>
      <c r="G18" s="452" t="s">
        <v>3074</v>
      </c>
      <c r="H18" s="2986"/>
      <c r="I18" s="454" t="s">
        <v>3074</v>
      </c>
      <c r="J18" s="2986"/>
      <c r="K18" s="670"/>
      <c r="L18" s="1141"/>
      <c r="M18" s="1132"/>
      <c r="N18" s="1132"/>
      <c r="O18" s="1140"/>
      <c r="P18" s="3292"/>
      <c r="Q18" s="1810"/>
      <c r="R18" s="772"/>
      <c r="S18" s="773"/>
      <c r="T18" s="772"/>
      <c r="U18" s="773"/>
      <c r="V18" s="772"/>
      <c r="W18" s="773"/>
      <c r="X18" s="1813"/>
      <c r="Y18" s="3292"/>
      <c r="Z18" s="1814"/>
      <c r="AA18" s="1811">
        <v>1</v>
      </c>
      <c r="AB18" s="1811">
        <v>1</v>
      </c>
      <c r="AC18" s="1811">
        <v>1</v>
      </c>
    </row>
    <row r="19" spans="1:29" ht="15" hidden="1">
      <c r="A19" s="3003"/>
      <c r="B19" s="3016" t="s">
        <v>3169</v>
      </c>
      <c r="C19" s="2988">
        <f>估价对象房地状况!C17</f>
        <v>0</v>
      </c>
      <c r="D19" s="2989">
        <v>100</v>
      </c>
      <c r="E19" s="457"/>
      <c r="F19" s="2989">
        <f>SUMIF(92:92,E20,93:93)-SUMIF(92:92,C20,93:93)+100</f>
        <v>100</v>
      </c>
      <c r="G19" s="457"/>
      <c r="H19" s="2987">
        <f>SUMIF(92:92,G20,93:93)-SUMIF(92:92,C20,93:93)+100</f>
        <v>100</v>
      </c>
      <c r="I19" s="459"/>
      <c r="J19" s="2987">
        <f>SUMIF(92:92,I20,93:93)-SUMIF(92:92,C20,93:93)+100</f>
        <v>100</v>
      </c>
      <c r="K19" s="671"/>
      <c r="L19" s="1141"/>
      <c r="M19" s="1132"/>
      <c r="N19" s="1132"/>
      <c r="O19" s="1140"/>
      <c r="P19" s="3292"/>
      <c r="Q19" s="1810" t="str">
        <f>B19</f>
        <v>办公集聚程度</v>
      </c>
      <c r="R19" s="772" t="s">
        <v>17</v>
      </c>
      <c r="S19" s="773">
        <f>F19</f>
        <v>100</v>
      </c>
      <c r="T19" s="772" t="s">
        <v>17</v>
      </c>
      <c r="U19" s="773">
        <f>H19</f>
        <v>100</v>
      </c>
      <c r="V19" s="772" t="s">
        <v>17</v>
      </c>
      <c r="W19" s="773">
        <f>J19</f>
        <v>100</v>
      </c>
      <c r="X19" s="1813"/>
      <c r="Y19" s="3292"/>
      <c r="Z19" s="1814" t="str">
        <f>Q19</f>
        <v>办公集聚程度</v>
      </c>
      <c r="AA19" s="1811">
        <f t="shared" si="3"/>
        <v>1</v>
      </c>
      <c r="AB19" s="1811">
        <f t="shared" si="4"/>
        <v>1</v>
      </c>
      <c r="AC19" s="1811">
        <f t="shared" si="5"/>
        <v>1</v>
      </c>
    </row>
    <row r="20" spans="1:29" ht="15" hidden="1">
      <c r="A20" s="3003"/>
      <c r="B20" s="3017"/>
      <c r="C20" s="2970" t="s">
        <v>3074</v>
      </c>
      <c r="D20" s="2986"/>
      <c r="E20" s="2972" t="s">
        <v>3074</v>
      </c>
      <c r="F20" s="2986"/>
      <c r="G20" s="2972" t="s">
        <v>3074</v>
      </c>
      <c r="H20" s="2986"/>
      <c r="I20" s="2971" t="s">
        <v>3074</v>
      </c>
      <c r="J20" s="2986"/>
      <c r="K20" s="670"/>
      <c r="L20" s="1141"/>
      <c r="M20" s="1132"/>
      <c r="N20" s="1132"/>
      <c r="O20" s="1140"/>
      <c r="P20" s="3292"/>
      <c r="Q20" s="1810"/>
      <c r="R20" s="772"/>
      <c r="S20" s="773"/>
      <c r="T20" s="772"/>
      <c r="U20" s="773"/>
      <c r="V20" s="772"/>
      <c r="W20" s="773"/>
      <c r="X20" s="1813"/>
      <c r="Y20" s="3292"/>
      <c r="Z20" s="1814"/>
      <c r="AA20" s="1811">
        <v>1</v>
      </c>
      <c r="AB20" s="1811">
        <v>1</v>
      </c>
      <c r="AC20" s="1811">
        <v>1</v>
      </c>
    </row>
    <row r="21" spans="1:29" ht="128.25">
      <c r="A21" s="3003"/>
      <c r="B21" s="3016" t="s">
        <v>3170</v>
      </c>
      <c r="C21" s="2991" t="str">
        <f>估价对象房地状况!C18</f>
        <v>估价对象紧邻城市支路-门头沟路、附近有公交车站西辛房站，停靠线路有370、960、992、M25等，附近5公里范围内无轨道交通站点，综合评价交通便捷度较好。</v>
      </c>
      <c r="D21" s="2987">
        <v>100</v>
      </c>
      <c r="E21" s="452"/>
      <c r="F21" s="2989">
        <f>SUMIF(94:94,E22,95:95)-SUMIF(94:94,C22,95:95)+100</f>
        <v>100</v>
      </c>
      <c r="G21" s="452"/>
      <c r="H21" s="2987">
        <f>SUMIF(94:94,G22,95:95)-SUMIF(94:94,C22,95:95)+100</f>
        <v>100</v>
      </c>
      <c r="I21" s="454"/>
      <c r="J21" s="2987">
        <f>SUMIF(94:94,I22,95:95)-SUMIF(94:94,C22,95:95)+100</f>
        <v>100</v>
      </c>
      <c r="K21" s="671"/>
      <c r="L21" s="1141"/>
      <c r="M21" s="1132"/>
      <c r="N21" s="1132"/>
      <c r="O21" s="1140"/>
      <c r="P21" s="3292"/>
      <c r="Q21" s="1810" t="str">
        <f>B21</f>
        <v>交通便捷度</v>
      </c>
      <c r="R21" s="772" t="s">
        <v>17</v>
      </c>
      <c r="S21" s="773">
        <f>F21</f>
        <v>100</v>
      </c>
      <c r="T21" s="772" t="s">
        <v>17</v>
      </c>
      <c r="U21" s="773">
        <f>H21</f>
        <v>100</v>
      </c>
      <c r="V21" s="772" t="s">
        <v>17</v>
      </c>
      <c r="W21" s="773">
        <f>J21</f>
        <v>100</v>
      </c>
      <c r="X21" s="1813"/>
      <c r="Y21" s="3292"/>
      <c r="Z21" s="1814" t="str">
        <f>Q21</f>
        <v>交通便捷度</v>
      </c>
      <c r="AA21" s="1811">
        <f t="shared" si="3"/>
        <v>1</v>
      </c>
      <c r="AB21" s="1811">
        <f t="shared" si="4"/>
        <v>1</v>
      </c>
      <c r="AC21" s="1811">
        <f t="shared" si="5"/>
        <v>1</v>
      </c>
    </row>
    <row r="22" spans="1:29" ht="15">
      <c r="A22" s="3003"/>
      <c r="B22" s="3018"/>
      <c r="C22" s="2970" t="s">
        <v>3072</v>
      </c>
      <c r="D22" s="2987"/>
      <c r="E22" s="2972" t="s">
        <v>3072</v>
      </c>
      <c r="F22" s="2986"/>
      <c r="G22" s="2972" t="s">
        <v>3072</v>
      </c>
      <c r="H22" s="2986"/>
      <c r="I22" s="2971" t="s">
        <v>3072</v>
      </c>
      <c r="J22" s="2986"/>
      <c r="K22" s="670"/>
      <c r="L22" s="1141"/>
      <c r="M22" s="1132"/>
      <c r="N22" s="1132"/>
      <c r="O22" s="1140"/>
      <c r="P22" s="3292"/>
      <c r="Q22" s="1810"/>
      <c r="R22" s="772"/>
      <c r="S22" s="773"/>
      <c r="T22" s="772"/>
      <c r="U22" s="773"/>
      <c r="V22" s="772"/>
      <c r="W22" s="773"/>
      <c r="X22" s="1813"/>
      <c r="Y22" s="3292"/>
      <c r="Z22" s="1814"/>
      <c r="AA22" s="1811">
        <v>1</v>
      </c>
      <c r="AB22" s="1811">
        <v>1</v>
      </c>
      <c r="AC22" s="1811">
        <v>1</v>
      </c>
    </row>
    <row r="23" spans="1:29" ht="15">
      <c r="A23" s="2999"/>
      <c r="B23" s="3016" t="s">
        <v>3171</v>
      </c>
      <c r="C23" s="2992">
        <f>估价对象房地状况!C19</f>
        <v>0</v>
      </c>
      <c r="D23" s="2989">
        <v>100</v>
      </c>
      <c r="E23" s="452"/>
      <c r="F23" s="2989">
        <f>SUMIF(96:96,E24,97:97)-SUMIF(96:96,C24,97:97)+100</f>
        <v>100</v>
      </c>
      <c r="G23" s="454"/>
      <c r="H23" s="2989">
        <f>SUMIF(96:96,G24,97:97)-SUMIF(96:96,C24,97:97)+100</f>
        <v>100</v>
      </c>
      <c r="I23" s="454"/>
      <c r="J23" s="2989">
        <f>SUMIF(96:96,I24,97:97)-SUMIF(96:96,C24,97:97)+100</f>
        <v>100</v>
      </c>
      <c r="K23" s="671"/>
      <c r="L23" s="1141"/>
      <c r="M23" s="1132"/>
      <c r="N23" s="1132"/>
      <c r="O23" s="1140"/>
      <c r="P23" s="3292"/>
      <c r="Q23" s="1810" t="str">
        <f t="shared" ref="Q23:Q37" si="8">B23</f>
        <v>区域土地利用方向</v>
      </c>
      <c r="R23" s="772" t="s">
        <v>17</v>
      </c>
      <c r="S23" s="773">
        <f>F23</f>
        <v>100</v>
      </c>
      <c r="T23" s="772" t="s">
        <v>17</v>
      </c>
      <c r="U23" s="773">
        <f>H23</f>
        <v>100</v>
      </c>
      <c r="V23" s="772" t="s">
        <v>17</v>
      </c>
      <c r="W23" s="773">
        <f>J23</f>
        <v>100</v>
      </c>
      <c r="X23" s="1813"/>
      <c r="Y23" s="3292"/>
      <c r="Z23" s="1814" t="str">
        <f>Q23</f>
        <v>区域土地利用方向</v>
      </c>
      <c r="AA23" s="1811">
        <f t="shared" si="3"/>
        <v>1</v>
      </c>
      <c r="AB23" s="1811">
        <f t="shared" si="4"/>
        <v>1</v>
      </c>
      <c r="AC23" s="1811">
        <f t="shared" si="5"/>
        <v>1</v>
      </c>
    </row>
    <row r="24" spans="1:29" ht="15">
      <c r="A24" s="2999"/>
      <c r="B24" s="3017"/>
      <c r="C24" s="434" t="s">
        <v>3072</v>
      </c>
      <c r="D24" s="2986"/>
      <c r="E24" s="2972" t="s">
        <v>3072</v>
      </c>
      <c r="F24" s="2986"/>
      <c r="G24" s="2971" t="s">
        <v>3072</v>
      </c>
      <c r="H24" s="2986"/>
      <c r="I24" s="2971" t="s">
        <v>3072</v>
      </c>
      <c r="J24" s="2986"/>
      <c r="K24" s="810"/>
      <c r="L24" s="1141"/>
      <c r="M24" s="1132"/>
      <c r="N24" s="1132"/>
      <c r="O24" s="1140"/>
      <c r="P24" s="3292"/>
      <c r="Q24" s="1810"/>
      <c r="R24" s="772"/>
      <c r="S24" s="773"/>
      <c r="T24" s="772"/>
      <c r="U24" s="773"/>
      <c r="V24" s="772"/>
      <c r="W24" s="773"/>
      <c r="X24" s="1813"/>
      <c r="Y24" s="3292"/>
      <c r="Z24" s="1814"/>
      <c r="AA24" s="1811"/>
      <c r="AB24" s="1811"/>
      <c r="AC24" s="1811"/>
    </row>
    <row r="25" spans="1:29" ht="85.5">
      <c r="A25" s="2999"/>
      <c r="B25" s="3018" t="s">
        <v>3172</v>
      </c>
      <c r="C25" s="2988" t="str">
        <f>估价对象房地状况!C20</f>
        <v>估价对象临黑河沟及其绿化带；周边2公里范围内有门头沟博物馆等人文设施；综合评价环境状况较好。加油站？</v>
      </c>
      <c r="D25" s="2987">
        <v>100</v>
      </c>
      <c r="E25" s="452"/>
      <c r="F25" s="2987">
        <f>SUMIF(98:98,E26,99:99)-SUMIF(98:98,C26,99:99)+100</f>
        <v>98</v>
      </c>
      <c r="G25" s="452"/>
      <c r="H25" s="2987">
        <f>SUMIF(98:98,G26,99:99)-SUMIF(98:98,C26,99:99)+100</f>
        <v>98</v>
      </c>
      <c r="I25" s="454"/>
      <c r="J25" s="2987">
        <f>SUMIF(98:98,I26,99:99)-SUMIF(98:98,C26,99:99)+100</f>
        <v>100</v>
      </c>
      <c r="K25" s="671">
        <v>2</v>
      </c>
      <c r="L25" s="1141"/>
      <c r="M25" s="1132"/>
      <c r="N25" s="1132"/>
      <c r="O25" s="1140"/>
      <c r="P25" s="3292"/>
      <c r="Q25" s="1810" t="str">
        <f t="shared" si="8"/>
        <v>自然及人文环境状况</v>
      </c>
      <c r="R25" s="772" t="s">
        <v>17</v>
      </c>
      <c r="S25" s="773">
        <f>F25</f>
        <v>98</v>
      </c>
      <c r="T25" s="772" t="s">
        <v>17</v>
      </c>
      <c r="U25" s="773">
        <f>H25</f>
        <v>98</v>
      </c>
      <c r="V25" s="772" t="s">
        <v>17</v>
      </c>
      <c r="W25" s="773">
        <f>J25</f>
        <v>100</v>
      </c>
      <c r="X25" s="1813"/>
      <c r="Y25" s="3292"/>
      <c r="Z25" s="1814" t="str">
        <f>Q25</f>
        <v>自然及人文环境状况</v>
      </c>
      <c r="AA25" s="1811">
        <f t="shared" si="3"/>
        <v>1.0204081632653061</v>
      </c>
      <c r="AB25" s="1811">
        <f t="shared" si="4"/>
        <v>1.0204081632653061</v>
      </c>
      <c r="AC25" s="1811">
        <f t="shared" si="5"/>
        <v>1</v>
      </c>
    </row>
    <row r="26" spans="1:29" ht="15">
      <c r="A26" s="2999"/>
      <c r="B26" s="3017"/>
      <c r="C26" s="2970" t="s">
        <v>3072</v>
      </c>
      <c r="D26" s="2986"/>
      <c r="E26" s="2993" t="s">
        <v>3073</v>
      </c>
      <c r="F26" s="2986"/>
      <c r="G26" s="2993" t="s">
        <v>3073</v>
      </c>
      <c r="H26" s="2986"/>
      <c r="I26" s="2970" t="s">
        <v>3072</v>
      </c>
      <c r="J26" s="2986"/>
      <c r="K26" s="670"/>
      <c r="L26" s="1141"/>
      <c r="M26" s="1132"/>
      <c r="N26" s="1132"/>
      <c r="O26" s="1140"/>
      <c r="P26" s="3292"/>
      <c r="Q26" s="1810"/>
      <c r="R26" s="772"/>
      <c r="S26" s="773"/>
      <c r="T26" s="772"/>
      <c r="U26" s="773"/>
      <c r="V26" s="772"/>
      <c r="W26" s="773"/>
      <c r="X26" s="1813"/>
      <c r="Y26" s="3292"/>
      <c r="Z26" s="1814"/>
      <c r="AA26" s="1811">
        <v>1</v>
      </c>
      <c r="AB26" s="1811">
        <v>1</v>
      </c>
      <c r="AC26" s="1811">
        <v>1</v>
      </c>
    </row>
    <row r="27" spans="1:29" s="117" customFormat="1" ht="99.75">
      <c r="A27" s="2999"/>
      <c r="B27" s="3018" t="s">
        <v>3173</v>
      </c>
      <c r="C27" s="2991" t="str">
        <f>估价对象房地状况!C21</f>
        <v>估价对象所在区域有东辛房小学、龙泉医院、京煤公司总医院门矿医院东辛房卫生服务站、邮政储蓄银行、农商银行等，公共配套设施状况较好</v>
      </c>
      <c r="D27" s="2987">
        <v>100</v>
      </c>
      <c r="E27" s="452"/>
      <c r="F27" s="2987">
        <f>SUMIF(100:100,E28,101:101)-SUMIF(100:100,C28,101:101)+100</f>
        <v>100</v>
      </c>
      <c r="G27" s="452"/>
      <c r="H27" s="2987">
        <f>SUMIF(100:100,G28,101:101)-SUMIF(100:100,C28,101:101)+100</f>
        <v>100</v>
      </c>
      <c r="I27" s="454"/>
      <c r="J27" s="2987">
        <f>SUMIF(100:100,I28,101:101)-SUMIF(100:100,C28,101:101)+100</f>
        <v>103</v>
      </c>
      <c r="K27" s="671">
        <v>3</v>
      </c>
      <c r="L27" s="1133"/>
      <c r="M27" s="1134"/>
      <c r="N27" s="1134"/>
      <c r="O27" s="1135"/>
      <c r="P27" s="3292"/>
      <c r="Q27" s="1795" t="str">
        <f t="shared" si="8"/>
        <v>公共配套设施</v>
      </c>
      <c r="R27" s="768" t="s">
        <v>17</v>
      </c>
      <c r="S27" s="769">
        <f>F27</f>
        <v>100</v>
      </c>
      <c r="T27" s="768" t="s">
        <v>17</v>
      </c>
      <c r="U27" s="769">
        <f>H27</f>
        <v>100</v>
      </c>
      <c r="V27" s="768" t="s">
        <v>17</v>
      </c>
      <c r="W27" s="769">
        <f>J27</f>
        <v>103</v>
      </c>
      <c r="X27" s="770"/>
      <c r="Y27" s="3292"/>
      <c r="Z27" s="55" t="str">
        <f>Q27</f>
        <v>公共配套设施</v>
      </c>
      <c r="AA27" s="1811">
        <f>D27/F27</f>
        <v>1</v>
      </c>
      <c r="AB27" s="1811">
        <f>D27/H27</f>
        <v>1</v>
      </c>
      <c r="AC27" s="1811">
        <f>D27/J27</f>
        <v>0.970873786407767</v>
      </c>
    </row>
    <row r="28" spans="1:29" s="117" customFormat="1" ht="15">
      <c r="A28" s="2999"/>
      <c r="B28" s="3017"/>
      <c r="C28" s="2994" t="s">
        <v>3072</v>
      </c>
      <c r="D28" s="2986"/>
      <c r="E28" s="2993" t="s">
        <v>3072</v>
      </c>
      <c r="F28" s="2986"/>
      <c r="G28" s="2993" t="s">
        <v>3072</v>
      </c>
      <c r="H28" s="2986"/>
      <c r="I28" s="2970" t="s">
        <v>3074</v>
      </c>
      <c r="J28" s="2986"/>
      <c r="K28" s="670"/>
      <c r="L28" s="1133"/>
      <c r="M28" s="1134"/>
      <c r="N28" s="1134"/>
      <c r="O28" s="1135"/>
      <c r="P28" s="3292"/>
      <c r="Q28" s="1795"/>
      <c r="R28" s="768"/>
      <c r="S28" s="769"/>
      <c r="T28" s="768"/>
      <c r="U28" s="769"/>
      <c r="V28" s="768"/>
      <c r="W28" s="769"/>
      <c r="X28" s="770"/>
      <c r="Y28" s="3292"/>
      <c r="Z28" s="55"/>
      <c r="AA28" s="1811">
        <v>1</v>
      </c>
      <c r="AB28" s="1811">
        <v>1</v>
      </c>
      <c r="AC28" s="1811">
        <v>1</v>
      </c>
    </row>
    <row r="29" spans="1:29" s="117" customFormat="1" ht="42.75">
      <c r="A29" s="2999"/>
      <c r="B29" s="3018" t="s">
        <v>3174</v>
      </c>
      <c r="C29" s="2991" t="str">
        <f>估价对象房地状况!C22</f>
        <v>估价对象所在区域基础设施水平为七通一平</v>
      </c>
      <c r="D29" s="2987">
        <v>100</v>
      </c>
      <c r="E29" s="452"/>
      <c r="F29" s="2987">
        <f>SUMIF(102:102,E30,103:103)-SUMIF(102:102,C30,103:103)+100</f>
        <v>100</v>
      </c>
      <c r="G29" s="452"/>
      <c r="H29" s="2987">
        <f>SUMIF(102:102,G30,103:103)-SUMIF(102:102,C30,103:103)+100</f>
        <v>100</v>
      </c>
      <c r="I29" s="454"/>
      <c r="J29" s="2987">
        <f>SUMIF(102:102,I30,103:103)-SUMIF(102:102,C30,103:103)+100</f>
        <v>100</v>
      </c>
      <c r="K29" s="671"/>
      <c r="L29" s="1133"/>
      <c r="M29" s="1134"/>
      <c r="N29" s="1134"/>
      <c r="O29" s="1135"/>
      <c r="P29" s="3292"/>
      <c r="Q29" s="1795" t="str">
        <f t="shared" ref="Q29" si="9">B29</f>
        <v>基础设施水平</v>
      </c>
      <c r="R29" s="768" t="s">
        <v>17</v>
      </c>
      <c r="S29" s="769">
        <f>F29</f>
        <v>100</v>
      </c>
      <c r="T29" s="768" t="s">
        <v>17</v>
      </c>
      <c r="U29" s="769">
        <f>H29</f>
        <v>100</v>
      </c>
      <c r="V29" s="768" t="s">
        <v>17</v>
      </c>
      <c r="W29" s="769">
        <f>J29</f>
        <v>100</v>
      </c>
      <c r="X29" s="770"/>
      <c r="Y29" s="3292"/>
      <c r="Z29" s="55" t="str">
        <f>Q29</f>
        <v>基础设施水平</v>
      </c>
      <c r="AA29" s="1811">
        <f>D29/F29</f>
        <v>1</v>
      </c>
      <c r="AB29" s="1811">
        <f>D29/H29</f>
        <v>1</v>
      </c>
      <c r="AC29" s="1811">
        <f>D29/J29</f>
        <v>1</v>
      </c>
    </row>
    <row r="30" spans="1:29" s="117" customFormat="1" ht="15">
      <c r="A30" s="2999"/>
      <c r="B30" s="3017"/>
      <c r="C30" s="2994" t="s">
        <v>3108</v>
      </c>
      <c r="D30" s="2986"/>
      <c r="E30" s="2995" t="s">
        <v>3108</v>
      </c>
      <c r="F30" s="2986"/>
      <c r="G30" s="2995" t="s">
        <v>3108</v>
      </c>
      <c r="H30" s="2986"/>
      <c r="I30" s="2995" t="s">
        <v>3108</v>
      </c>
      <c r="J30" s="2986"/>
      <c r="K30" s="670"/>
      <c r="L30" s="1133"/>
      <c r="M30" s="1134"/>
      <c r="N30" s="1134"/>
      <c r="O30" s="1135"/>
      <c r="P30" s="3292"/>
      <c r="Q30" s="1795"/>
      <c r="R30" s="768"/>
      <c r="S30" s="769"/>
      <c r="T30" s="768"/>
      <c r="U30" s="769"/>
      <c r="V30" s="768"/>
      <c r="W30" s="769"/>
      <c r="X30" s="770"/>
      <c r="Y30" s="3292"/>
      <c r="Z30" s="55"/>
      <c r="AA30" s="1811">
        <v>1</v>
      </c>
      <c r="AB30" s="1811">
        <v>1</v>
      </c>
      <c r="AC30" s="1811">
        <v>1</v>
      </c>
    </row>
    <row r="31" spans="1:29" ht="15">
      <c r="A31" s="3003"/>
      <c r="B31" s="3017" t="s">
        <v>3175</v>
      </c>
      <c r="C31" s="434" t="s">
        <v>3107</v>
      </c>
      <c r="D31" s="2981">
        <v>100</v>
      </c>
      <c r="E31" s="2617" t="s">
        <v>3107</v>
      </c>
      <c r="F31" s="2981">
        <f>SUMIF(104:104,E31,105:105)-SUMIF(104:104,C31,105:105)+100</f>
        <v>100</v>
      </c>
      <c r="G31" s="2617" t="s">
        <v>3107</v>
      </c>
      <c r="H31" s="2981">
        <f>SUMIF(104:104,G31,105:105)-SUMIF(104:104,C31,105:105)+100</f>
        <v>100</v>
      </c>
      <c r="I31" s="2617" t="s">
        <v>3107</v>
      </c>
      <c r="J31" s="2981">
        <f>SUMIF(104:104,I31,105:105)-SUMIF(104:104,C31,105:105)+100</f>
        <v>100</v>
      </c>
      <c r="K31" s="671"/>
      <c r="L31" s="1141"/>
      <c r="M31" s="1132"/>
      <c r="N31" s="1132"/>
      <c r="O31" s="1140"/>
      <c r="P31" s="3292"/>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92"/>
      <c r="Z31" s="1814" t="str">
        <f t="shared" ref="Z31:Z45" si="13">Q31</f>
        <v>临街状况</v>
      </c>
      <c r="AA31" s="1811">
        <f t="shared" si="3"/>
        <v>1</v>
      </c>
      <c r="AB31" s="1811">
        <f t="shared" si="4"/>
        <v>1</v>
      </c>
      <c r="AC31" s="1811">
        <f t="shared" si="5"/>
        <v>1</v>
      </c>
    </row>
    <row r="32" spans="1:29" ht="27">
      <c r="A32" s="3003"/>
      <c r="B32" s="3018" t="s">
        <v>3176</v>
      </c>
      <c r="C32" s="3040" t="str">
        <f>估价对象房地状况!C10</f>
        <v>紧邻城市次干道-建材城中路</v>
      </c>
      <c r="D32" s="2987">
        <v>100</v>
      </c>
      <c r="E32" s="452"/>
      <c r="F32" s="2987">
        <f>SUMIF(106:106,E33,107:107)-SUMIF(106:106,C33,107:107)+100</f>
        <v>100</v>
      </c>
      <c r="G32" s="452"/>
      <c r="H32" s="2987">
        <f>SUMIF(106:106,G33,107:107)-SUMIF(106:106,C33,107:107)+100</f>
        <v>100</v>
      </c>
      <c r="I32" s="454"/>
      <c r="J32" s="2987">
        <f>SUMIF(106:106,I33,107:107)-SUMIF(106:106,C33,107:107)+100</f>
        <v>99</v>
      </c>
      <c r="K32" s="671">
        <v>1</v>
      </c>
      <c r="L32" s="1141"/>
      <c r="M32" s="1132"/>
      <c r="N32" s="1132"/>
      <c r="O32" s="1140"/>
      <c r="P32" s="3292"/>
      <c r="Q32" s="1810" t="str">
        <f t="shared" si="8"/>
        <v>毗邻道路的类型与等级</v>
      </c>
      <c r="R32" s="772" t="s">
        <v>17</v>
      </c>
      <c r="S32" s="773">
        <f t="shared" si="10"/>
        <v>100</v>
      </c>
      <c r="T32" s="772" t="s">
        <v>17</v>
      </c>
      <c r="U32" s="773">
        <f t="shared" si="11"/>
        <v>100</v>
      </c>
      <c r="V32" s="772" t="s">
        <v>17</v>
      </c>
      <c r="W32" s="773">
        <f t="shared" si="12"/>
        <v>99</v>
      </c>
      <c r="X32" s="1813"/>
      <c r="Y32" s="3292"/>
      <c r="Z32" s="1814" t="str">
        <f t="shared" si="13"/>
        <v>毗邻道路的类型与等级</v>
      </c>
      <c r="AA32" s="1811">
        <f t="shared" si="3"/>
        <v>1</v>
      </c>
      <c r="AB32" s="1811">
        <f t="shared" si="4"/>
        <v>1</v>
      </c>
      <c r="AC32" s="1811">
        <f t="shared" si="5"/>
        <v>1.0101010101010102</v>
      </c>
    </row>
    <row r="33" spans="1:29" ht="15.75" thickBot="1">
      <c r="A33" s="3003"/>
      <c r="B33" s="3017"/>
      <c r="C33" s="2970" t="s">
        <v>3226</v>
      </c>
      <c r="D33" s="2986"/>
      <c r="E33" s="2993" t="s">
        <v>3226</v>
      </c>
      <c r="F33" s="2986"/>
      <c r="G33" s="2993" t="s">
        <v>3226</v>
      </c>
      <c r="H33" s="2986"/>
      <c r="I33" s="2970" t="s">
        <v>3078</v>
      </c>
      <c r="J33" s="2986"/>
      <c r="K33" s="611"/>
      <c r="L33" s="1141"/>
      <c r="M33" s="1132"/>
      <c r="N33" s="1132"/>
      <c r="O33" s="1140"/>
      <c r="P33" s="3292"/>
      <c r="Q33" s="1810"/>
      <c r="R33" s="772"/>
      <c r="S33" s="773"/>
      <c r="T33" s="772"/>
      <c r="U33" s="773"/>
      <c r="V33" s="772"/>
      <c r="W33" s="773"/>
      <c r="X33" s="1813"/>
      <c r="Y33" s="3292"/>
      <c r="Z33" s="1814"/>
      <c r="AA33" s="1811">
        <v>1</v>
      </c>
      <c r="AB33" s="1811">
        <v>1</v>
      </c>
      <c r="AC33" s="1811">
        <v>1</v>
      </c>
    </row>
    <row r="34" spans="1:29" ht="15.75" hidden="1" thickBot="1">
      <c r="A34" s="3003"/>
      <c r="B34" s="3012" t="s">
        <v>3177</v>
      </c>
      <c r="C34" s="434" t="s">
        <v>528</v>
      </c>
      <c r="D34" s="2981">
        <v>100</v>
      </c>
      <c r="E34" s="2617" t="s">
        <v>528</v>
      </c>
      <c r="F34" s="2981">
        <f>SUMIF(108:108,E34,109:109)-SUMIF(108:108,C34,109:109)+100</f>
        <v>100</v>
      </c>
      <c r="G34" s="2617" t="s">
        <v>528</v>
      </c>
      <c r="H34" s="2981">
        <f>SUMIF(108:108,G34,109:109)-SUMIF(108:108,C34,109:109)+100</f>
        <v>100</v>
      </c>
      <c r="I34" s="434" t="s">
        <v>526</v>
      </c>
      <c r="J34" s="2981">
        <f>SUMIF(108:108,I34,109:109)-SUMIF(108:108,C34,109:109)+100</f>
        <v>100</v>
      </c>
      <c r="K34" s="610"/>
      <c r="L34" s="1141"/>
      <c r="M34" s="1132"/>
      <c r="N34" s="1132"/>
      <c r="O34" s="1140"/>
      <c r="P34" s="3292"/>
      <c r="Q34" s="1810" t="str">
        <f t="shared" si="8"/>
        <v>土地级别</v>
      </c>
      <c r="R34" s="772" t="s">
        <v>17</v>
      </c>
      <c r="S34" s="773">
        <f t="shared" si="10"/>
        <v>100</v>
      </c>
      <c r="T34" s="772" t="s">
        <v>17</v>
      </c>
      <c r="U34" s="773">
        <f t="shared" si="11"/>
        <v>100</v>
      </c>
      <c r="V34" s="772" t="s">
        <v>17</v>
      </c>
      <c r="W34" s="773">
        <f t="shared" si="12"/>
        <v>100</v>
      </c>
      <c r="X34" s="1813"/>
      <c r="Y34" s="3292"/>
      <c r="Z34" s="1814" t="str">
        <f t="shared" si="13"/>
        <v>土地级别</v>
      </c>
      <c r="AA34" s="1811">
        <f t="shared" si="3"/>
        <v>1</v>
      </c>
      <c r="AB34" s="1811">
        <f t="shared" si="4"/>
        <v>1</v>
      </c>
      <c r="AC34" s="1811">
        <f t="shared" si="5"/>
        <v>1</v>
      </c>
    </row>
    <row r="35" spans="1:29" ht="15" hidden="1">
      <c r="A35" s="2999"/>
      <c r="B35" s="3019">
        <v>111</v>
      </c>
      <c r="C35" s="672"/>
      <c r="D35" s="2981">
        <v>100</v>
      </c>
      <c r="E35" s="475"/>
      <c r="F35" s="2981">
        <f>SUMIF(110:110,E35,111:111)-SUMIF(110:110,C35,111:111)+100</f>
        <v>100</v>
      </c>
      <c r="G35" s="475"/>
      <c r="H35" s="2981">
        <f>SUMIF(110:110,G35,111:111)-SUMIF(110:110,C35,111:111)+100</f>
        <v>100</v>
      </c>
      <c r="I35" s="672"/>
      <c r="J35" s="2981">
        <f>SUMIF(110:110,I35,111:111)-SUMIF(110:110,C35,111:111)+100</f>
        <v>100</v>
      </c>
      <c r="K35" s="611"/>
      <c r="L35" s="1141"/>
      <c r="M35" s="1132"/>
      <c r="N35" s="1132"/>
      <c r="O35" s="1140"/>
      <c r="P35" s="3292"/>
      <c r="Q35" s="1810">
        <f t="shared" si="8"/>
        <v>111</v>
      </c>
      <c r="R35" s="772" t="s">
        <v>17</v>
      </c>
      <c r="S35" s="773">
        <f t="shared" si="10"/>
        <v>100</v>
      </c>
      <c r="T35" s="772" t="s">
        <v>17</v>
      </c>
      <c r="U35" s="773">
        <f t="shared" si="11"/>
        <v>100</v>
      </c>
      <c r="V35" s="772" t="s">
        <v>17</v>
      </c>
      <c r="W35" s="773">
        <f t="shared" si="12"/>
        <v>100</v>
      </c>
      <c r="X35" s="1813"/>
      <c r="Y35" s="3292"/>
      <c r="Z35" s="1814">
        <f t="shared" si="13"/>
        <v>111</v>
      </c>
      <c r="AA35" s="1811">
        <f t="shared" si="3"/>
        <v>1</v>
      </c>
      <c r="AB35" s="1811">
        <f t="shared" si="4"/>
        <v>1</v>
      </c>
      <c r="AC35" s="1811">
        <f t="shared" si="5"/>
        <v>1</v>
      </c>
    </row>
    <row r="36" spans="1:29" ht="15" hidden="1">
      <c r="A36" s="3007"/>
      <c r="B36" s="1388">
        <v>111</v>
      </c>
      <c r="C36" s="672"/>
      <c r="D36" s="2981">
        <v>100</v>
      </c>
      <c r="E36" s="475"/>
      <c r="F36" s="2981">
        <f>SUMIF(112:112,E37,113:113)-SUMIF(112:112,C37,113:113)+100</f>
        <v>100</v>
      </c>
      <c r="G36" s="475"/>
      <c r="H36" s="2981">
        <f>SUMIF(112:112,G36,113:113)-SUMIF(112:112,C36,113:113)+100</f>
        <v>100</v>
      </c>
      <c r="I36" s="672"/>
      <c r="J36" s="2981">
        <f>SUMIF(112:112,I36,113:113)-SUMIF(112:112,C36,113:113)+100</f>
        <v>100</v>
      </c>
      <c r="K36" s="611"/>
      <c r="L36" s="1141"/>
      <c r="M36" s="1132"/>
      <c r="N36" s="1132"/>
      <c r="O36" s="1140"/>
      <c r="P36" s="3318" t="s">
        <v>2566</v>
      </c>
      <c r="Q36" s="1810">
        <f t="shared" si="8"/>
        <v>111</v>
      </c>
      <c r="R36" s="772" t="s">
        <v>17</v>
      </c>
      <c r="S36" s="773">
        <f t="shared" si="10"/>
        <v>100</v>
      </c>
      <c r="T36" s="772" t="s">
        <v>17</v>
      </c>
      <c r="U36" s="773">
        <f t="shared" si="11"/>
        <v>100</v>
      </c>
      <c r="V36" s="772" t="s">
        <v>17</v>
      </c>
      <c r="W36" s="773">
        <f t="shared" si="12"/>
        <v>100</v>
      </c>
      <c r="X36" s="1813"/>
      <c r="Y36" s="3296" t="s">
        <v>2566</v>
      </c>
      <c r="Z36" s="1814">
        <f t="shared" si="13"/>
        <v>111</v>
      </c>
      <c r="AA36" s="1811">
        <f t="shared" si="3"/>
        <v>1</v>
      </c>
      <c r="AB36" s="1811">
        <f t="shared" si="4"/>
        <v>1</v>
      </c>
      <c r="AC36" s="1811">
        <f t="shared" si="5"/>
        <v>1</v>
      </c>
    </row>
    <row r="37" spans="1:29" s="469" customFormat="1" ht="15.75" hidden="1" thickBot="1">
      <c r="A37" s="3020"/>
      <c r="B37" s="3021">
        <v>111</v>
      </c>
      <c r="C37" s="676"/>
      <c r="D37" s="2983">
        <v>100</v>
      </c>
      <c r="E37" s="699"/>
      <c r="F37" s="2983">
        <f>SUMIF(114:114,E37,115:115)-SUMIF(114:114,C37,115:115)+100</f>
        <v>100</v>
      </c>
      <c r="G37" s="699"/>
      <c r="H37" s="2983">
        <f>SUMIF(114:114,G37,115:115)-SUMIF(114:114,C37,115:115)+100</f>
        <v>100</v>
      </c>
      <c r="I37" s="676"/>
      <c r="J37" s="2983">
        <f>SUMIF(114:114,I37,115:115)-SUMIF(114:114,C37,115:115)+100</f>
        <v>100</v>
      </c>
      <c r="K37" s="611"/>
      <c r="L37" s="1139"/>
      <c r="M37" s="1142"/>
      <c r="N37" s="1142"/>
      <c r="O37" s="1143"/>
      <c r="P37" s="3296"/>
      <c r="Q37" s="1810">
        <f t="shared" si="8"/>
        <v>111</v>
      </c>
      <c r="R37" s="775" t="s">
        <v>17</v>
      </c>
      <c r="S37" s="776">
        <f t="shared" si="10"/>
        <v>100</v>
      </c>
      <c r="T37" s="775" t="s">
        <v>17</v>
      </c>
      <c r="U37" s="776">
        <f t="shared" si="11"/>
        <v>100</v>
      </c>
      <c r="V37" s="775" t="s">
        <v>17</v>
      </c>
      <c r="W37" s="776">
        <f t="shared" si="12"/>
        <v>100</v>
      </c>
      <c r="X37" s="777"/>
      <c r="Y37" s="3296"/>
      <c r="Z37" s="778">
        <f t="shared" si="13"/>
        <v>111</v>
      </c>
      <c r="AA37" s="1811">
        <f t="shared" si="3"/>
        <v>1</v>
      </c>
      <c r="AB37" s="1811">
        <f t="shared" si="4"/>
        <v>1</v>
      </c>
      <c r="AC37" s="1811">
        <f t="shared" si="5"/>
        <v>1</v>
      </c>
    </row>
    <row r="38" spans="1:29" ht="15">
      <c r="A38" s="3008" t="s">
        <v>2564</v>
      </c>
      <c r="B38" s="3017" t="s">
        <v>3178</v>
      </c>
      <c r="C38" s="3035">
        <v>7700</v>
      </c>
      <c r="D38" s="2980">
        <v>100</v>
      </c>
      <c r="E38" s="677">
        <f>土地案例!E2</f>
        <v>84786.55</v>
      </c>
      <c r="F38" s="2980">
        <f>LOOKUP(E38,117:117,118:118)-LOOKUP(C38,117:117,118:118)+100</f>
        <v>100.5</v>
      </c>
      <c r="G38" s="677">
        <f>土地案例!E3</f>
        <v>43356.75</v>
      </c>
      <c r="H38" s="2980">
        <f>LOOKUP(G38,117:117,118:118)-LOOKUP(C38,117:117,118:118)+100</f>
        <v>100</v>
      </c>
      <c r="I38" s="528">
        <f>土地案例!E4</f>
        <v>27130.69</v>
      </c>
      <c r="J38" s="2980">
        <f>LOOKUP(I38,117:117,118:118)-LOOKUP(C38,117:117,118:118)+100</f>
        <v>100</v>
      </c>
      <c r="K38" s="611"/>
      <c r="L38" s="1141"/>
      <c r="M38" s="1132"/>
      <c r="N38" s="1132"/>
      <c r="O38" s="1140"/>
      <c r="P38" s="3296"/>
      <c r="Q38" s="1810" t="str">
        <f>B38</f>
        <v>宗地面积</v>
      </c>
      <c r="R38" s="772" t="s">
        <v>17</v>
      </c>
      <c r="S38" s="773">
        <f t="shared" si="10"/>
        <v>100.5</v>
      </c>
      <c r="T38" s="772" t="s">
        <v>17</v>
      </c>
      <c r="U38" s="773">
        <f t="shared" si="11"/>
        <v>100</v>
      </c>
      <c r="V38" s="772" t="s">
        <v>17</v>
      </c>
      <c r="W38" s="773">
        <f t="shared" si="12"/>
        <v>100</v>
      </c>
      <c r="X38" s="1813"/>
      <c r="Y38" s="3296"/>
      <c r="Z38" s="1814" t="str">
        <f t="shared" si="13"/>
        <v>宗地面积</v>
      </c>
      <c r="AA38" s="1811">
        <f t="shared" si="3"/>
        <v>0.99502487562189057</v>
      </c>
      <c r="AB38" s="1811">
        <f t="shared" si="4"/>
        <v>1</v>
      </c>
      <c r="AC38" s="1811">
        <f t="shared" si="5"/>
        <v>1</v>
      </c>
    </row>
    <row r="39" spans="1:29" ht="15">
      <c r="A39" s="3008"/>
      <c r="B39" s="3012" t="s">
        <v>3179</v>
      </c>
      <c r="C39" s="2996" t="s">
        <v>3255</v>
      </c>
      <c r="D39" s="2981">
        <v>100</v>
      </c>
      <c r="E39" s="2996" t="s">
        <v>3105</v>
      </c>
      <c r="F39" s="2981">
        <f>SUMIF(119:119,E39,120:120)-SUMIF(119:119,C39,120:120)+100</f>
        <v>103</v>
      </c>
      <c r="G39" s="2996" t="s">
        <v>3105</v>
      </c>
      <c r="H39" s="2981">
        <f>SUMIF(119:119,G39,120:120)-SUMIF(119:119,C39,120:120)+100</f>
        <v>103</v>
      </c>
      <c r="I39" s="2996" t="s">
        <v>3105</v>
      </c>
      <c r="J39" s="2981">
        <f>SUMIF(119:119,I39,120:120)-SUMIF(119:119,C39,120:120)+100</f>
        <v>103</v>
      </c>
      <c r="K39" s="610">
        <v>1</v>
      </c>
      <c r="L39" s="1141"/>
      <c r="M39" s="1132"/>
      <c r="N39" s="1132"/>
      <c r="O39" s="1140"/>
      <c r="P39" s="3296"/>
      <c r="Q39" s="1810" t="str">
        <f t="shared" ref="Q39:Q45" si="14">B39</f>
        <v>宗地形状</v>
      </c>
      <c r="R39" s="772" t="s">
        <v>17</v>
      </c>
      <c r="S39" s="773">
        <f t="shared" si="10"/>
        <v>103</v>
      </c>
      <c r="T39" s="772" t="s">
        <v>17</v>
      </c>
      <c r="U39" s="773">
        <f t="shared" si="11"/>
        <v>103</v>
      </c>
      <c r="V39" s="772" t="s">
        <v>17</v>
      </c>
      <c r="W39" s="773">
        <f t="shared" si="12"/>
        <v>103</v>
      </c>
      <c r="X39" s="1813"/>
      <c r="Y39" s="3296"/>
      <c r="Z39" s="1814" t="str">
        <f t="shared" si="13"/>
        <v>宗地形状</v>
      </c>
      <c r="AA39" s="1811">
        <f t="shared" si="3"/>
        <v>0.970873786407767</v>
      </c>
      <c r="AB39" s="1811">
        <f t="shared" si="4"/>
        <v>0.970873786407767</v>
      </c>
      <c r="AC39" s="1811">
        <f t="shared" si="5"/>
        <v>0.970873786407767</v>
      </c>
    </row>
    <row r="40" spans="1:29" ht="15" hidden="1">
      <c r="A40" s="3008"/>
      <c r="B40" s="3012" t="s">
        <v>3180</v>
      </c>
      <c r="C40" s="2996"/>
      <c r="D40" s="2981">
        <v>100</v>
      </c>
      <c r="E40" s="2996"/>
      <c r="F40" s="2981">
        <f>SUMIF(121:121,E40,122:122)-SUMIF(121:121,C40,122:122)+100</f>
        <v>100</v>
      </c>
      <c r="G40" s="2996"/>
      <c r="H40" s="2981">
        <f>SUMIF(121:121,G40,122:122)-SUMIF(121:121,C40,122:122)+100</f>
        <v>100</v>
      </c>
      <c r="I40" s="2996"/>
      <c r="J40" s="2981">
        <f>SUMIF(121:121,I40,122:122)-SUMIF(121:121,C40,122:122)+100</f>
        <v>100</v>
      </c>
      <c r="K40" s="610"/>
      <c r="L40" s="1141"/>
      <c r="M40" s="1132"/>
      <c r="N40" s="1132"/>
      <c r="O40" s="1140"/>
      <c r="P40" s="3296"/>
      <c r="Q40" s="1810" t="str">
        <f t="shared" si="14"/>
        <v>临街宽度及深度</v>
      </c>
      <c r="R40" s="772" t="s">
        <v>17</v>
      </c>
      <c r="S40" s="773">
        <f t="shared" si="10"/>
        <v>100</v>
      </c>
      <c r="T40" s="772" t="s">
        <v>17</v>
      </c>
      <c r="U40" s="773">
        <f t="shared" si="11"/>
        <v>100</v>
      </c>
      <c r="V40" s="772" t="s">
        <v>17</v>
      </c>
      <c r="W40" s="773">
        <f t="shared" si="12"/>
        <v>100</v>
      </c>
      <c r="X40" s="1813"/>
      <c r="Y40" s="3296"/>
      <c r="Z40" s="1814" t="str">
        <f t="shared" si="13"/>
        <v>临街宽度及深度</v>
      </c>
      <c r="AA40" s="1811">
        <f t="shared" si="3"/>
        <v>1</v>
      </c>
      <c r="AB40" s="1811">
        <f t="shared" si="4"/>
        <v>1</v>
      </c>
      <c r="AC40" s="1811">
        <f t="shared" si="5"/>
        <v>1</v>
      </c>
    </row>
    <row r="41" spans="1:29" s="117" customFormat="1" ht="15">
      <c r="A41" s="3008"/>
      <c r="B41" s="3012" t="s">
        <v>3181</v>
      </c>
      <c r="C41" s="3036" t="s">
        <v>3251</v>
      </c>
      <c r="D41" s="2981">
        <v>100</v>
      </c>
      <c r="E41" s="2961" t="s">
        <v>3225</v>
      </c>
      <c r="F41" s="2981">
        <f>SUMIF(123:123,E41,124:124)-SUMIF(123:123,C41,124:124)+100</f>
        <v>101</v>
      </c>
      <c r="G41" s="2961" t="s">
        <v>3099</v>
      </c>
      <c r="H41" s="2981">
        <f>SUMIF(123:123,G41,124:124)-SUMIF(123:123,C41,124:124)+100</f>
        <v>102</v>
      </c>
      <c r="I41" s="2961" t="s">
        <v>3225</v>
      </c>
      <c r="J41" s="2981">
        <f>SUMIF(123:123,I41,124:124)-SUMIF(123:123,C41,124:124)+100</f>
        <v>101</v>
      </c>
      <c r="K41" s="610">
        <v>0.5</v>
      </c>
      <c r="L41" s="1133"/>
      <c r="M41" s="1134"/>
      <c r="N41" s="1134"/>
      <c r="O41" s="1135"/>
      <c r="P41" s="3296"/>
      <c r="Q41" s="1810" t="str">
        <f t="shared" si="14"/>
        <v>宗地开发程度</v>
      </c>
      <c r="R41" s="768" t="s">
        <v>17</v>
      </c>
      <c r="S41" s="769">
        <f t="shared" si="10"/>
        <v>101</v>
      </c>
      <c r="T41" s="768" t="s">
        <v>17</v>
      </c>
      <c r="U41" s="769">
        <f t="shared" si="11"/>
        <v>102</v>
      </c>
      <c r="V41" s="768" t="s">
        <v>17</v>
      </c>
      <c r="W41" s="769">
        <f t="shared" si="12"/>
        <v>101</v>
      </c>
      <c r="X41" s="770"/>
      <c r="Y41" s="3296"/>
      <c r="Z41" s="55" t="str">
        <f t="shared" si="13"/>
        <v>宗地开发程度</v>
      </c>
      <c r="AA41" s="771">
        <f t="shared" si="3"/>
        <v>0.99009900990099009</v>
      </c>
      <c r="AB41" s="771">
        <f t="shared" si="4"/>
        <v>0.98039215686274506</v>
      </c>
      <c r="AC41" s="771">
        <f t="shared" si="5"/>
        <v>0.99009900990099009</v>
      </c>
    </row>
    <row r="42" spans="1:29" ht="15">
      <c r="A42" s="3008"/>
      <c r="B42" s="3012" t="s">
        <v>3182</v>
      </c>
      <c r="C42" s="2996" t="s">
        <v>3072</v>
      </c>
      <c r="D42" s="2981">
        <v>100</v>
      </c>
      <c r="E42" s="2996" t="s">
        <v>3072</v>
      </c>
      <c r="F42" s="2981">
        <f>SUMIF(125:125,E42,126:126)-SUMIF(125:125,C42,126:126)+100</f>
        <v>100</v>
      </c>
      <c r="G42" s="2996" t="s">
        <v>3072</v>
      </c>
      <c r="H42" s="2981">
        <f>SUMIF(125:125,G42,126:126)-SUMIF(125:125,C42,126:126)+100</f>
        <v>100</v>
      </c>
      <c r="I42" s="2996" t="s">
        <v>3072</v>
      </c>
      <c r="J42" s="2981">
        <f>SUMIF(125:125,I42,126:126)-SUMIF(125:125,C42,126:126)+100</f>
        <v>100</v>
      </c>
      <c r="K42" s="610"/>
      <c r="L42" s="1141"/>
      <c r="M42" s="1132"/>
      <c r="N42" s="1132"/>
      <c r="O42" s="1140"/>
      <c r="P42" s="3296" t="s">
        <v>2566</v>
      </c>
      <c r="Q42" s="1810" t="str">
        <f t="shared" si="14"/>
        <v>工程地质条件</v>
      </c>
      <c r="R42" s="772" t="s">
        <v>17</v>
      </c>
      <c r="S42" s="773">
        <f t="shared" si="10"/>
        <v>100</v>
      </c>
      <c r="T42" s="772" t="s">
        <v>17</v>
      </c>
      <c r="U42" s="773">
        <f t="shared" si="11"/>
        <v>100</v>
      </c>
      <c r="V42" s="772" t="s">
        <v>17</v>
      </c>
      <c r="W42" s="773">
        <f t="shared" si="12"/>
        <v>100</v>
      </c>
      <c r="X42" s="1813"/>
      <c r="Y42" s="3296" t="s">
        <v>2566</v>
      </c>
      <c r="Z42" s="1814" t="str">
        <f t="shared" si="13"/>
        <v>工程地质条件</v>
      </c>
      <c r="AA42" s="1811">
        <f t="shared" si="3"/>
        <v>1</v>
      </c>
      <c r="AB42" s="1811">
        <f t="shared" si="4"/>
        <v>1</v>
      </c>
      <c r="AC42" s="1811">
        <f t="shared" si="5"/>
        <v>1</v>
      </c>
    </row>
    <row r="43" spans="1:29" ht="15.75" thickBot="1">
      <c r="A43" s="3008"/>
      <c r="B43" s="2953" t="s">
        <v>3090</v>
      </c>
      <c r="C43" s="2954" t="s">
        <v>3091</v>
      </c>
      <c r="D43" s="2981">
        <v>100</v>
      </c>
      <c r="E43" s="2954" t="s">
        <v>3091</v>
      </c>
      <c r="F43" s="2981">
        <f>SUMIF(127:127,E43,128:128)-SUMIF(127:127,C43,128:128)+100</f>
        <v>100</v>
      </c>
      <c r="G43" s="2954" t="s">
        <v>3093</v>
      </c>
      <c r="H43" s="2981">
        <f>SUMIF(127:127,G43,128:128)-SUMIF(127:127,C43,128:128)+100</f>
        <v>100</v>
      </c>
      <c r="I43" s="2955" t="s">
        <v>3093</v>
      </c>
      <c r="J43" s="2981">
        <f>SUMIF(127:127,I43,128:128)-SUMIF(127:127,C43,128:128)+100</f>
        <v>100</v>
      </c>
      <c r="K43" s="611"/>
      <c r="L43" s="1141"/>
      <c r="M43" s="1132"/>
      <c r="N43" s="1132"/>
      <c r="O43" s="1140"/>
      <c r="P43" s="3296"/>
      <c r="Q43" s="1810" t="str">
        <f t="shared" si="14"/>
        <v>宗地规划限制</v>
      </c>
      <c r="R43" s="772" t="s">
        <v>17</v>
      </c>
      <c r="S43" s="773">
        <f t="shared" si="10"/>
        <v>100</v>
      </c>
      <c r="T43" s="772" t="s">
        <v>17</v>
      </c>
      <c r="U43" s="773">
        <f t="shared" si="11"/>
        <v>100</v>
      </c>
      <c r="V43" s="772" t="s">
        <v>17</v>
      </c>
      <c r="W43" s="773">
        <f t="shared" si="12"/>
        <v>100</v>
      </c>
      <c r="X43" s="1813"/>
      <c r="Y43" s="3296"/>
      <c r="Z43" s="1814" t="str">
        <f t="shared" si="13"/>
        <v>宗地规划限制</v>
      </c>
      <c r="AA43" s="1811">
        <f t="shared" si="3"/>
        <v>1</v>
      </c>
      <c r="AB43" s="1811">
        <f t="shared" si="4"/>
        <v>1</v>
      </c>
      <c r="AC43" s="1811">
        <f t="shared" si="5"/>
        <v>1</v>
      </c>
    </row>
    <row r="44" spans="1:29" ht="15" hidden="1">
      <c r="A44" s="3008"/>
      <c r="B44" s="1388">
        <v>111</v>
      </c>
      <c r="C44" s="672"/>
      <c r="D44" s="2981">
        <v>100</v>
      </c>
      <c r="E44" s="672"/>
      <c r="F44" s="2981">
        <f>SUMIF(129:129,E44,130:130)-SUMIF(129:129,C44,130:130)+100</f>
        <v>100</v>
      </c>
      <c r="G44" s="672"/>
      <c r="H44" s="2981">
        <f>SUMIF(129:129,G44,130:130)-SUMIF(129:129,C44,130:130)+100</f>
        <v>100</v>
      </c>
      <c r="I44" s="547"/>
      <c r="J44" s="2981">
        <f>SUMIF(129:129,I44,130:130)-SUMIF(129:129,C44,130:130)+100</f>
        <v>100</v>
      </c>
      <c r="K44" s="611"/>
      <c r="L44" s="1141"/>
      <c r="M44" s="1132"/>
      <c r="N44" s="1132"/>
      <c r="O44" s="1140"/>
      <c r="P44" s="3296"/>
      <c r="Q44" s="1810">
        <f t="shared" si="14"/>
        <v>111</v>
      </c>
      <c r="R44" s="772" t="s">
        <v>17</v>
      </c>
      <c r="S44" s="773">
        <f t="shared" si="10"/>
        <v>100</v>
      </c>
      <c r="T44" s="772" t="s">
        <v>17</v>
      </c>
      <c r="U44" s="773">
        <f t="shared" si="11"/>
        <v>100</v>
      </c>
      <c r="V44" s="772" t="s">
        <v>17</v>
      </c>
      <c r="W44" s="773">
        <f t="shared" si="12"/>
        <v>100</v>
      </c>
      <c r="X44" s="1813"/>
      <c r="Y44" s="3296"/>
      <c r="Z44" s="1814">
        <f t="shared" si="13"/>
        <v>111</v>
      </c>
      <c r="AA44" s="1811">
        <f t="shared" si="3"/>
        <v>1</v>
      </c>
      <c r="AB44" s="1811">
        <f t="shared" si="4"/>
        <v>1</v>
      </c>
      <c r="AC44" s="1811">
        <f t="shared" si="5"/>
        <v>1</v>
      </c>
    </row>
    <row r="45" spans="1:29" s="469" customFormat="1" ht="15.75" hidden="1" thickBot="1">
      <c r="A45" s="466"/>
      <c r="B45" s="1388">
        <v>111</v>
      </c>
      <c r="C45" s="2705"/>
      <c r="D45" s="678">
        <v>100</v>
      </c>
      <c r="E45" s="672"/>
      <c r="F45" s="438">
        <f>SUMIF(131:131,E45,132:132)-SUMIF(131:131,C45,132:132)+100</f>
        <v>100</v>
      </c>
      <c r="G45" s="672"/>
      <c r="H45" s="438">
        <f>SUMIF(131:131,G45,132:132)-SUMIF(131:131,C45,132:132)+100</f>
        <v>100</v>
      </c>
      <c r="I45" s="672"/>
      <c r="J45" s="438">
        <f>SUMIF(131:131,I45,132:132)-SUMIF(131:131,C45,132:132)+100</f>
        <v>100</v>
      </c>
      <c r="K45" s="679"/>
      <c r="L45" s="1139"/>
      <c r="M45" s="1142"/>
      <c r="N45" s="1142"/>
      <c r="O45" s="1143"/>
      <c r="P45" s="3296"/>
      <c r="Q45" s="1810">
        <f t="shared" si="14"/>
        <v>111</v>
      </c>
      <c r="R45" s="775" t="s">
        <v>17</v>
      </c>
      <c r="S45" s="776">
        <f t="shared" si="10"/>
        <v>100</v>
      </c>
      <c r="T45" s="775" t="s">
        <v>17</v>
      </c>
      <c r="U45" s="776">
        <f t="shared" si="11"/>
        <v>100</v>
      </c>
      <c r="V45" s="775" t="s">
        <v>17</v>
      </c>
      <c r="W45" s="776">
        <f t="shared" si="12"/>
        <v>100</v>
      </c>
      <c r="X45" s="777"/>
      <c r="Y45" s="3296"/>
      <c r="Z45" s="778">
        <f t="shared" si="13"/>
        <v>111</v>
      </c>
      <c r="AA45" s="1811">
        <f t="shared" si="3"/>
        <v>1</v>
      </c>
      <c r="AB45" s="1811">
        <f t="shared" si="4"/>
        <v>1</v>
      </c>
      <c r="AC45" s="1811">
        <f t="shared" si="5"/>
        <v>1</v>
      </c>
    </row>
    <row r="46" spans="1:29" ht="15">
      <c r="A46" s="477" t="s">
        <v>2721</v>
      </c>
      <c r="B46" s="2706" t="s">
        <v>2754</v>
      </c>
      <c r="C46" s="680" t="s">
        <v>1</v>
      </c>
      <c r="D46" s="479"/>
      <c r="E46" s="480">
        <v>28709</v>
      </c>
      <c r="F46" s="481"/>
      <c r="G46" s="482">
        <v>26324</v>
      </c>
      <c r="H46" s="483"/>
      <c r="I46" s="480">
        <v>29003</v>
      </c>
      <c r="J46" s="483"/>
      <c r="K46" s="781"/>
      <c r="L46" s="1144"/>
      <c r="M46" s="1145"/>
      <c r="N46" s="1132"/>
      <c r="O46" s="1145"/>
      <c r="P46" s="3298" t="str">
        <f>A46</f>
        <v>成交单价</v>
      </c>
      <c r="Q46" s="3298"/>
      <c r="R46" s="3260">
        <f>E46</f>
        <v>28709</v>
      </c>
      <c r="S46" s="3260"/>
      <c r="T46" s="3260">
        <f>G46</f>
        <v>26324</v>
      </c>
      <c r="U46" s="3260"/>
      <c r="V46" s="3260">
        <f>I46</f>
        <v>29003</v>
      </c>
      <c r="W46" s="3260"/>
      <c r="X46" s="757"/>
      <c r="Y46" s="779"/>
      <c r="Z46" s="757"/>
      <c r="AA46" s="757"/>
      <c r="AB46" s="757"/>
      <c r="AC46" s="757"/>
    </row>
    <row r="47" spans="1:29" ht="15.75" thickBot="1">
      <c r="A47" s="484" t="s">
        <v>2670</v>
      </c>
      <c r="B47" s="681"/>
      <c r="C47" s="488">
        <f>R48</f>
        <v>28003</v>
      </c>
      <c r="D47" s="487"/>
      <c r="E47" s="488">
        <f>R47</f>
        <v>28887</v>
      </c>
      <c r="F47" s="489"/>
      <c r="G47" s="486">
        <f>T47</f>
        <v>27199</v>
      </c>
      <c r="H47" s="487"/>
      <c r="I47" s="488">
        <f>V47</f>
        <v>27922</v>
      </c>
      <c r="J47" s="487"/>
      <c r="K47" s="782"/>
      <c r="L47" s="1144"/>
      <c r="M47" s="1145"/>
      <c r="N47" s="1145"/>
      <c r="O47" s="1145"/>
      <c r="P47" s="3298" t="str">
        <f>A47</f>
        <v>比较价值（元/平方米）</v>
      </c>
      <c r="Q47" s="3298"/>
      <c r="R47" s="3331">
        <f>ROUND(PRODUCT(R46,AA7:AA45),0)</f>
        <v>28887</v>
      </c>
      <c r="S47" s="3331"/>
      <c r="T47" s="3331">
        <f>ROUND(PRODUCT(T46,AB7:AB45),0)</f>
        <v>27199</v>
      </c>
      <c r="U47" s="3331"/>
      <c r="V47" s="3331">
        <f>ROUND(PRODUCT(V46,AC7:AC45),0)</f>
        <v>27922</v>
      </c>
      <c r="W47" s="3331"/>
      <c r="X47" s="757"/>
      <c r="Y47" s="757"/>
      <c r="Z47" s="757"/>
      <c r="AA47" s="757"/>
      <c r="AB47" s="757"/>
      <c r="AC47" s="757"/>
    </row>
    <row r="48" spans="1:29" ht="15.75" thickBot="1">
      <c r="A48" s="490" t="s">
        <v>2755</v>
      </c>
      <c r="B48" s="491"/>
      <c r="C48" s="492">
        <f>R48</f>
        <v>28003</v>
      </c>
      <c r="D48" s="492"/>
      <c r="E48" s="492"/>
      <c r="F48" s="492"/>
      <c r="G48" s="492"/>
      <c r="H48" s="492"/>
      <c r="I48" s="492"/>
      <c r="J48" s="492"/>
      <c r="K48" s="783"/>
      <c r="L48" s="1144"/>
      <c r="M48" s="1145"/>
      <c r="N48" s="1145"/>
      <c r="O48" s="1145"/>
      <c r="P48" s="3300" t="str">
        <f>A48</f>
        <v>估价对象XX用房的比较价值（楼面单价，元/平方米）</v>
      </c>
      <c r="Q48" s="3301"/>
      <c r="R48" s="3332">
        <f>ROUND(AVERAGE(R47:V47),0)</f>
        <v>28003</v>
      </c>
      <c r="S48" s="3332"/>
      <c r="T48" s="3332"/>
      <c r="U48" s="3332"/>
      <c r="V48" s="3332"/>
      <c r="W48" s="3332"/>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2672</v>
      </c>
      <c r="D51" s="496"/>
      <c r="E51" s="497">
        <f>IF(E46&lt;E47,E47/E46-1,E46/E47-1)</f>
        <v>6.2001462955867392E-3</v>
      </c>
      <c r="F51" s="498" t="str">
        <f>IF(OR(E51&gt;=0.3,E51&lt;=-0.3),"超过30%","")</f>
        <v/>
      </c>
      <c r="G51" s="497">
        <f>IF(G46&lt;G47,G47/G46-1,G46/G47-1)</f>
        <v>3.3239629235678469E-2</v>
      </c>
      <c r="H51" s="498" t="str">
        <f>IF(OR(G51&gt;=0.3,G51&lt;=-0.3),"超过30%","")</f>
        <v/>
      </c>
      <c r="I51" s="497">
        <f>IF(I46&lt;I47,I47/I46-1,I46/I47-1)</f>
        <v>3.8714991762767603E-2</v>
      </c>
      <c r="J51" s="498" t="str">
        <f>IF(OR(I51&gt;=0.3,I51&lt;=-0.3),"超过30%","")</f>
        <v/>
      </c>
      <c r="K51" s="1106"/>
      <c r="L51" s="1107"/>
      <c r="M51" s="1145"/>
      <c r="N51" s="1145"/>
      <c r="O51" s="1145"/>
    </row>
    <row r="52" spans="1:15" ht="13.5" customHeight="1">
      <c r="A52" s="1145"/>
      <c r="B52" s="1145"/>
      <c r="C52" s="495" t="s">
        <v>2673</v>
      </c>
      <c r="D52" s="499"/>
      <c r="E52" s="497">
        <f>IF(E47&lt;G47,G47/E47-1,E47/G47-1)</f>
        <v>6.2061105187690702E-2</v>
      </c>
      <c r="F52" s="498" t="str">
        <f>IF(OR(E52&gt;=0.2,E52&lt;=-0.2),"超过20%","")</f>
        <v/>
      </c>
      <c r="G52" s="497">
        <f>IF(G47&lt;I47,I47/G47-1,G47/I47-1)</f>
        <v>2.6581859627192284E-2</v>
      </c>
      <c r="H52" s="498" t="str">
        <f>IF(OR(G52&gt;=0.2,G52&lt;=-0.2),"超过20%","")</f>
        <v/>
      </c>
      <c r="I52" s="497">
        <f>IF(I47&lt;E47,E47/I47-1,I47/E47-1)</f>
        <v>3.4560561564357828E-2</v>
      </c>
      <c r="J52" s="498" t="str">
        <f>IF(OR(I52&gt;=0.2,I52&lt;=-0.2),"超过20%","")</f>
        <v/>
      </c>
      <c r="K52" s="1106"/>
      <c r="L52" s="1107"/>
      <c r="M52" s="1145"/>
      <c r="N52" s="1145"/>
      <c r="O52" s="1145"/>
    </row>
    <row r="53" spans="1:15" s="500" customFormat="1" ht="13.5" customHeight="1">
      <c r="A53" s="1146"/>
      <c r="B53" s="1146"/>
      <c r="C53" s="495" t="s">
        <v>2674</v>
      </c>
      <c r="D53" s="499"/>
      <c r="E53" s="497">
        <f>IF(E46&lt;G46,G46/E46-1,E46/G46-1)</f>
        <v>9.0601732259534939E-2</v>
      </c>
      <c r="F53" s="498" t="str">
        <f>IF(OR(E53&gt;=0.3,E53&lt;=-0.3),"超过30%","")</f>
        <v/>
      </c>
      <c r="G53" s="497">
        <f>IF(G46&lt;I46,I46/G46-1,G46/I46-1)</f>
        <v>0.10177024768272291</v>
      </c>
      <c r="H53" s="498" t="str">
        <f>IF(OR(G53&gt;=0.3,G53&lt;=-0.3),"超过30%","")</f>
        <v/>
      </c>
      <c r="I53" s="497">
        <f>IF(I46&lt;E46,E46/I46-1,I46/E46-1)</f>
        <v>1.024069107248593E-2</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2756</v>
      </c>
      <c r="B55" s="683" t="s">
        <v>2757</v>
      </c>
      <c r="C55" s="2707" t="s">
        <v>2758</v>
      </c>
      <c r="D55" s="2708" t="s">
        <v>2759</v>
      </c>
      <c r="E55" s="684" t="s">
        <v>2760</v>
      </c>
      <c r="F55" s="1108" t="s">
        <v>2761</v>
      </c>
      <c r="G55" s="3276" t="s">
        <v>2762</v>
      </c>
      <c r="H55" s="3333"/>
      <c r="I55" s="144" t="s">
        <v>2763</v>
      </c>
      <c r="J55" s="2709">
        <f>项目基本情况!F35</f>
        <v>0</v>
      </c>
      <c r="K55" s="2710" t="s">
        <v>2764</v>
      </c>
      <c r="L55" s="1107"/>
      <c r="M55" s="1145"/>
      <c r="N55" s="1145"/>
      <c r="O55" s="1145"/>
    </row>
    <row r="56" spans="1:15" s="690" customFormat="1">
      <c r="A56" s="686" t="s">
        <v>2765</v>
      </c>
      <c r="B56" s="687">
        <f>C48</f>
        <v>28003</v>
      </c>
      <c r="C56" s="688">
        <v>1</v>
      </c>
      <c r="D56" s="1164">
        <v>1</v>
      </c>
      <c r="E56" s="688">
        <f>'数据-汇总表'!E8+'数据-汇总表'!E9</f>
        <v>1</v>
      </c>
      <c r="F56" s="1104">
        <f t="shared" ref="F56:F65" si="15">ROUND(B56*E56/10000,0)</f>
        <v>3</v>
      </c>
      <c r="G56" s="3275"/>
      <c r="H56" s="3298"/>
      <c r="I56" s="1109">
        <v>1</v>
      </c>
      <c r="J56" s="1112">
        <v>1</v>
      </c>
      <c r="K56" s="1146"/>
      <c r="L56" s="942"/>
      <c r="M56" s="942"/>
      <c r="N56" s="942"/>
      <c r="O56" s="942"/>
    </row>
    <row r="57" spans="1:15" s="690" customFormat="1">
      <c r="A57" s="691" t="s">
        <v>2766</v>
      </c>
      <c r="B57" s="262">
        <f>ROUND($C$48*C57*D57,0)</f>
        <v>0</v>
      </c>
      <c r="C57" s="200">
        <f t="shared" ref="C57:C65" si="16">IF($C$55="北京市系数",I57,J57)</f>
        <v>0</v>
      </c>
      <c r="D57" s="1165">
        <v>0.25</v>
      </c>
      <c r="E57" s="692"/>
      <c r="F57" s="1104">
        <f t="shared" si="15"/>
        <v>0</v>
      </c>
      <c r="G57" s="3334" t="s">
        <v>2767</v>
      </c>
      <c r="H57" s="1105">
        <f>项目基本情况!B37</f>
        <v>0</v>
      </c>
      <c r="I57" s="1109">
        <f>SUMIF(修正!A45:A56,H57,修正!B45:B56)</f>
        <v>0</v>
      </c>
      <c r="J57" s="1113"/>
      <c r="K57" s="1145"/>
      <c r="L57" s="942"/>
      <c r="M57" s="942"/>
      <c r="N57" s="942"/>
      <c r="O57" s="942"/>
    </row>
    <row r="58" spans="1:15" s="690" customFormat="1">
      <c r="A58" s="691" t="s">
        <v>2768</v>
      </c>
      <c r="B58" s="262">
        <f t="shared" ref="B58:B65" si="17">ROUND($C$48*C58*D58,0)</f>
        <v>0</v>
      </c>
      <c r="C58" s="200">
        <f t="shared" si="16"/>
        <v>0</v>
      </c>
      <c r="D58" s="1165">
        <v>0.25</v>
      </c>
      <c r="E58" s="692"/>
      <c r="F58" s="1104">
        <f t="shared" si="15"/>
        <v>0</v>
      </c>
      <c r="G58" s="3334"/>
      <c r="H58" s="1105">
        <f>项目基本情况!B37</f>
        <v>0</v>
      </c>
      <c r="I58" s="1109">
        <f>SUMIF(修正!A45:A56,H58,修正!C45:C56)</f>
        <v>0</v>
      </c>
      <c r="J58" s="1113"/>
      <c r="K58" s="1146"/>
      <c r="L58" s="942"/>
      <c r="M58" s="942"/>
      <c r="N58" s="942"/>
      <c r="O58" s="942"/>
    </row>
    <row r="59" spans="1:15" s="690" customFormat="1">
      <c r="A59" s="691" t="s">
        <v>2769</v>
      </c>
      <c r="B59" s="262">
        <f t="shared" si="17"/>
        <v>0</v>
      </c>
      <c r="C59" s="200">
        <f t="shared" si="16"/>
        <v>0</v>
      </c>
      <c r="D59" s="1165">
        <v>0.25</v>
      </c>
      <c r="E59" s="692"/>
      <c r="F59" s="1104">
        <f t="shared" si="15"/>
        <v>0</v>
      </c>
      <c r="G59" s="3334"/>
      <c r="H59" s="1105">
        <f>项目基本情况!B37</f>
        <v>0</v>
      </c>
      <c r="I59" s="1109">
        <f>SUMIF(修正!A45:A56,H59,修正!D45:D56)</f>
        <v>0</v>
      </c>
      <c r="J59" s="1113"/>
      <c r="K59" s="1145"/>
      <c r="L59" s="942"/>
      <c r="M59" s="942"/>
      <c r="N59" s="942"/>
      <c r="O59" s="942"/>
    </row>
    <row r="60" spans="1:15" s="690" customFormat="1">
      <c r="A60" s="691" t="s">
        <v>2770</v>
      </c>
      <c r="B60" s="262">
        <f t="shared" si="17"/>
        <v>0</v>
      </c>
      <c r="C60" s="200">
        <f t="shared" si="16"/>
        <v>0</v>
      </c>
      <c r="D60" s="1165">
        <v>0.25</v>
      </c>
      <c r="E60" s="692"/>
      <c r="F60" s="1104">
        <f t="shared" si="15"/>
        <v>0</v>
      </c>
      <c r="G60" s="3334"/>
      <c r="H60" s="1105">
        <f>项目基本情况!B37</f>
        <v>0</v>
      </c>
      <c r="I60" s="1109">
        <f>SUMIF(修正!A45:A56,H60,修正!E45:E56)</f>
        <v>0</v>
      </c>
      <c r="J60" s="1113"/>
      <c r="K60" s="1146"/>
      <c r="L60" s="942"/>
      <c r="M60" s="942"/>
      <c r="N60" s="942"/>
      <c r="O60" s="942"/>
    </row>
    <row r="61" spans="1:15" s="690" customFormat="1">
      <c r="A61" s="691" t="s">
        <v>2771</v>
      </c>
      <c r="B61" s="262">
        <f t="shared" si="17"/>
        <v>0</v>
      </c>
      <c r="C61" s="200">
        <f t="shared" si="16"/>
        <v>0</v>
      </c>
      <c r="D61" s="1165">
        <v>0.25</v>
      </c>
      <c r="E61" s="261">
        <f>'数据-汇总表'!E11</f>
        <v>0</v>
      </c>
      <c r="F61" s="1104">
        <f t="shared" si="15"/>
        <v>0</v>
      </c>
      <c r="G61" s="2711" t="s">
        <v>2772</v>
      </c>
      <c r="H61" s="1105">
        <f>项目基本情况!C37</f>
        <v>0</v>
      </c>
      <c r="I61" s="1109">
        <f>SUMIF(修正!A45:A56,H61,修正!F45:F56)</f>
        <v>0</v>
      </c>
      <c r="J61" s="1113"/>
      <c r="K61" s="1145"/>
      <c r="L61" s="942"/>
      <c r="M61" s="942"/>
      <c r="N61" s="942"/>
      <c r="O61" s="942"/>
    </row>
    <row r="62" spans="1:15" s="690" customFormat="1">
      <c r="A62" s="691" t="s">
        <v>2773</v>
      </c>
      <c r="B62" s="262">
        <f t="shared" si="17"/>
        <v>0</v>
      </c>
      <c r="C62" s="200">
        <f t="shared" si="16"/>
        <v>0</v>
      </c>
      <c r="D62" s="1165">
        <v>0.25</v>
      </c>
      <c r="E62" s="261">
        <f>'数据-汇总表'!E12</f>
        <v>0</v>
      </c>
      <c r="F62" s="1104">
        <f t="shared" si="15"/>
        <v>0</v>
      </c>
      <c r="G62" s="1110" t="s">
        <v>2774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2775</v>
      </c>
      <c r="B63" s="262">
        <f t="shared" si="17"/>
        <v>1050</v>
      </c>
      <c r="C63" s="200">
        <f t="shared" si="16"/>
        <v>0.15</v>
      </c>
      <c r="D63" s="1165">
        <v>0.25</v>
      </c>
      <c r="E63" s="261">
        <f>'数据-汇总表'!E13</f>
        <v>0</v>
      </c>
      <c r="F63" s="1104">
        <f t="shared" si="15"/>
        <v>0</v>
      </c>
      <c r="G63" s="1110" t="s">
        <v>2776</v>
      </c>
      <c r="H63" s="1105" t="str">
        <f>IF(G63="商业",项目基本情况!B37,IF(G63="办公",项目基本情况!C37,IF(G63="住宅",项目基本情况!D37,项目基本情况!E37)))</f>
        <v>八级</v>
      </c>
      <c r="I63" s="1109">
        <f>SUMIF(修正!A45:A56,H63,修正!H45:H56)</f>
        <v>0.15</v>
      </c>
      <c r="J63" s="1113"/>
      <c r="K63" s="1145"/>
      <c r="L63" s="942"/>
      <c r="M63" s="942"/>
      <c r="N63" s="942"/>
      <c r="O63" s="942"/>
    </row>
    <row r="64" spans="1:15" s="690" customFormat="1">
      <c r="A64" s="691" t="s">
        <v>2777</v>
      </c>
      <c r="B64" s="262">
        <f t="shared" si="17"/>
        <v>0</v>
      </c>
      <c r="C64" s="200">
        <f t="shared" si="16"/>
        <v>0</v>
      </c>
      <c r="D64" s="1165">
        <v>0.25</v>
      </c>
      <c r="E64" s="261">
        <f>'数据-汇总表'!E14</f>
        <v>0</v>
      </c>
      <c r="F64" s="1104">
        <f t="shared" si="15"/>
        <v>0</v>
      </c>
      <c r="G64" s="2711" t="s">
        <v>2767</v>
      </c>
      <c r="H64" s="1105">
        <f>项目基本情况!B37</f>
        <v>0</v>
      </c>
      <c r="I64" s="1109">
        <f>SUMIF(修正!A45:A56,H64,修正!H45:H56)</f>
        <v>0</v>
      </c>
      <c r="J64" s="1113"/>
      <c r="K64" s="1146"/>
      <c r="L64" s="942"/>
      <c r="M64" s="942"/>
      <c r="N64" s="942"/>
      <c r="O64" s="942"/>
    </row>
    <row r="65" spans="1:17" s="690" customFormat="1" ht="15" thickBot="1">
      <c r="A65" s="691" t="s">
        <v>2778</v>
      </c>
      <c r="B65" s="262">
        <f t="shared" si="17"/>
        <v>0</v>
      </c>
      <c r="C65" s="200">
        <f t="shared" si="16"/>
        <v>0</v>
      </c>
      <c r="D65" s="1165">
        <v>0.25</v>
      </c>
      <c r="E65" s="261">
        <f>'数据-汇总表'!E15</f>
        <v>0</v>
      </c>
      <c r="F65" s="1104">
        <f t="shared" si="15"/>
        <v>0</v>
      </c>
      <c r="G65" s="2712" t="s">
        <v>2772</v>
      </c>
      <c r="H65" s="1115">
        <f>项目基本情况!C37</f>
        <v>0</v>
      </c>
      <c r="I65" s="1111">
        <f>SUMIF(修正!A45:A56,H65,修正!H45:H56)</f>
        <v>0</v>
      </c>
      <c r="J65" s="1114"/>
      <c r="K65" s="1145"/>
      <c r="L65" s="942"/>
      <c r="M65" s="942"/>
      <c r="N65" s="942"/>
      <c r="O65" s="942"/>
    </row>
    <row r="66" spans="1:17" s="690" customFormat="1" ht="13.5" thickBot="1">
      <c r="A66" s="693" t="s">
        <v>2779</v>
      </c>
      <c r="B66" s="694" t="s">
        <v>28</v>
      </c>
      <c r="C66" s="694" t="s">
        <v>29</v>
      </c>
      <c r="D66" s="694" t="s">
        <v>1029</v>
      </c>
      <c r="E66" s="694">
        <f>IF(B46="楼面地价",SUM(E56:E65),'数据-汇总表'!D3)</f>
        <v>1</v>
      </c>
      <c r="F66" s="695">
        <f>IF(B46="楼面地价",SUM(F56:F65),ROUND(C48*E66/10000,0))</f>
        <v>3</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2675</v>
      </c>
      <c r="B69" s="757"/>
      <c r="C69" s="762"/>
      <c r="D69" s="762"/>
      <c r="E69" s="762"/>
      <c r="F69" s="763"/>
      <c r="G69" s="763"/>
      <c r="H69" s="762"/>
      <c r="I69" s="762"/>
      <c r="J69" s="1160"/>
      <c r="K69" s="1161"/>
      <c r="L69" s="1162"/>
      <c r="M69" s="1160"/>
      <c r="N69" s="1160"/>
      <c r="O69" s="1160"/>
      <c r="P69" s="501"/>
      <c r="Q69" s="502"/>
    </row>
    <row r="70" spans="1:17" s="506" customFormat="1" ht="15">
      <c r="A70" s="2713" t="s">
        <v>2780</v>
      </c>
      <c r="B70" s="1360"/>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5"/>
    </row>
    <row r="71" spans="1:17" s="117" customFormat="1" ht="30" customHeight="1">
      <c r="A71" s="2714" t="s">
        <v>2781</v>
      </c>
      <c r="B71" s="332" t="str">
        <f>"北京市平均增长率"&amp;TEXT(SUMIF(基准地价修正!N21:N25,A71,基准地价修正!P21:P25),"0.00%")</f>
        <v>北京市平均增长率0.00%</v>
      </c>
      <c r="C71" s="601">
        <v>100</v>
      </c>
      <c r="D71" s="593">
        <v>99</v>
      </c>
      <c r="E71" s="593">
        <v>98</v>
      </c>
      <c r="F71" s="593">
        <v>97</v>
      </c>
      <c r="G71" s="593">
        <v>96</v>
      </c>
      <c r="H71" s="593">
        <v>95</v>
      </c>
      <c r="I71" s="593">
        <v>94</v>
      </c>
      <c r="J71" s="593">
        <v>93</v>
      </c>
      <c r="K71" s="593">
        <v>92</v>
      </c>
      <c r="L71" s="593"/>
      <c r="M71" s="1567"/>
      <c r="N71" s="593"/>
      <c r="O71" s="1568"/>
      <c r="P71" s="502"/>
    </row>
    <row r="72" spans="1:17" s="117" customFormat="1" ht="15.75" thickBot="1">
      <c r="A72" s="513" t="s">
        <v>2586</v>
      </c>
      <c r="B72" s="514"/>
      <c r="C72" s="515"/>
      <c r="D72" s="516"/>
      <c r="E72" s="516"/>
      <c r="F72" s="516"/>
      <c r="G72" s="516"/>
      <c r="H72" s="516"/>
      <c r="I72" s="516"/>
      <c r="J72" s="516"/>
      <c r="K72" s="516"/>
      <c r="L72" s="516"/>
      <c r="M72" s="517"/>
      <c r="N72" s="516"/>
      <c r="O72" s="1163"/>
      <c r="P72" s="502"/>
      <c r="Q72" s="502"/>
    </row>
    <row r="73" spans="1:17" s="117" customFormat="1" ht="15">
      <c r="A73" s="519" t="s">
        <v>2551</v>
      </c>
      <c r="B73" s="508"/>
      <c r="C73" s="520" t="s">
        <v>2653</v>
      </c>
      <c r="D73" s="521"/>
      <c r="E73" s="521"/>
      <c r="F73" s="521"/>
      <c r="G73" s="521"/>
      <c r="H73" s="521"/>
      <c r="I73" s="521"/>
      <c r="J73" s="521"/>
      <c r="K73" s="521"/>
      <c r="L73" s="522"/>
      <c r="M73" s="523"/>
      <c r="N73" s="1152"/>
      <c r="O73" s="1152"/>
      <c r="P73" s="524"/>
      <c r="Q73" s="502"/>
    </row>
    <row r="74" spans="1:17" s="117" customFormat="1" ht="15.75" thickBot="1">
      <c r="A74" s="519"/>
      <c r="B74" s="508"/>
      <c r="C74" s="637">
        <v>100</v>
      </c>
      <c r="D74" s="510"/>
      <c r="E74" s="510"/>
      <c r="F74" s="510"/>
      <c r="G74" s="510"/>
      <c r="H74" s="510"/>
      <c r="I74" s="510"/>
      <c r="J74" s="510"/>
      <c r="K74" s="510"/>
      <c r="L74" s="510"/>
      <c r="M74" s="512"/>
      <c r="N74" s="1152"/>
      <c r="O74" s="1152"/>
      <c r="P74" s="502"/>
      <c r="Q74" s="502"/>
    </row>
    <row r="75" spans="1:17" ht="56.25">
      <c r="A75" s="525" t="s">
        <v>2589</v>
      </c>
      <c r="B75" s="526" t="s">
        <v>2555</v>
      </c>
      <c r="C75" s="2946" t="s">
        <v>3066</v>
      </c>
      <c r="D75" s="528" t="s">
        <v>3098</v>
      </c>
      <c r="E75" s="528" t="s">
        <v>3106</v>
      </c>
      <c r="F75" s="528"/>
      <c r="G75" s="528"/>
      <c r="H75" s="528"/>
      <c r="I75" s="528"/>
      <c r="J75" s="528"/>
      <c r="K75" s="529"/>
      <c r="L75" s="530"/>
      <c r="M75" s="531"/>
      <c r="N75" s="1153"/>
      <c r="O75" s="1153"/>
      <c r="P75" s="45"/>
      <c r="Q75" s="502"/>
    </row>
    <row r="76" spans="1:17" ht="15.75" thickBot="1">
      <c r="A76" s="532"/>
      <c r="B76" s="533"/>
      <c r="C76" s="534">
        <v>100</v>
      </c>
      <c r="D76" s="534">
        <v>101</v>
      </c>
      <c r="E76" s="534">
        <v>99</v>
      </c>
      <c r="F76" s="534"/>
      <c r="G76" s="534"/>
      <c r="H76" s="534"/>
      <c r="I76" s="534"/>
      <c r="J76" s="534"/>
      <c r="K76" s="534"/>
      <c r="L76" s="534"/>
      <c r="M76" s="535"/>
      <c r="N76" s="1154"/>
      <c r="O76" s="1154"/>
      <c r="P76" s="45"/>
      <c r="Q76" s="502"/>
    </row>
    <row r="77" spans="1:17" ht="27.75" thickTop="1">
      <c r="A77" s="532"/>
      <c r="B77" s="536" t="s">
        <v>2558</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2559</v>
      </c>
      <c r="C79" s="545" t="str">
        <f>C80&amp;"（含）"&amp;"-"&amp;D80</f>
        <v>1（含）-2</v>
      </c>
      <c r="D79" s="545" t="str">
        <f t="shared" ref="D79:L79" si="20">D80&amp;"（含）"&amp;"-"&amp;E80</f>
        <v>2（含）-3</v>
      </c>
      <c r="E79" s="545" t="str">
        <f t="shared" si="20"/>
        <v>3（含）-4</v>
      </c>
      <c r="F79" s="545" t="str">
        <f t="shared" si="20"/>
        <v>4（含）-</v>
      </c>
      <c r="G79" s="545" t="str">
        <f t="shared" si="20"/>
        <v>（含）-</v>
      </c>
      <c r="H79" s="545" t="str">
        <f t="shared" si="20"/>
        <v>（含）-</v>
      </c>
      <c r="I79" s="545" t="str">
        <f t="shared" si="20"/>
        <v>（含）-</v>
      </c>
      <c r="J79" s="545" t="str">
        <f t="shared" si="20"/>
        <v>（含）-</v>
      </c>
      <c r="K79" s="545" t="str">
        <f t="shared" si="20"/>
        <v>（含）-</v>
      </c>
      <c r="L79" s="545" t="str">
        <f t="shared" si="20"/>
        <v>（含）-</v>
      </c>
      <c r="M79" s="448" t="str">
        <f>M80&amp;"（含）"&amp;"-"&amp;P80</f>
        <v>（含）-</v>
      </c>
      <c r="N79" s="1154"/>
      <c r="O79" s="1154"/>
      <c r="P79" s="45"/>
      <c r="Q79" s="502"/>
    </row>
    <row r="80" spans="1:17" ht="15">
      <c r="A80" s="532"/>
      <c r="B80" s="546"/>
      <c r="C80" s="547">
        <v>1</v>
      </c>
      <c r="D80" s="547">
        <v>2</v>
      </c>
      <c r="E80" s="547">
        <v>3</v>
      </c>
      <c r="F80" s="547">
        <v>4</v>
      </c>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4"/>
      <c r="O81" s="1154"/>
      <c r="P81" s="45"/>
      <c r="Q81" s="502"/>
    </row>
    <row r="82" spans="1:17" s="469" customFormat="1" ht="15.75" thickTop="1">
      <c r="A82" s="551"/>
      <c r="B82" s="536" t="str">
        <f>B12</f>
        <v>土地受让方</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2560</v>
      </c>
      <c r="B88" s="526" t="s">
        <v>2597</v>
      </c>
      <c r="C88" s="571" t="s">
        <v>2598</v>
      </c>
      <c r="D88" s="571" t="s">
        <v>2599</v>
      </c>
      <c r="E88" s="571" t="s">
        <v>2600</v>
      </c>
      <c r="F88" s="571" t="s">
        <v>2601</v>
      </c>
      <c r="G88" s="571" t="s">
        <v>2602</v>
      </c>
      <c r="H88" s="527"/>
      <c r="I88" s="527"/>
      <c r="J88" s="527"/>
      <c r="K88" s="572"/>
      <c r="L88" s="573"/>
      <c r="M88" s="574"/>
      <c r="N88" s="1153"/>
      <c r="O88" s="1153"/>
      <c r="P88" s="575"/>
      <c r="Q88" s="502"/>
    </row>
    <row r="89" spans="1:17" ht="15.75" thickBot="1">
      <c r="A89" s="532"/>
      <c r="B89" s="541"/>
      <c r="C89" s="542">
        <v>100</v>
      </c>
      <c r="D89" s="542">
        <f>C89-$K15</f>
        <v>95.5</v>
      </c>
      <c r="E89" s="542">
        <f>D89-$K15</f>
        <v>91</v>
      </c>
      <c r="F89" s="542">
        <f>E89-$K15</f>
        <v>86.5</v>
      </c>
      <c r="G89" s="542">
        <f>F89-$K15</f>
        <v>82</v>
      </c>
      <c r="H89" s="542"/>
      <c r="I89" s="542"/>
      <c r="J89" s="542"/>
      <c r="K89" s="542"/>
      <c r="L89" s="542"/>
      <c r="M89" s="543"/>
      <c r="N89" s="1154"/>
      <c r="O89" s="1154"/>
      <c r="P89" s="45"/>
      <c r="Q89" s="502"/>
    </row>
    <row r="90" spans="1:17" ht="15.75" thickTop="1">
      <c r="A90" s="532"/>
      <c r="B90" s="536" t="s">
        <v>2782</v>
      </c>
      <c r="C90" s="576" t="s">
        <v>2598</v>
      </c>
      <c r="D90" s="576" t="s">
        <v>2599</v>
      </c>
      <c r="E90" s="576" t="s">
        <v>2600</v>
      </c>
      <c r="F90" s="576" t="s">
        <v>2601</v>
      </c>
      <c r="G90" s="576" t="s">
        <v>2602</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2698</v>
      </c>
      <c r="C92" s="576" t="s">
        <v>2598</v>
      </c>
      <c r="D92" s="576" t="s">
        <v>2599</v>
      </c>
      <c r="E92" s="576" t="s">
        <v>2600</v>
      </c>
      <c r="F92" s="576" t="s">
        <v>2601</v>
      </c>
      <c r="G92" s="576" t="s">
        <v>2602</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2603</v>
      </c>
      <c r="C94" s="576" t="s">
        <v>2598</v>
      </c>
      <c r="D94" s="576" t="s">
        <v>2599</v>
      </c>
      <c r="E94" s="576" t="s">
        <v>2600</v>
      </c>
      <c r="F94" s="576" t="s">
        <v>2601</v>
      </c>
      <c r="G94" s="576" t="s">
        <v>2602</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7" customFormat="1" ht="15.75" thickTop="1">
      <c r="A96" s="577"/>
      <c r="B96" s="536" t="s">
        <v>2783</v>
      </c>
      <c r="C96" s="576" t="s">
        <v>2598</v>
      </c>
      <c r="D96" s="576" t="s">
        <v>2599</v>
      </c>
      <c r="E96" s="576" t="s">
        <v>2600</v>
      </c>
      <c r="F96" s="576" t="s">
        <v>2601</v>
      </c>
      <c r="G96" s="576" t="s">
        <v>2602</v>
      </c>
      <c r="H96" s="576"/>
      <c r="I96" s="576"/>
      <c r="J96" s="576"/>
      <c r="K96" s="576"/>
      <c r="L96" s="696"/>
      <c r="M96" s="620"/>
      <c r="N96" s="1152"/>
      <c r="O96" s="115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7" customFormat="1" ht="27.75" thickTop="1">
      <c r="A98" s="577"/>
      <c r="B98" s="536" t="s">
        <v>2784</v>
      </c>
      <c r="C98" s="571" t="s">
        <v>2598</v>
      </c>
      <c r="D98" s="571" t="s">
        <v>2599</v>
      </c>
      <c r="E98" s="571" t="s">
        <v>2600</v>
      </c>
      <c r="F98" s="571" t="s">
        <v>2601</v>
      </c>
      <c r="G98" s="571" t="s">
        <v>2602</v>
      </c>
      <c r="H98" s="576"/>
      <c r="I98" s="576"/>
      <c r="J98" s="576"/>
      <c r="K98" s="576"/>
      <c r="L98" s="576"/>
      <c r="M98" s="620"/>
      <c r="N98" s="1152"/>
      <c r="O98" s="1152"/>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54"/>
      <c r="O99" s="1154"/>
      <c r="P99" s="45"/>
      <c r="Q99" s="502"/>
    </row>
    <row r="100" spans="1:17" s="469" customFormat="1" ht="15.75" thickTop="1">
      <c r="A100" s="551"/>
      <c r="B100" s="536" t="s">
        <v>2655</v>
      </c>
      <c r="C100" s="571" t="s">
        <v>2598</v>
      </c>
      <c r="D100" s="571" t="s">
        <v>2599</v>
      </c>
      <c r="E100" s="571" t="s">
        <v>2600</v>
      </c>
      <c r="F100" s="571" t="s">
        <v>2601</v>
      </c>
      <c r="G100" s="571" t="s">
        <v>2602</v>
      </c>
      <c r="H100" s="598"/>
      <c r="I100" s="598"/>
      <c r="J100" s="598"/>
      <c r="K100" s="598"/>
      <c r="L100" s="599"/>
      <c r="M100" s="600"/>
      <c r="N100" s="1155"/>
      <c r="O100" s="1155"/>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5"/>
      <c r="O101" s="1155"/>
      <c r="P101" s="556"/>
      <c r="Q101" s="557"/>
    </row>
    <row r="102" spans="1:17" s="469" customFormat="1" ht="15.75" thickTop="1">
      <c r="A102" s="551"/>
      <c r="B102" s="544" t="s">
        <v>2656</v>
      </c>
      <c r="C102" s="658" t="s">
        <v>2676</v>
      </c>
      <c r="D102" s="658" t="s">
        <v>2677</v>
      </c>
      <c r="E102" s="658" t="s">
        <v>2678</v>
      </c>
      <c r="F102" s="658" t="s">
        <v>2679</v>
      </c>
      <c r="G102" s="658" t="s">
        <v>2680</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2785</v>
      </c>
      <c r="D104" s="537" t="s">
        <v>2786</v>
      </c>
      <c r="E104" s="537" t="s">
        <v>2787</v>
      </c>
      <c r="F104" s="537" t="s">
        <v>2788</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2692</v>
      </c>
      <c r="C106" s="2951" t="s">
        <v>3075</v>
      </c>
      <c r="D106" s="2951" t="s">
        <v>3076</v>
      </c>
      <c r="E106" s="2951" t="s">
        <v>3077</v>
      </c>
      <c r="F106" s="2951" t="s">
        <v>3079</v>
      </c>
      <c r="G106" s="2951" t="s">
        <v>3080</v>
      </c>
      <c r="H106" s="581"/>
      <c r="I106" s="581"/>
      <c r="J106" s="581"/>
      <c r="K106" s="582"/>
      <c r="L106" s="583"/>
      <c r="M106" s="584"/>
      <c r="N106" s="1153"/>
      <c r="O106" s="1153"/>
      <c r="P106" s="45"/>
      <c r="Q106" s="502"/>
    </row>
    <row r="107" spans="1:17" ht="15.75"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54"/>
      <c r="O107" s="1154"/>
      <c r="P107" s="45"/>
      <c r="Q107" s="502"/>
    </row>
    <row r="108" spans="1:17" ht="15.75" thickTop="1">
      <c r="A108" s="532"/>
      <c r="B108" s="536" t="s">
        <v>2749</v>
      </c>
      <c r="C108" s="2952" t="s">
        <v>3081</v>
      </c>
      <c r="D108" s="2952" t="s">
        <v>3082</v>
      </c>
      <c r="E108" s="2952" t="s">
        <v>3083</v>
      </c>
      <c r="F108" s="2952" t="s">
        <v>3084</v>
      </c>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2564</v>
      </c>
      <c r="B116" s="526" t="s">
        <v>2789</v>
      </c>
      <c r="C116" s="527" t="str">
        <f>C117&amp;"(含)"&amp;"-"&amp;D117</f>
        <v>0(含)-50000</v>
      </c>
      <c r="D116" s="527" t="str">
        <f t="shared" ref="D116:M116" si="25">D117&amp;"(含)"&amp;"-"&amp;E117</f>
        <v>50000(含)-100000</v>
      </c>
      <c r="E116" s="527" t="str">
        <f t="shared" si="25"/>
        <v>100000(含)-150000</v>
      </c>
      <c r="F116" s="527" t="str">
        <f t="shared" si="25"/>
        <v>150000(含)-200000</v>
      </c>
      <c r="G116" s="527" t="str">
        <f t="shared" si="25"/>
        <v>200000(含)-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v>0</v>
      </c>
      <c r="D117" s="593">
        <v>50000</v>
      </c>
      <c r="E117" s="593">
        <v>100000</v>
      </c>
      <c r="F117" s="593">
        <v>150000</v>
      </c>
      <c r="G117" s="593">
        <v>200000</v>
      </c>
      <c r="H117" s="593"/>
      <c r="I117" s="593"/>
      <c r="J117" s="594"/>
      <c r="K117" s="594"/>
      <c r="L117" s="595"/>
      <c r="M117" s="596"/>
      <c r="N117" s="1153"/>
      <c r="O117" s="1153"/>
      <c r="P117" s="45"/>
      <c r="Q117" s="502"/>
    </row>
    <row r="118" spans="1:17" ht="15.75" thickBot="1">
      <c r="A118" s="532"/>
      <c r="B118" s="541"/>
      <c r="C118" s="568">
        <v>100</v>
      </c>
      <c r="D118" s="589">
        <v>100.5</v>
      </c>
      <c r="E118" s="589">
        <v>101</v>
      </c>
      <c r="F118" s="589">
        <v>101.5</v>
      </c>
      <c r="G118" s="589">
        <v>102</v>
      </c>
      <c r="H118" s="589"/>
      <c r="I118" s="589"/>
      <c r="J118" s="589"/>
      <c r="K118" s="589"/>
      <c r="L118" s="589"/>
      <c r="M118" s="590"/>
      <c r="N118" s="1154"/>
      <c r="O118" s="1154"/>
      <c r="P118" s="45"/>
      <c r="Q118" s="502"/>
    </row>
    <row r="119" spans="1:17" ht="15" thickTop="1">
      <c r="A119" s="597"/>
      <c r="B119" s="536" t="s">
        <v>2790</v>
      </c>
      <c r="C119" s="2952" t="s">
        <v>3085</v>
      </c>
      <c r="D119" s="2952" t="s">
        <v>3086</v>
      </c>
      <c r="E119" s="2952" t="s">
        <v>3087</v>
      </c>
      <c r="F119" s="2952" t="s">
        <v>3088</v>
      </c>
      <c r="G119" s="2952" t="s">
        <v>3089</v>
      </c>
      <c r="H119" s="581"/>
      <c r="I119" s="581"/>
      <c r="J119" s="581"/>
      <c r="K119" s="582"/>
      <c r="L119" s="583"/>
      <c r="M119" s="584"/>
      <c r="N119" s="1153"/>
      <c r="O119" s="115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4"/>
      <c r="O120" s="1154"/>
      <c r="P120" s="45"/>
      <c r="Q120" s="502"/>
    </row>
    <row r="121" spans="1:17" ht="15" thickTop="1">
      <c r="A121" s="597"/>
      <c r="B121" s="536" t="s">
        <v>2791</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2792</v>
      </c>
      <c r="C123" s="2951" t="s">
        <v>3100</v>
      </c>
      <c r="D123" s="2951" t="s">
        <v>3101</v>
      </c>
      <c r="E123" s="2951" t="s">
        <v>3102</v>
      </c>
      <c r="F123" s="2951" t="s">
        <v>3103</v>
      </c>
      <c r="G123" s="2951" t="s">
        <v>3104</v>
      </c>
      <c r="H123" s="581"/>
      <c r="I123" s="581"/>
      <c r="J123" s="581"/>
      <c r="K123" s="582"/>
      <c r="L123" s="583"/>
      <c r="M123" s="584"/>
      <c r="N123" s="1155"/>
      <c r="O123" s="1155"/>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55"/>
      <c r="O124" s="1155"/>
      <c r="P124" s="556"/>
      <c r="Q124" s="557"/>
    </row>
    <row r="125" spans="1:17" ht="15" thickTop="1">
      <c r="A125" s="597"/>
      <c r="B125" s="536" t="s">
        <v>2793</v>
      </c>
      <c r="C125" s="2951" t="s">
        <v>3094</v>
      </c>
      <c r="D125" s="2951" t="s">
        <v>3095</v>
      </c>
      <c r="E125" s="2952" t="s">
        <v>3087</v>
      </c>
      <c r="F125" s="2952" t="s">
        <v>3096</v>
      </c>
      <c r="G125" s="2952" t="s">
        <v>3097</v>
      </c>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t="str">
        <f>B43</f>
        <v>宗地规划限制</v>
      </c>
      <c r="C127" s="2951" t="s">
        <v>3092</v>
      </c>
      <c r="D127" s="2951" t="s">
        <v>3091</v>
      </c>
      <c r="E127" s="552"/>
      <c r="F127" s="552"/>
      <c r="G127" s="552"/>
      <c r="H127" s="581"/>
      <c r="I127" s="581"/>
      <c r="J127" s="581"/>
      <c r="K127" s="582"/>
      <c r="L127" s="583"/>
      <c r="M127" s="584"/>
      <c r="N127" s="1153"/>
      <c r="O127" s="1153"/>
      <c r="P127" s="45"/>
      <c r="Q127" s="502"/>
    </row>
    <row r="128" spans="1:17" ht="15.75" thickBot="1">
      <c r="A128" s="532"/>
      <c r="B128" s="541"/>
      <c r="C128" s="558">
        <v>90</v>
      </c>
      <c r="D128" s="558">
        <v>100</v>
      </c>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2794</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7" t="e">
        <f>ROUND(IF(D3="",B2*10000/'数据-汇总表'!E3,B2*10000/D3),0)</f>
        <v>#DIV/0!</v>
      </c>
      <c r="C3" s="247" t="s">
        <v>2747</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76" t="s">
        <v>2647</v>
      </c>
      <c r="D4" s="3277"/>
      <c r="E4" s="3278" t="s">
        <v>2648</v>
      </c>
      <c r="F4" s="3279"/>
      <c r="G4" s="3276" t="s">
        <v>2649</v>
      </c>
      <c r="H4" s="3277"/>
      <c r="I4" s="3276" t="s">
        <v>2650</v>
      </c>
      <c r="J4" s="3277"/>
      <c r="K4" s="608" t="s">
        <v>2651</v>
      </c>
      <c r="L4" s="1131"/>
      <c r="M4" s="1132"/>
      <c r="N4" s="1132"/>
      <c r="O4" s="1132"/>
      <c r="P4" s="3280" t="s">
        <v>2652</v>
      </c>
      <c r="Q4" s="3281"/>
      <c r="R4" s="3263" t="s">
        <v>2648</v>
      </c>
      <c r="S4" s="3264"/>
      <c r="T4" s="3263" t="s">
        <v>2649</v>
      </c>
      <c r="U4" s="3264"/>
      <c r="V4" s="3260" t="s">
        <v>2650</v>
      </c>
      <c r="W4" s="3260"/>
      <c r="X4" s="1813"/>
      <c r="Y4" s="3263" t="s">
        <v>2652</v>
      </c>
      <c r="Z4" s="3264"/>
      <c r="AA4" s="3257" t="s">
        <v>2648</v>
      </c>
      <c r="AB4" s="3258" t="s">
        <v>2649</v>
      </c>
      <c r="AC4" s="3257" t="s">
        <v>2650</v>
      </c>
    </row>
    <row r="5" spans="1:29" ht="15">
      <c r="A5" s="404"/>
      <c r="B5" s="405"/>
      <c r="C5" s="3269" t="s">
        <v>2543</v>
      </c>
      <c r="D5" s="3270"/>
      <c r="E5" s="3267" t="s">
        <v>2544</v>
      </c>
      <c r="F5" s="3268"/>
      <c r="G5" s="3269" t="s">
        <v>2545</v>
      </c>
      <c r="H5" s="3270"/>
      <c r="I5" s="3269" t="s">
        <v>2546</v>
      </c>
      <c r="J5" s="3270"/>
      <c r="K5" s="608"/>
      <c r="L5" s="1131"/>
      <c r="M5" s="1132"/>
      <c r="N5" s="1132"/>
      <c r="O5" s="1132"/>
      <c r="P5" s="3282"/>
      <c r="Q5" s="3283"/>
      <c r="R5" s="3265"/>
      <c r="S5" s="3266"/>
      <c r="T5" s="3265"/>
      <c r="U5" s="3266"/>
      <c r="V5" s="3260"/>
      <c r="W5" s="3260"/>
      <c r="X5" s="1813"/>
      <c r="Y5" s="3265"/>
      <c r="Z5" s="3266"/>
      <c r="AA5" s="3258"/>
      <c r="AB5" s="3258"/>
      <c r="AC5" s="3258"/>
    </row>
    <row r="6" spans="1:29" ht="15.75" thickBot="1">
      <c r="A6" s="406"/>
      <c r="B6" s="407"/>
      <c r="C6" s="3335" t="s">
        <v>2795</v>
      </c>
      <c r="D6" s="3324"/>
      <c r="E6" s="3336" t="s">
        <v>2795</v>
      </c>
      <c r="F6" s="3326"/>
      <c r="G6" s="3335" t="s">
        <v>2795</v>
      </c>
      <c r="H6" s="3324"/>
      <c r="I6" s="3335" t="s">
        <v>2795</v>
      </c>
      <c r="J6" s="3324"/>
      <c r="K6" s="608" t="s">
        <v>2548</v>
      </c>
      <c r="L6" s="1131"/>
      <c r="M6" s="1132"/>
      <c r="N6" s="1132"/>
      <c r="O6" s="1132"/>
      <c r="P6" s="3284"/>
      <c r="Q6" s="3285"/>
      <c r="R6" s="3265"/>
      <c r="S6" s="3266"/>
      <c r="T6" s="3286"/>
      <c r="U6" s="3287"/>
      <c r="V6" s="3260"/>
      <c r="W6" s="3260"/>
      <c r="X6" s="1813"/>
      <c r="Y6" s="3286"/>
      <c r="Z6" s="3287"/>
      <c r="AA6" s="3259"/>
      <c r="AB6" s="3259"/>
      <c r="AC6" s="3259"/>
    </row>
    <row r="7" spans="1:29" s="117" customFormat="1" ht="15.75" thickBot="1">
      <c r="A7" s="408" t="s">
        <v>2549</v>
      </c>
      <c r="B7" s="409"/>
      <c r="C7" s="410">
        <f>'数据-取费表'!B2</f>
        <v>43397</v>
      </c>
      <c r="D7" s="411">
        <v>100</v>
      </c>
      <c r="E7" s="412"/>
      <c r="F7" s="413">
        <f>SUMIF(65:65,YEAR(E7)&amp;"-"&amp;INT((MONTH(E7)+2)/3),66:66)</f>
        <v>0</v>
      </c>
      <c r="G7" s="2698"/>
      <c r="H7" s="411">
        <f>SUMIF(65:65,YEAR(G7)&amp;"-"&amp;INT((MONTH(G7)+2)/3),66:66)</f>
        <v>0</v>
      </c>
      <c r="I7" s="2698"/>
      <c r="J7" s="411">
        <f>SUMIF(65:65,YEAR(I7)&amp;"-"&amp;INT((MONTH(I7)+2)/3),66:66)</f>
        <v>0</v>
      </c>
      <c r="K7" s="609"/>
      <c r="L7" s="1133"/>
      <c r="M7" s="1134"/>
      <c r="N7" s="1134"/>
      <c r="O7" s="1134"/>
      <c r="P7" s="3261" t="s">
        <v>2550</v>
      </c>
      <c r="Q7" s="3288"/>
      <c r="R7" s="768" t="s">
        <v>17</v>
      </c>
      <c r="S7" s="769">
        <f t="shared" ref="S7:S15" si="0">F7</f>
        <v>0</v>
      </c>
      <c r="T7" s="768" t="s">
        <v>17</v>
      </c>
      <c r="U7" s="769">
        <f t="shared" ref="U7:U15" si="1">H7</f>
        <v>0</v>
      </c>
      <c r="V7" s="768" t="s">
        <v>17</v>
      </c>
      <c r="W7" s="769">
        <f t="shared" ref="W7:W15" si="2">J7</f>
        <v>0</v>
      </c>
      <c r="X7" s="770"/>
      <c r="Y7" s="3261" t="s">
        <v>2550</v>
      </c>
      <c r="Z7" s="3262"/>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09"/>
      <c r="L8" s="1133"/>
      <c r="M8" s="1134"/>
      <c r="N8" s="1134"/>
      <c r="O8" s="1134"/>
      <c r="P8" s="3261" t="s">
        <v>2553</v>
      </c>
      <c r="Q8" s="3262"/>
      <c r="R8" s="768" t="s">
        <v>17</v>
      </c>
      <c r="S8" s="769">
        <f t="shared" si="0"/>
        <v>0</v>
      </c>
      <c r="T8" s="768" t="s">
        <v>17</v>
      </c>
      <c r="U8" s="769">
        <f t="shared" si="1"/>
        <v>0</v>
      </c>
      <c r="V8" s="768" t="s">
        <v>17</v>
      </c>
      <c r="W8" s="769">
        <f t="shared" si="2"/>
        <v>0</v>
      </c>
      <c r="X8" s="770"/>
      <c r="Y8" s="3261" t="s">
        <v>2553</v>
      </c>
      <c r="Z8" s="3262"/>
      <c r="AA8" s="771" t="e">
        <f t="shared" ref="AA8:AA40" si="3">D8/F8</f>
        <v>#DIV/0!</v>
      </c>
      <c r="AB8" s="771" t="e">
        <f t="shared" ref="AB8:AB40" si="4">D8/H8</f>
        <v>#DIV/0!</v>
      </c>
      <c r="AC8" s="771"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09"/>
      <c r="L9" s="1133"/>
      <c r="M9" s="1134"/>
      <c r="N9" s="1134"/>
      <c r="O9" s="1135"/>
      <c r="P9" s="3298" t="s">
        <v>2556</v>
      </c>
      <c r="Q9" s="1795" t="str">
        <f t="shared" ref="Q9:Q15" si="6">B9</f>
        <v>用途</v>
      </c>
      <c r="R9" s="768" t="s">
        <v>17</v>
      </c>
      <c r="S9" s="769">
        <f t="shared" si="0"/>
        <v>100</v>
      </c>
      <c r="T9" s="768" t="s">
        <v>17</v>
      </c>
      <c r="U9" s="769">
        <f t="shared" si="1"/>
        <v>100</v>
      </c>
      <c r="V9" s="768" t="s">
        <v>17</v>
      </c>
      <c r="W9" s="769">
        <f t="shared" si="2"/>
        <v>100</v>
      </c>
      <c r="X9" s="770"/>
      <c r="Y9" s="3107"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100</v>
      </c>
      <c r="G10" s="432"/>
      <c r="H10" s="136">
        <f>ROUND(100/'数据-取费表'!G16,0)</f>
        <v>100</v>
      </c>
      <c r="I10" s="432"/>
      <c r="J10" s="136">
        <f>ROUND(100/'数据-取费表'!G16,0)</f>
        <v>100</v>
      </c>
      <c r="K10" s="670"/>
      <c r="L10" s="1136"/>
      <c r="M10" s="1137"/>
      <c r="N10" s="1137"/>
      <c r="O10" s="1138"/>
      <c r="P10" s="3298"/>
      <c r="Q10" s="1795" t="str">
        <f t="shared" si="6"/>
        <v>土地使用年限（年）</v>
      </c>
      <c r="R10" s="768" t="s">
        <v>17</v>
      </c>
      <c r="S10" s="769">
        <f t="shared" si="0"/>
        <v>100</v>
      </c>
      <c r="T10" s="768" t="s">
        <v>17</v>
      </c>
      <c r="U10" s="769">
        <f t="shared" si="1"/>
        <v>100</v>
      </c>
      <c r="V10" s="768" t="s">
        <v>17</v>
      </c>
      <c r="W10" s="769">
        <f t="shared" si="2"/>
        <v>100</v>
      </c>
      <c r="X10" s="770"/>
      <c r="Y10" s="3107"/>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9"/>
      <c r="M11" s="1132"/>
      <c r="N11" s="1132"/>
      <c r="O11" s="1140"/>
      <c r="P11" s="3298"/>
      <c r="Q11" s="1795" t="str">
        <f t="shared" si="6"/>
        <v>容积率</v>
      </c>
      <c r="R11" s="768" t="s">
        <v>17</v>
      </c>
      <c r="S11" s="769" t="e">
        <f t="shared" si="0"/>
        <v>#N/A</v>
      </c>
      <c r="T11" s="768" t="s">
        <v>17</v>
      </c>
      <c r="U11" s="769" t="e">
        <f t="shared" si="1"/>
        <v>#N/A</v>
      </c>
      <c r="V11" s="768" t="s">
        <v>17</v>
      </c>
      <c r="W11" s="769" t="e">
        <f t="shared" si="2"/>
        <v>#N/A</v>
      </c>
      <c r="X11" s="770"/>
      <c r="Y11" s="3107"/>
      <c r="Z11" s="55" t="str">
        <f t="shared" si="7"/>
        <v>容积率</v>
      </c>
      <c r="AA11" s="771" t="e">
        <f t="shared" si="3"/>
        <v>#N/A</v>
      </c>
      <c r="AB11" s="771" t="e">
        <f t="shared" si="4"/>
        <v>#N/A</v>
      </c>
      <c r="AC11" s="771" t="e">
        <f t="shared" si="5"/>
        <v>#N/A</v>
      </c>
    </row>
    <row r="12" spans="1:29" s="117" customFormat="1" ht="15">
      <c r="A12" s="431"/>
      <c r="B12" s="2602">
        <v>111</v>
      </c>
      <c r="C12" s="432"/>
      <c r="D12" s="433">
        <v>100</v>
      </c>
      <c r="E12" s="547"/>
      <c r="F12" s="136">
        <f>SUMIF(77:77,E12,78:78)-SUMIF(77:77,C12,78:78)+100</f>
        <v>100</v>
      </c>
      <c r="G12" s="672"/>
      <c r="H12" s="136">
        <f>SUMIF(77:77,G12,78:78)-SUMIF(77:77,C12,78:78)+100</f>
        <v>100</v>
      </c>
      <c r="I12" s="547"/>
      <c r="J12" s="136">
        <f>SUMIF(77:77,I12,78:78)-SUMIF(77:77,C12,78:78)+100</f>
        <v>100</v>
      </c>
      <c r="K12" s="670"/>
      <c r="L12" s="1133"/>
      <c r="M12" s="1134"/>
      <c r="N12" s="1134"/>
      <c r="O12" s="1135"/>
      <c r="P12" s="3298"/>
      <c r="Q12" s="1795">
        <f t="shared" si="6"/>
        <v>111</v>
      </c>
      <c r="R12" s="768" t="s">
        <v>17</v>
      </c>
      <c r="S12" s="769">
        <f t="shared" si="0"/>
        <v>100</v>
      </c>
      <c r="T12" s="768" t="s">
        <v>17</v>
      </c>
      <c r="U12" s="769">
        <f t="shared" si="1"/>
        <v>100</v>
      </c>
      <c r="V12" s="768" t="s">
        <v>17</v>
      </c>
      <c r="W12" s="769">
        <f t="shared" si="2"/>
        <v>100</v>
      </c>
      <c r="X12" s="770"/>
      <c r="Y12" s="3107"/>
      <c r="Z12" s="55">
        <f t="shared" si="7"/>
        <v>111</v>
      </c>
      <c r="AA12" s="771">
        <f>D12/F12</f>
        <v>1</v>
      </c>
      <c r="AB12" s="771">
        <f>D12/H12</f>
        <v>1</v>
      </c>
      <c r="AC12" s="771">
        <f>D12/J12</f>
        <v>1</v>
      </c>
    </row>
    <row r="13" spans="1:29" ht="15">
      <c r="A13" s="428"/>
      <c r="B13" s="2602">
        <v>111</v>
      </c>
      <c r="C13" s="434"/>
      <c r="D13" s="435">
        <v>100</v>
      </c>
      <c r="E13" s="547"/>
      <c r="F13" s="136">
        <f>SUMIF(79:79,E13,80:80)-SUMIF(79:79,C13,80:80)+100</f>
        <v>100</v>
      </c>
      <c r="G13" s="672"/>
      <c r="H13" s="435">
        <f>SUMIF(79:79,G13,80:80)-SUMIF(79:79,C13,80:80)+100</f>
        <v>100</v>
      </c>
      <c r="I13" s="547"/>
      <c r="J13" s="435">
        <f>SUMIF(79:79,I13,80:80)-SUMIF(79:79,C13,80:80)+100</f>
        <v>100</v>
      </c>
      <c r="K13" s="670"/>
      <c r="L13" s="1141"/>
      <c r="M13" s="1132"/>
      <c r="N13" s="1132"/>
      <c r="O13" s="1140"/>
      <c r="P13" s="3298"/>
      <c r="Q13" s="1795">
        <f t="shared" si="6"/>
        <v>111</v>
      </c>
      <c r="R13" s="768" t="s">
        <v>17</v>
      </c>
      <c r="S13" s="769">
        <f t="shared" si="0"/>
        <v>100</v>
      </c>
      <c r="T13" s="768" t="s">
        <v>17</v>
      </c>
      <c r="U13" s="769">
        <f t="shared" si="1"/>
        <v>100</v>
      </c>
      <c r="V13" s="768" t="s">
        <v>17</v>
      </c>
      <c r="W13" s="769">
        <f t="shared" si="2"/>
        <v>100</v>
      </c>
      <c r="X13" s="770"/>
      <c r="Y13" s="3107"/>
      <c r="Z13" s="55">
        <f t="shared" si="7"/>
        <v>111</v>
      </c>
      <c r="AA13" s="771">
        <f t="shared" si="3"/>
        <v>1</v>
      </c>
      <c r="AB13" s="771">
        <f t="shared" si="4"/>
        <v>1</v>
      </c>
      <c r="AC13" s="771">
        <f t="shared" si="5"/>
        <v>1</v>
      </c>
    </row>
    <row r="14" spans="1:29" ht="15.75" thickBot="1">
      <c r="A14" s="436"/>
      <c r="B14" s="2604">
        <v>111</v>
      </c>
      <c r="C14" s="437"/>
      <c r="D14" s="438">
        <v>100</v>
      </c>
      <c r="E14" s="547"/>
      <c r="F14" s="438">
        <f>SUMIF(81:81,E14,82:82)-SUMIF(81:81,C14,82:82)+100</f>
        <v>100</v>
      </c>
      <c r="G14" s="672"/>
      <c r="H14" s="438">
        <f>SUMIF(81:81,G14,82:82)-SUMIF(81:81,C14,82:82)+100</f>
        <v>100</v>
      </c>
      <c r="I14" s="547"/>
      <c r="J14" s="438">
        <f>SUMIF(81:81,I14,82:82)-SUMIF(81:81,C14,82:82)+100</f>
        <v>100</v>
      </c>
      <c r="K14" s="670"/>
      <c r="L14" s="1141"/>
      <c r="M14" s="1132"/>
      <c r="N14" s="1132"/>
      <c r="O14" s="1140"/>
      <c r="P14" s="3298"/>
      <c r="Q14" s="1795">
        <f t="shared" si="6"/>
        <v>111</v>
      </c>
      <c r="R14" s="768" t="s">
        <v>17</v>
      </c>
      <c r="S14" s="769">
        <f t="shared" si="0"/>
        <v>100</v>
      </c>
      <c r="T14" s="768" t="s">
        <v>17</v>
      </c>
      <c r="U14" s="769">
        <f t="shared" si="1"/>
        <v>100</v>
      </c>
      <c r="V14" s="768" t="s">
        <v>17</v>
      </c>
      <c r="W14" s="769">
        <f t="shared" si="2"/>
        <v>100</v>
      </c>
      <c r="X14" s="770"/>
      <c r="Y14" s="3107"/>
      <c r="Z14" s="55">
        <f t="shared" si="7"/>
        <v>111</v>
      </c>
      <c r="AA14" s="771">
        <f t="shared" si="3"/>
        <v>1</v>
      </c>
      <c r="AB14" s="771">
        <f t="shared" si="4"/>
        <v>1</v>
      </c>
      <c r="AC14" s="771">
        <f t="shared" si="5"/>
        <v>1</v>
      </c>
    </row>
    <row r="15" spans="1:29" ht="57">
      <c r="A15" s="440" t="s">
        <v>2560</v>
      </c>
      <c r="B15" s="627" t="s">
        <v>2796</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41"/>
      <c r="M15" s="1132"/>
      <c r="N15" s="1132"/>
      <c r="O15" s="1140"/>
      <c r="P15" s="3291" t="s">
        <v>2561</v>
      </c>
      <c r="Q15" s="1810" t="str">
        <f t="shared" si="6"/>
        <v>产业集聚程度</v>
      </c>
      <c r="R15" s="772" t="s">
        <v>17</v>
      </c>
      <c r="S15" s="773">
        <f t="shared" si="0"/>
        <v>100</v>
      </c>
      <c r="T15" s="772" t="s">
        <v>17</v>
      </c>
      <c r="U15" s="773">
        <f t="shared" si="1"/>
        <v>100</v>
      </c>
      <c r="V15" s="772" t="s">
        <v>17</v>
      </c>
      <c r="W15" s="773">
        <f t="shared" si="2"/>
        <v>100</v>
      </c>
      <c r="X15" s="1813"/>
      <c r="Y15" s="3291" t="s">
        <v>2561</v>
      </c>
      <c r="Z15" s="1814" t="str">
        <f t="shared" si="7"/>
        <v>产业集聚程度</v>
      </c>
      <c r="AA15" s="1811">
        <f t="shared" si="3"/>
        <v>1</v>
      </c>
      <c r="AB15" s="1811">
        <f t="shared" si="4"/>
        <v>1</v>
      </c>
      <c r="AC15" s="1811">
        <f t="shared" si="5"/>
        <v>1</v>
      </c>
    </row>
    <row r="16" spans="1:29" ht="15">
      <c r="A16" s="428"/>
      <c r="B16" s="628"/>
      <c r="C16" s="447"/>
      <c r="D16" s="448"/>
      <c r="E16" s="2613"/>
      <c r="F16" s="448"/>
      <c r="G16" s="2613"/>
      <c r="H16" s="450"/>
      <c r="I16" s="2613"/>
      <c r="J16" s="448"/>
      <c r="K16" s="670"/>
      <c r="L16" s="1141"/>
      <c r="M16" s="1132"/>
      <c r="N16" s="1132"/>
      <c r="O16" s="1140"/>
      <c r="P16" s="3292"/>
      <c r="Q16" s="1810"/>
      <c r="R16" s="772"/>
      <c r="S16" s="773"/>
      <c r="T16" s="772"/>
      <c r="U16" s="773"/>
      <c r="V16" s="772"/>
      <c r="W16" s="773"/>
      <c r="X16" s="1813"/>
      <c r="Y16" s="3292"/>
      <c r="Z16" s="1814"/>
      <c r="AA16" s="1811">
        <v>1</v>
      </c>
      <c r="AB16" s="1811">
        <v>1</v>
      </c>
      <c r="AC16" s="1811">
        <v>1</v>
      </c>
    </row>
    <row r="17" spans="1:29" ht="85.5">
      <c r="A17" s="428"/>
      <c r="B17" s="629"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41"/>
      <c r="M17" s="1132"/>
      <c r="N17" s="1132"/>
      <c r="O17" s="1140"/>
      <c r="P17" s="3292"/>
      <c r="Q17" s="1810" t="str">
        <f>B17</f>
        <v>交通便捷度</v>
      </c>
      <c r="R17" s="772" t="s">
        <v>17</v>
      </c>
      <c r="S17" s="773">
        <f>F17</f>
        <v>100</v>
      </c>
      <c r="T17" s="772" t="s">
        <v>17</v>
      </c>
      <c r="U17" s="773">
        <f>H17</f>
        <v>100</v>
      </c>
      <c r="V17" s="772" t="s">
        <v>17</v>
      </c>
      <c r="W17" s="773">
        <f>J17</f>
        <v>100</v>
      </c>
      <c r="X17" s="1813"/>
      <c r="Y17" s="3292"/>
      <c r="Z17" s="1814" t="str">
        <f>Q17</f>
        <v>交通便捷度</v>
      </c>
      <c r="AA17" s="1811">
        <f t="shared" si="3"/>
        <v>1</v>
      </c>
      <c r="AB17" s="1811">
        <f t="shared" si="4"/>
        <v>1</v>
      </c>
      <c r="AC17" s="1811">
        <f t="shared" si="5"/>
        <v>1</v>
      </c>
    </row>
    <row r="18" spans="1:29" ht="15">
      <c r="A18" s="428"/>
      <c r="B18" s="630"/>
      <c r="C18" s="447"/>
      <c r="D18" s="448"/>
      <c r="E18" s="2607"/>
      <c r="F18" s="448"/>
      <c r="G18" s="2607"/>
      <c r="H18" s="448"/>
      <c r="I18" s="2606"/>
      <c r="J18" s="448"/>
      <c r="K18" s="670"/>
      <c r="L18" s="1141"/>
      <c r="M18" s="1132"/>
      <c r="N18" s="1132"/>
      <c r="O18" s="1140"/>
      <c r="P18" s="3292"/>
      <c r="Q18" s="1810"/>
      <c r="R18" s="772"/>
      <c r="S18" s="773"/>
      <c r="T18" s="772"/>
      <c r="U18" s="773"/>
      <c r="V18" s="772"/>
      <c r="W18" s="773"/>
      <c r="X18" s="1813"/>
      <c r="Y18" s="3292"/>
      <c r="Z18" s="1814"/>
      <c r="AA18" s="1811">
        <v>1</v>
      </c>
      <c r="AB18" s="1811">
        <v>1</v>
      </c>
      <c r="AC18" s="1811">
        <v>1</v>
      </c>
    </row>
    <row r="19" spans="1:29" ht="15">
      <c r="A19" s="428"/>
      <c r="B19" s="629"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1"/>
      <c r="M19" s="1132"/>
      <c r="N19" s="1132"/>
      <c r="O19" s="1140"/>
      <c r="P19" s="3292"/>
      <c r="Q19" s="1810" t="str">
        <f t="shared" ref="Q19:Q33" si="8">B19</f>
        <v>区域土地利用方向</v>
      </c>
      <c r="R19" s="772" t="s">
        <v>17</v>
      </c>
      <c r="S19" s="773">
        <f>F19</f>
        <v>100</v>
      </c>
      <c r="T19" s="772" t="s">
        <v>17</v>
      </c>
      <c r="U19" s="773">
        <f>H19</f>
        <v>100</v>
      </c>
      <c r="V19" s="772" t="s">
        <v>17</v>
      </c>
      <c r="W19" s="773">
        <f>J19</f>
        <v>100</v>
      </c>
      <c r="X19" s="1813"/>
      <c r="Y19" s="3292"/>
      <c r="Z19" s="1814" t="str">
        <f>Q19</f>
        <v>区域土地利用方向</v>
      </c>
      <c r="AA19" s="1811">
        <f t="shared" si="3"/>
        <v>1</v>
      </c>
      <c r="AB19" s="1811">
        <f t="shared" si="4"/>
        <v>1</v>
      </c>
      <c r="AC19" s="1811">
        <f t="shared" si="5"/>
        <v>1</v>
      </c>
    </row>
    <row r="20" spans="1:29" ht="15">
      <c r="A20" s="404"/>
      <c r="B20" s="630"/>
      <c r="C20" s="447"/>
      <c r="D20" s="448"/>
      <c r="E20" s="2607"/>
      <c r="F20" s="448"/>
      <c r="G20" s="2607"/>
      <c r="H20" s="448"/>
      <c r="I20" s="2607"/>
      <c r="J20" s="448"/>
      <c r="K20" s="810"/>
      <c r="L20" s="1141"/>
      <c r="M20" s="1132"/>
      <c r="N20" s="1132"/>
      <c r="O20" s="1140"/>
      <c r="P20" s="3292"/>
      <c r="Q20" s="1810"/>
      <c r="R20" s="772"/>
      <c r="S20" s="773"/>
      <c r="T20" s="772"/>
      <c r="U20" s="773"/>
      <c r="V20" s="772"/>
      <c r="W20" s="773"/>
      <c r="X20" s="1813"/>
      <c r="Y20" s="3292"/>
      <c r="Z20" s="1814"/>
      <c r="AA20" s="1811"/>
      <c r="AB20" s="1811"/>
      <c r="AC20" s="1811"/>
    </row>
    <row r="21" spans="1:29" ht="71.25">
      <c r="A21" s="404"/>
      <c r="B21" s="629" t="s">
        <v>2797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41"/>
      <c r="M21" s="1132"/>
      <c r="N21" s="1132"/>
      <c r="O21" s="1140"/>
      <c r="P21" s="3292"/>
      <c r="Q21" s="1810" t="str">
        <f t="shared" si="8"/>
        <v>环境状况</v>
      </c>
      <c r="R21" s="772" t="s">
        <v>17</v>
      </c>
      <c r="S21" s="773">
        <f>F21</f>
        <v>100</v>
      </c>
      <c r="T21" s="772" t="s">
        <v>17</v>
      </c>
      <c r="U21" s="773">
        <f>H21</f>
        <v>100</v>
      </c>
      <c r="V21" s="772" t="s">
        <v>17</v>
      </c>
      <c r="W21" s="773">
        <f>J21</f>
        <v>100</v>
      </c>
      <c r="X21" s="1813"/>
      <c r="Y21" s="3292"/>
      <c r="Z21" s="1814" t="str">
        <f>Q21</f>
        <v>环境状况</v>
      </c>
      <c r="AA21" s="1811">
        <f t="shared" si="3"/>
        <v>1</v>
      </c>
      <c r="AB21" s="1811">
        <f t="shared" si="4"/>
        <v>1</v>
      </c>
      <c r="AC21" s="1811">
        <f t="shared" si="5"/>
        <v>1</v>
      </c>
    </row>
    <row r="22" spans="1:29" ht="15">
      <c r="A22" s="404"/>
      <c r="B22" s="630"/>
      <c r="C22" s="447"/>
      <c r="D22" s="448"/>
      <c r="E22" s="2613"/>
      <c r="F22" s="448"/>
      <c r="G22" s="2613"/>
      <c r="H22" s="448"/>
      <c r="I22" s="447"/>
      <c r="J22" s="448"/>
      <c r="K22" s="670"/>
      <c r="L22" s="1141"/>
      <c r="M22" s="1132"/>
      <c r="N22" s="1132"/>
      <c r="O22" s="1140"/>
      <c r="P22" s="3292"/>
      <c r="Q22" s="1810"/>
      <c r="R22" s="772"/>
      <c r="S22" s="773"/>
      <c r="T22" s="772"/>
      <c r="U22" s="773"/>
      <c r="V22" s="772"/>
      <c r="W22" s="773"/>
      <c r="X22" s="1813"/>
      <c r="Y22" s="3292"/>
      <c r="Z22" s="1814"/>
      <c r="AA22" s="1811">
        <v>1</v>
      </c>
      <c r="AB22" s="1811">
        <v>1</v>
      </c>
      <c r="AC22" s="1811">
        <v>1</v>
      </c>
    </row>
    <row r="23" spans="1:29" s="117" customFormat="1" ht="42.75">
      <c r="A23" s="647"/>
      <c r="B23" s="631"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33"/>
      <c r="M23" s="1134"/>
      <c r="N23" s="1134"/>
      <c r="O23" s="1135"/>
      <c r="P23" s="3292"/>
      <c r="Q23" s="1795" t="str">
        <f t="shared" si="8"/>
        <v>公共配套设施</v>
      </c>
      <c r="R23" s="768" t="s">
        <v>17</v>
      </c>
      <c r="S23" s="769">
        <f>F23</f>
        <v>100</v>
      </c>
      <c r="T23" s="768" t="s">
        <v>17</v>
      </c>
      <c r="U23" s="769">
        <f>H23</f>
        <v>100</v>
      </c>
      <c r="V23" s="768" t="s">
        <v>17</v>
      </c>
      <c r="W23" s="769">
        <f>J23</f>
        <v>100</v>
      </c>
      <c r="X23" s="770"/>
      <c r="Y23" s="3292"/>
      <c r="Z23" s="55" t="str">
        <f>Q23</f>
        <v>公共配套设施</v>
      </c>
      <c r="AA23" s="1811">
        <f>D23/F23</f>
        <v>1</v>
      </c>
      <c r="AB23" s="1811">
        <f>D23/H23</f>
        <v>1</v>
      </c>
      <c r="AC23" s="1811">
        <f>D23/J23</f>
        <v>1</v>
      </c>
    </row>
    <row r="24" spans="1:29" s="117" customFormat="1" ht="15">
      <c r="A24" s="647"/>
      <c r="B24" s="630"/>
      <c r="C24" s="2702"/>
      <c r="D24" s="448"/>
      <c r="E24" s="2613"/>
      <c r="F24" s="448"/>
      <c r="G24" s="2613"/>
      <c r="H24" s="448"/>
      <c r="I24" s="447"/>
      <c r="J24" s="448"/>
      <c r="K24" s="670"/>
      <c r="L24" s="1133"/>
      <c r="M24" s="1134"/>
      <c r="N24" s="1134"/>
      <c r="O24" s="1135"/>
      <c r="P24" s="3292"/>
      <c r="Q24" s="1795"/>
      <c r="R24" s="768"/>
      <c r="S24" s="769"/>
      <c r="T24" s="768"/>
      <c r="U24" s="769"/>
      <c r="V24" s="768"/>
      <c r="W24" s="769"/>
      <c r="X24" s="770"/>
      <c r="Y24" s="3292"/>
      <c r="Z24" s="55"/>
      <c r="AA24" s="771">
        <v>1</v>
      </c>
      <c r="AB24" s="771">
        <v>1</v>
      </c>
      <c r="AC24" s="771">
        <v>1</v>
      </c>
    </row>
    <row r="25" spans="1:29" s="117" customFormat="1" ht="28.5">
      <c r="A25" s="647"/>
      <c r="B25" s="631"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33"/>
      <c r="M25" s="1134"/>
      <c r="N25" s="1134"/>
      <c r="O25" s="1135"/>
      <c r="P25" s="3292"/>
      <c r="Q25" s="1795" t="str">
        <f t="shared" ref="Q25" si="9">B25</f>
        <v>基础设施水平</v>
      </c>
      <c r="R25" s="768" t="s">
        <v>17</v>
      </c>
      <c r="S25" s="769">
        <f>F25</f>
        <v>100</v>
      </c>
      <c r="T25" s="768" t="s">
        <v>17</v>
      </c>
      <c r="U25" s="769">
        <f>H25</f>
        <v>100</v>
      </c>
      <c r="V25" s="768" t="s">
        <v>17</v>
      </c>
      <c r="W25" s="769">
        <f>J25</f>
        <v>100</v>
      </c>
      <c r="X25" s="770"/>
      <c r="Y25" s="3292"/>
      <c r="Z25" s="55" t="str">
        <f>Q25</f>
        <v>基础设施水平</v>
      </c>
      <c r="AA25" s="1811">
        <f>D25/F25</f>
        <v>1</v>
      </c>
      <c r="AB25" s="1811">
        <f>D25/H25</f>
        <v>1</v>
      </c>
      <c r="AC25" s="1811">
        <f>D25/J25</f>
        <v>1</v>
      </c>
    </row>
    <row r="26" spans="1:29" s="117" customFormat="1" ht="15">
      <c r="A26" s="647"/>
      <c r="B26" s="630"/>
      <c r="C26" s="2702"/>
      <c r="D26" s="448"/>
      <c r="E26" s="2703"/>
      <c r="F26" s="448"/>
      <c r="G26" s="2703"/>
      <c r="H26" s="448"/>
      <c r="I26" s="2703"/>
      <c r="J26" s="448"/>
      <c r="K26" s="670"/>
      <c r="L26" s="1133"/>
      <c r="M26" s="1134"/>
      <c r="N26" s="1134"/>
      <c r="O26" s="1135"/>
      <c r="P26" s="3292"/>
      <c r="Q26" s="1795"/>
      <c r="R26" s="768"/>
      <c r="S26" s="769"/>
      <c r="T26" s="768"/>
      <c r="U26" s="769"/>
      <c r="V26" s="768"/>
      <c r="W26" s="769"/>
      <c r="X26" s="770"/>
      <c r="Y26" s="3292"/>
      <c r="Z26" s="55"/>
      <c r="AA26" s="771">
        <v>1</v>
      </c>
      <c r="AB26" s="771">
        <v>1</v>
      </c>
      <c r="AC26" s="771">
        <v>1</v>
      </c>
    </row>
    <row r="27" spans="1:29" ht="15">
      <c r="A27" s="428"/>
      <c r="B27" s="630" t="s">
        <v>2657</v>
      </c>
      <c r="C27" s="614"/>
      <c r="D27" s="435">
        <v>100</v>
      </c>
      <c r="E27" s="632"/>
      <c r="F27" s="435">
        <f>SUMIF(95:95,E27,96:96)-SUMIF(95:95,C27,96:96)+100</f>
        <v>100</v>
      </c>
      <c r="G27" s="632"/>
      <c r="H27" s="435">
        <f>SUMIF(95:95,G27,96:96)-SUMIF(95:95,C27,96:96)+100</f>
        <v>100</v>
      </c>
      <c r="I27" s="632"/>
      <c r="J27" s="435">
        <f>SUMIF(95:95,I27,96:96)-SUMIF(95:95,C27,96:96)+100</f>
        <v>100</v>
      </c>
      <c r="K27" s="671"/>
      <c r="L27" s="1141"/>
      <c r="M27" s="1132"/>
      <c r="N27" s="1132"/>
      <c r="O27" s="1140"/>
      <c r="P27" s="3292"/>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92"/>
      <c r="Z27" s="1814" t="str">
        <f t="shared" ref="Z27:Z40" si="13">Q27</f>
        <v>临街状况</v>
      </c>
      <c r="AA27" s="1811">
        <f t="shared" si="3"/>
        <v>1</v>
      </c>
      <c r="AB27" s="1811">
        <f t="shared" si="4"/>
        <v>1</v>
      </c>
      <c r="AC27" s="1811">
        <f t="shared" si="5"/>
        <v>1</v>
      </c>
    </row>
    <row r="28" spans="1:29" ht="27">
      <c r="A28" s="428"/>
      <c r="B28" s="631"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1"/>
      <c r="M28" s="1132"/>
      <c r="N28" s="1132"/>
      <c r="O28" s="1140"/>
      <c r="P28" s="3292"/>
      <c r="Q28" s="1810" t="str">
        <f t="shared" si="8"/>
        <v>毗邻道路的类型与等级</v>
      </c>
      <c r="R28" s="772" t="s">
        <v>17</v>
      </c>
      <c r="S28" s="773">
        <f t="shared" si="10"/>
        <v>100</v>
      </c>
      <c r="T28" s="772" t="s">
        <v>17</v>
      </c>
      <c r="U28" s="773">
        <f t="shared" si="11"/>
        <v>100</v>
      </c>
      <c r="V28" s="772" t="s">
        <v>17</v>
      </c>
      <c r="W28" s="773">
        <f t="shared" si="12"/>
        <v>100</v>
      </c>
      <c r="X28" s="1813"/>
      <c r="Y28" s="3292"/>
      <c r="Z28" s="1814" t="str">
        <f t="shared" si="13"/>
        <v>毗邻道路的类型与等级</v>
      </c>
      <c r="AA28" s="1811">
        <f t="shared" si="3"/>
        <v>1</v>
      </c>
      <c r="AB28" s="1811">
        <f t="shared" si="4"/>
        <v>1</v>
      </c>
      <c r="AC28" s="1811">
        <f t="shared" si="5"/>
        <v>1</v>
      </c>
    </row>
    <row r="29" spans="1:29" ht="15">
      <c r="A29" s="428"/>
      <c r="B29" s="630"/>
      <c r="C29" s="447"/>
      <c r="D29" s="448"/>
      <c r="E29" s="2613"/>
      <c r="F29" s="448"/>
      <c r="G29" s="2613"/>
      <c r="H29" s="448"/>
      <c r="I29" s="2613"/>
      <c r="J29" s="448"/>
      <c r="K29" s="611"/>
      <c r="L29" s="1141"/>
      <c r="M29" s="1132"/>
      <c r="N29" s="1132"/>
      <c r="O29" s="1140"/>
      <c r="P29" s="3292"/>
      <c r="Q29" s="1810"/>
      <c r="R29" s="772"/>
      <c r="S29" s="773"/>
      <c r="T29" s="772"/>
      <c r="U29" s="773"/>
      <c r="V29" s="772"/>
      <c r="W29" s="773"/>
      <c r="X29" s="1813"/>
      <c r="Y29" s="3292"/>
      <c r="Z29" s="1814"/>
      <c r="AA29" s="1811">
        <v>1</v>
      </c>
      <c r="AB29" s="1811">
        <v>1</v>
      </c>
      <c r="AC29" s="1811">
        <v>1</v>
      </c>
    </row>
    <row r="30" spans="1:29" ht="15">
      <c r="A30" s="428"/>
      <c r="B30" s="652" t="s">
        <v>2749</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0"/>
      <c r="L30" s="1141"/>
      <c r="M30" s="1132"/>
      <c r="N30" s="1132"/>
      <c r="O30" s="1140"/>
      <c r="P30" s="3292"/>
      <c r="Q30" s="1810" t="str">
        <f t="shared" si="8"/>
        <v>土地级别</v>
      </c>
      <c r="R30" s="772" t="s">
        <v>17</v>
      </c>
      <c r="S30" s="773">
        <f t="shared" si="10"/>
        <v>100</v>
      </c>
      <c r="T30" s="772" t="s">
        <v>17</v>
      </c>
      <c r="U30" s="773">
        <f t="shared" si="11"/>
        <v>100</v>
      </c>
      <c r="V30" s="772" t="s">
        <v>17</v>
      </c>
      <c r="W30" s="773">
        <f t="shared" si="12"/>
        <v>100</v>
      </c>
      <c r="X30" s="1813"/>
      <c r="Y30" s="3292"/>
      <c r="Z30" s="1814" t="str">
        <f t="shared" si="13"/>
        <v>土地级别</v>
      </c>
      <c r="AA30" s="1811">
        <f t="shared" si="3"/>
        <v>1</v>
      </c>
      <c r="AB30" s="1811">
        <f t="shared" si="4"/>
        <v>1</v>
      </c>
      <c r="AC30" s="1811">
        <f t="shared" si="5"/>
        <v>1</v>
      </c>
    </row>
    <row r="31" spans="1:29" ht="15">
      <c r="A31" s="404"/>
      <c r="B31" s="2680">
        <v>111</v>
      </c>
      <c r="C31" s="672"/>
      <c r="D31" s="435">
        <v>100</v>
      </c>
      <c r="E31" s="475"/>
      <c r="F31" s="435">
        <f>SUMIF(101:101,E31,102:102)-SUMIF(101:101,C31,102:102)+100</f>
        <v>100</v>
      </c>
      <c r="G31" s="475"/>
      <c r="H31" s="435">
        <f>SUMIF(101:101,G31,102:102)-SUMIF(101:101,C31,102:102)+100</f>
        <v>100</v>
      </c>
      <c r="I31" s="547"/>
      <c r="J31" s="435">
        <f>SUMIF(101:101,I31,102:102)-SUMIF(101:101,C31,102:102)+100</f>
        <v>100</v>
      </c>
      <c r="K31" s="611"/>
      <c r="L31" s="1141"/>
      <c r="M31" s="1132"/>
      <c r="N31" s="1132"/>
      <c r="O31" s="1140"/>
      <c r="P31" s="3292"/>
      <c r="Q31" s="1810">
        <f t="shared" si="8"/>
        <v>111</v>
      </c>
      <c r="R31" s="772" t="s">
        <v>17</v>
      </c>
      <c r="S31" s="773">
        <f t="shared" si="10"/>
        <v>100</v>
      </c>
      <c r="T31" s="772" t="s">
        <v>17</v>
      </c>
      <c r="U31" s="773">
        <f t="shared" si="11"/>
        <v>100</v>
      </c>
      <c r="V31" s="772" t="s">
        <v>17</v>
      </c>
      <c r="W31" s="773">
        <f t="shared" si="12"/>
        <v>100</v>
      </c>
      <c r="X31" s="1813"/>
      <c r="Y31" s="3292"/>
      <c r="Z31" s="1814">
        <f t="shared" si="13"/>
        <v>111</v>
      </c>
      <c r="AA31" s="1811">
        <f t="shared" si="3"/>
        <v>1</v>
      </c>
      <c r="AB31" s="1811">
        <f t="shared" si="4"/>
        <v>1</v>
      </c>
      <c r="AC31" s="1811">
        <f t="shared" si="5"/>
        <v>1</v>
      </c>
    </row>
    <row r="32" spans="1:29" ht="15">
      <c r="A32" s="673"/>
      <c r="B32" s="2716">
        <v>111</v>
      </c>
      <c r="C32" s="672"/>
      <c r="D32" s="435">
        <v>100</v>
      </c>
      <c r="E32" s="475"/>
      <c r="F32" s="435">
        <f>SUMIF(103:103,E33,104:104)-SUMIF(103:103,C33,104:104)+100</f>
        <v>100</v>
      </c>
      <c r="G32" s="475"/>
      <c r="H32" s="435">
        <f>SUMIF(103:103,G32,104:104)-SUMIF(103:103,C32,104:104)+100</f>
        <v>100</v>
      </c>
      <c r="I32" s="672"/>
      <c r="J32" s="435">
        <f>SUMIF(103:103,I32,104:104)-SUMIF(103:103,C32,104:104)+100</f>
        <v>100</v>
      </c>
      <c r="K32" s="611"/>
      <c r="L32" s="1141"/>
      <c r="M32" s="1132"/>
      <c r="N32" s="1132"/>
      <c r="O32" s="1140"/>
      <c r="P32" s="3318" t="s">
        <v>2566</v>
      </c>
      <c r="Q32" s="1810">
        <f t="shared" si="8"/>
        <v>111</v>
      </c>
      <c r="R32" s="772" t="s">
        <v>17</v>
      </c>
      <c r="S32" s="773">
        <f t="shared" si="10"/>
        <v>100</v>
      </c>
      <c r="T32" s="772" t="s">
        <v>17</v>
      </c>
      <c r="U32" s="773">
        <f t="shared" si="11"/>
        <v>100</v>
      </c>
      <c r="V32" s="772" t="s">
        <v>17</v>
      </c>
      <c r="W32" s="773">
        <f t="shared" si="12"/>
        <v>100</v>
      </c>
      <c r="X32" s="1813"/>
      <c r="Y32" s="3296" t="s">
        <v>2566</v>
      </c>
      <c r="Z32" s="1814">
        <f t="shared" si="13"/>
        <v>111</v>
      </c>
      <c r="AA32" s="1811">
        <f t="shared" si="3"/>
        <v>1</v>
      </c>
      <c r="AB32" s="1811">
        <f t="shared" si="4"/>
        <v>1</v>
      </c>
      <c r="AC32" s="1811">
        <f t="shared" si="5"/>
        <v>1</v>
      </c>
    </row>
    <row r="33" spans="1:29" s="469" customFormat="1" ht="15.75" thickBot="1">
      <c r="A33" s="674"/>
      <c r="B33" s="2717">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1"/>
      <c r="L33" s="1139"/>
      <c r="M33" s="1142"/>
      <c r="N33" s="1142"/>
      <c r="O33" s="1143"/>
      <c r="P33" s="3296"/>
      <c r="Q33" s="1810">
        <f t="shared" si="8"/>
        <v>111</v>
      </c>
      <c r="R33" s="775" t="s">
        <v>17</v>
      </c>
      <c r="S33" s="776">
        <f t="shared" si="10"/>
        <v>100</v>
      </c>
      <c r="T33" s="775" t="s">
        <v>17</v>
      </c>
      <c r="U33" s="776">
        <f t="shared" si="11"/>
        <v>100</v>
      </c>
      <c r="V33" s="775" t="s">
        <v>17</v>
      </c>
      <c r="W33" s="776">
        <f t="shared" si="12"/>
        <v>100</v>
      </c>
      <c r="X33" s="777"/>
      <c r="Y33" s="3296"/>
      <c r="Z33" s="778">
        <f t="shared" si="13"/>
        <v>111</v>
      </c>
      <c r="AA33" s="1811">
        <f t="shared" si="3"/>
        <v>1</v>
      </c>
      <c r="AB33" s="1811">
        <f t="shared" si="4"/>
        <v>1</v>
      </c>
      <c r="AC33" s="1811">
        <f t="shared" si="5"/>
        <v>1</v>
      </c>
    </row>
    <row r="34" spans="1:29" ht="15">
      <c r="A34" s="440" t="s">
        <v>2564</v>
      </c>
      <c r="B34" s="456" t="s">
        <v>2750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96"/>
      <c r="Q34" s="1810" t="str">
        <f>B34</f>
        <v>宗地面积</v>
      </c>
      <c r="R34" s="772" t="s">
        <v>17</v>
      </c>
      <c r="S34" s="773" t="e">
        <f t="shared" si="10"/>
        <v>#N/A</v>
      </c>
      <c r="T34" s="772" t="s">
        <v>17</v>
      </c>
      <c r="U34" s="773" t="e">
        <f t="shared" si="11"/>
        <v>#N/A</v>
      </c>
      <c r="V34" s="772" t="s">
        <v>17</v>
      </c>
      <c r="W34" s="773" t="e">
        <f t="shared" si="12"/>
        <v>#N/A</v>
      </c>
      <c r="X34" s="1813"/>
      <c r="Y34" s="3296"/>
      <c r="Z34" s="1814" t="str">
        <f t="shared" si="13"/>
        <v>宗地面积</v>
      </c>
      <c r="AA34" s="1811" t="e">
        <f t="shared" si="3"/>
        <v>#N/A</v>
      </c>
      <c r="AB34" s="1811" t="e">
        <f t="shared" si="4"/>
        <v>#N/A</v>
      </c>
      <c r="AC34" s="1811" t="e">
        <f t="shared" si="5"/>
        <v>#N/A</v>
      </c>
    </row>
    <row r="35" spans="1:29" ht="15">
      <c r="A35" s="470"/>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0"/>
      <c r="L35" s="1141"/>
      <c r="M35" s="1132"/>
      <c r="N35" s="1132"/>
      <c r="O35" s="1140"/>
      <c r="P35" s="3296"/>
      <c r="Q35" s="1810" t="str">
        <f t="shared" ref="Q35:Q40" si="14">B35</f>
        <v>宗地形状</v>
      </c>
      <c r="R35" s="772" t="s">
        <v>17</v>
      </c>
      <c r="S35" s="773">
        <f t="shared" si="10"/>
        <v>100</v>
      </c>
      <c r="T35" s="772" t="s">
        <v>17</v>
      </c>
      <c r="U35" s="773">
        <f t="shared" si="11"/>
        <v>100</v>
      </c>
      <c r="V35" s="772" t="s">
        <v>17</v>
      </c>
      <c r="W35" s="773">
        <f t="shared" si="12"/>
        <v>100</v>
      </c>
      <c r="X35" s="1813"/>
      <c r="Y35" s="3296"/>
      <c r="Z35" s="1814" t="str">
        <f t="shared" si="13"/>
        <v>宗地形状</v>
      </c>
      <c r="AA35" s="1811">
        <f t="shared" si="3"/>
        <v>1</v>
      </c>
      <c r="AB35" s="1811">
        <f t="shared" si="4"/>
        <v>1</v>
      </c>
      <c r="AC35" s="1811">
        <f t="shared" si="5"/>
        <v>1</v>
      </c>
    </row>
    <row r="36" spans="1:29" s="117" customFormat="1" ht="15">
      <c r="A36" s="471"/>
      <c r="B36" s="422" t="s">
        <v>2752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0"/>
      <c r="L36" s="1133"/>
      <c r="M36" s="1134"/>
      <c r="N36" s="1134"/>
      <c r="O36" s="1135"/>
      <c r="P36" s="3296"/>
      <c r="Q36" s="1810" t="str">
        <f t="shared" si="14"/>
        <v>宗地开发程度</v>
      </c>
      <c r="R36" s="768" t="s">
        <v>17</v>
      </c>
      <c r="S36" s="769">
        <f t="shared" si="10"/>
        <v>100</v>
      </c>
      <c r="T36" s="768" t="s">
        <v>17</v>
      </c>
      <c r="U36" s="769">
        <f t="shared" si="11"/>
        <v>100</v>
      </c>
      <c r="V36" s="768" t="s">
        <v>17</v>
      </c>
      <c r="W36" s="769">
        <f t="shared" si="12"/>
        <v>100</v>
      </c>
      <c r="X36" s="770"/>
      <c r="Y36" s="3296"/>
      <c r="Z36" s="55" t="str">
        <f t="shared" si="13"/>
        <v>宗地开发程度</v>
      </c>
      <c r="AA36" s="771">
        <f t="shared" si="3"/>
        <v>1</v>
      </c>
      <c r="AB36" s="771">
        <f t="shared" si="4"/>
        <v>1</v>
      </c>
      <c r="AC36" s="771">
        <f t="shared" si="5"/>
        <v>1</v>
      </c>
    </row>
    <row r="37" spans="1:29" ht="15">
      <c r="A37" s="470"/>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0"/>
      <c r="L37" s="1141"/>
      <c r="M37" s="1132"/>
      <c r="N37" s="1132"/>
      <c r="O37" s="1140"/>
      <c r="P37" s="3296" t="s">
        <v>2566</v>
      </c>
      <c r="Q37" s="1810" t="str">
        <f t="shared" si="14"/>
        <v>工程地质条件</v>
      </c>
      <c r="R37" s="772" t="s">
        <v>17</v>
      </c>
      <c r="S37" s="773">
        <f t="shared" si="10"/>
        <v>100</v>
      </c>
      <c r="T37" s="772" t="s">
        <v>17</v>
      </c>
      <c r="U37" s="773">
        <f t="shared" si="11"/>
        <v>100</v>
      </c>
      <c r="V37" s="772" t="s">
        <v>17</v>
      </c>
      <c r="W37" s="773">
        <f t="shared" si="12"/>
        <v>100</v>
      </c>
      <c r="X37" s="1813"/>
      <c r="Y37" s="3296" t="s">
        <v>2566</v>
      </c>
      <c r="Z37" s="1814" t="str">
        <f t="shared" si="13"/>
        <v>工程地质条件</v>
      </c>
      <c r="AA37" s="1811">
        <f t="shared" si="3"/>
        <v>1</v>
      </c>
      <c r="AB37" s="1811">
        <f t="shared" si="4"/>
        <v>1</v>
      </c>
      <c r="AC37" s="1811">
        <f t="shared" si="5"/>
        <v>1</v>
      </c>
    </row>
    <row r="38" spans="1:29" ht="15">
      <c r="A38" s="470"/>
      <c r="B38" s="1388">
        <v>111</v>
      </c>
      <c r="C38" s="672"/>
      <c r="D38" s="435">
        <v>100</v>
      </c>
      <c r="E38" s="672"/>
      <c r="F38" s="435">
        <f>SUMIF(116:116,E38,117:117)-SUMIF(116:116,C38,117:117)+100</f>
        <v>100</v>
      </c>
      <c r="G38" s="672"/>
      <c r="H38" s="435">
        <f>SUMIF(116:116,G38,117:117)-SUMIF(116:116,C38,117:117)+100</f>
        <v>100</v>
      </c>
      <c r="I38" s="547"/>
      <c r="J38" s="435">
        <f>SUMIF(116:116,I38,117:117)-SUMIF(116:116,C38,117:117)+100</f>
        <v>100</v>
      </c>
      <c r="K38" s="611"/>
      <c r="L38" s="1141"/>
      <c r="M38" s="1132"/>
      <c r="N38" s="1132"/>
      <c r="O38" s="1140"/>
      <c r="P38" s="3296"/>
      <c r="Q38" s="1810">
        <f t="shared" si="14"/>
        <v>111</v>
      </c>
      <c r="R38" s="772" t="s">
        <v>17</v>
      </c>
      <c r="S38" s="773">
        <f t="shared" si="10"/>
        <v>100</v>
      </c>
      <c r="T38" s="772" t="s">
        <v>17</v>
      </c>
      <c r="U38" s="773">
        <f t="shared" si="11"/>
        <v>100</v>
      </c>
      <c r="V38" s="772" t="s">
        <v>17</v>
      </c>
      <c r="W38" s="773">
        <f t="shared" si="12"/>
        <v>100</v>
      </c>
      <c r="X38" s="1813"/>
      <c r="Y38" s="3296"/>
      <c r="Z38" s="1814">
        <f t="shared" si="13"/>
        <v>111</v>
      </c>
      <c r="AA38" s="1811">
        <f t="shared" si="3"/>
        <v>1</v>
      </c>
      <c r="AB38" s="1811">
        <f t="shared" si="4"/>
        <v>1</v>
      </c>
      <c r="AC38" s="1811">
        <f t="shared" si="5"/>
        <v>1</v>
      </c>
    </row>
    <row r="39" spans="1:29" ht="15">
      <c r="A39" s="470"/>
      <c r="B39" s="1388">
        <v>111</v>
      </c>
      <c r="C39" s="672"/>
      <c r="D39" s="435">
        <v>100</v>
      </c>
      <c r="E39" s="672"/>
      <c r="F39" s="435">
        <f>SUMIF(118:118,E39,119:119)-SUMIF(118:118,C39,119:119)+100</f>
        <v>100</v>
      </c>
      <c r="G39" s="672"/>
      <c r="H39" s="435">
        <f>SUMIF(118:118,G39,119:119)-SUMIF(118:118,C39,119:119)+100</f>
        <v>100</v>
      </c>
      <c r="I39" s="547"/>
      <c r="J39" s="435">
        <f>SUMIF(118:118,I39,119:119)-SUMIF(118:118,C39,119:119)+100</f>
        <v>100</v>
      </c>
      <c r="K39" s="611"/>
      <c r="L39" s="1141"/>
      <c r="M39" s="1132"/>
      <c r="N39" s="1132"/>
      <c r="O39" s="1140"/>
      <c r="P39" s="3296"/>
      <c r="Q39" s="1810">
        <f t="shared" si="14"/>
        <v>111</v>
      </c>
      <c r="R39" s="772" t="s">
        <v>17</v>
      </c>
      <c r="S39" s="773">
        <f t="shared" si="10"/>
        <v>100</v>
      </c>
      <c r="T39" s="772" t="s">
        <v>17</v>
      </c>
      <c r="U39" s="773">
        <f t="shared" si="11"/>
        <v>100</v>
      </c>
      <c r="V39" s="772" t="s">
        <v>17</v>
      </c>
      <c r="W39" s="773">
        <f t="shared" si="12"/>
        <v>100</v>
      </c>
      <c r="X39" s="1813"/>
      <c r="Y39" s="3296"/>
      <c r="Z39" s="1814">
        <f t="shared" si="13"/>
        <v>111</v>
      </c>
      <c r="AA39" s="1811">
        <f t="shared" si="3"/>
        <v>1</v>
      </c>
      <c r="AB39" s="1811">
        <f t="shared" si="4"/>
        <v>1</v>
      </c>
      <c r="AC39" s="1811">
        <f t="shared" si="5"/>
        <v>1</v>
      </c>
    </row>
    <row r="40" spans="1:29" s="469" customFormat="1" ht="15.75" thickBot="1">
      <c r="A40" s="466"/>
      <c r="B40" s="1388">
        <v>111</v>
      </c>
      <c r="C40" s="2705"/>
      <c r="D40" s="137">
        <v>100</v>
      </c>
      <c r="E40" s="672"/>
      <c r="F40" s="438">
        <f>SUMIF(120:120,E40,121:121)-SUMIF(120:120,C40,121:121)+100</f>
        <v>100</v>
      </c>
      <c r="G40" s="672"/>
      <c r="H40" s="438">
        <f>SUMIF(120:120,G40,121:121)-SUMIF(120:120,C40,121:121)+100</f>
        <v>100</v>
      </c>
      <c r="I40" s="547"/>
      <c r="J40" s="438">
        <f>SUMIF(120:120,I40,121:121)-SUMIF(120:120,C40,121:121)+100</f>
        <v>100</v>
      </c>
      <c r="K40" s="679"/>
      <c r="L40" s="1139"/>
      <c r="M40" s="1142"/>
      <c r="N40" s="1142"/>
      <c r="O40" s="1143"/>
      <c r="P40" s="3296"/>
      <c r="Q40" s="1810">
        <f t="shared" si="14"/>
        <v>111</v>
      </c>
      <c r="R40" s="775" t="s">
        <v>17</v>
      </c>
      <c r="S40" s="776">
        <f t="shared" si="10"/>
        <v>100</v>
      </c>
      <c r="T40" s="775" t="s">
        <v>17</v>
      </c>
      <c r="U40" s="776">
        <f t="shared" si="11"/>
        <v>100</v>
      </c>
      <c r="V40" s="775" t="s">
        <v>17</v>
      </c>
      <c r="W40" s="776">
        <f t="shared" si="12"/>
        <v>100</v>
      </c>
      <c r="X40" s="777"/>
      <c r="Y40" s="3296"/>
      <c r="Z40" s="778">
        <f t="shared" si="13"/>
        <v>111</v>
      </c>
      <c r="AA40" s="1811">
        <f t="shared" si="3"/>
        <v>1</v>
      </c>
      <c r="AB40" s="1811">
        <f t="shared" si="4"/>
        <v>1</v>
      </c>
      <c r="AC40" s="1811">
        <f t="shared" si="5"/>
        <v>1</v>
      </c>
    </row>
    <row r="41" spans="1:29" ht="15">
      <c r="A41" s="477" t="s">
        <v>2721</v>
      </c>
      <c r="B41" s="2706" t="s">
        <v>2798</v>
      </c>
      <c r="C41" s="680" t="s">
        <v>1</v>
      </c>
      <c r="D41" s="479"/>
      <c r="E41" s="480"/>
      <c r="F41" s="481"/>
      <c r="G41" s="482"/>
      <c r="H41" s="483"/>
      <c r="I41" s="480"/>
      <c r="J41" s="483"/>
      <c r="K41" s="781"/>
      <c r="L41" s="1144"/>
      <c r="M41" s="1132"/>
      <c r="N41" s="1132"/>
      <c r="O41" s="1145"/>
      <c r="P41" s="3298" t="str">
        <f>A41</f>
        <v>成交单价</v>
      </c>
      <c r="Q41" s="3298"/>
      <c r="R41" s="3260">
        <f>E41</f>
        <v>0</v>
      </c>
      <c r="S41" s="3260"/>
      <c r="T41" s="3260">
        <f>G41</f>
        <v>0</v>
      </c>
      <c r="U41" s="3260"/>
      <c r="V41" s="3260">
        <f>I41</f>
        <v>0</v>
      </c>
      <c r="W41" s="3260"/>
      <c r="X41" s="757"/>
      <c r="Y41" s="779"/>
      <c r="Z41" s="757"/>
      <c r="AA41" s="757"/>
      <c r="AB41" s="757"/>
      <c r="AC41" s="757"/>
    </row>
    <row r="42" spans="1:29" ht="15.75" thickBot="1">
      <c r="A42" s="484" t="s">
        <v>2670</v>
      </c>
      <c r="B42" s="681"/>
      <c r="C42" s="488" t="e">
        <f>R43</f>
        <v>#DIV/0!</v>
      </c>
      <c r="D42" s="487"/>
      <c r="E42" s="488" t="e">
        <f>R42</f>
        <v>#DIV/0!</v>
      </c>
      <c r="F42" s="489"/>
      <c r="G42" s="486" t="e">
        <f>T42</f>
        <v>#DIV/0!</v>
      </c>
      <c r="H42" s="487"/>
      <c r="I42" s="488" t="e">
        <f>V42</f>
        <v>#DIV/0!</v>
      </c>
      <c r="J42" s="487"/>
      <c r="K42" s="782"/>
      <c r="L42" s="1144"/>
      <c r="M42" s="1132"/>
      <c r="N42" s="1132"/>
      <c r="O42" s="1145"/>
      <c r="P42" s="3298" t="str">
        <f>A42</f>
        <v>比较价值（元/平方米）</v>
      </c>
      <c r="Q42" s="3298"/>
      <c r="R42" s="3331" t="e">
        <f>ROUND(PRODUCT(R41,AA7:AA40),0)</f>
        <v>#DIV/0!</v>
      </c>
      <c r="S42" s="3331"/>
      <c r="T42" s="3331" t="e">
        <f>ROUND(PRODUCT(T41,AB7:AB40),0)</f>
        <v>#DIV/0!</v>
      </c>
      <c r="U42" s="3331"/>
      <c r="V42" s="3331" t="e">
        <f>ROUND(PRODUCT(V41,AC7:AC40),0)</f>
        <v>#DIV/0!</v>
      </c>
      <c r="W42" s="3331"/>
      <c r="X42" s="757"/>
      <c r="Y42" s="757"/>
      <c r="Z42" s="757"/>
      <c r="AA42" s="757"/>
      <c r="AB42" s="757"/>
      <c r="AC42" s="757"/>
    </row>
    <row r="43" spans="1:29" ht="15.75" thickBot="1">
      <c r="A43" s="490" t="s">
        <v>2671</v>
      </c>
      <c r="B43" s="491"/>
      <c r="C43" s="492" t="e">
        <f>R43</f>
        <v>#DIV/0!</v>
      </c>
      <c r="D43" s="492"/>
      <c r="E43" s="492"/>
      <c r="F43" s="492"/>
      <c r="G43" s="492"/>
      <c r="H43" s="492"/>
      <c r="I43" s="492"/>
      <c r="J43" s="492"/>
      <c r="K43" s="783"/>
      <c r="L43" s="1144"/>
      <c r="M43" s="1132"/>
      <c r="N43" s="1132"/>
      <c r="O43" s="1145"/>
      <c r="P43" s="3300" t="str">
        <f>A43</f>
        <v>估价对象XX用房的比较价值（楼面单价，元/平方米）</v>
      </c>
      <c r="Q43" s="3301"/>
      <c r="R43" s="3332" t="e">
        <f>ROUND(AVERAGE(R42:V42),0)</f>
        <v>#DIV/0!</v>
      </c>
      <c r="S43" s="3332"/>
      <c r="T43" s="3332"/>
      <c r="U43" s="3332"/>
      <c r="V43" s="3332"/>
      <c r="W43" s="3332"/>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2756</v>
      </c>
      <c r="B50" s="683" t="s">
        <v>2757</v>
      </c>
      <c r="C50" s="2707" t="s">
        <v>2758</v>
      </c>
      <c r="D50" s="2708" t="s">
        <v>2759</v>
      </c>
      <c r="E50" s="684" t="s">
        <v>2760</v>
      </c>
      <c r="F50" s="685" t="s">
        <v>2761</v>
      </c>
      <c r="G50" s="3276" t="s">
        <v>2762</v>
      </c>
      <c r="H50" s="3333"/>
      <c r="I50" s="1814" t="s">
        <v>2799</v>
      </c>
      <c r="J50" s="1814">
        <f>项目基本情况!F35</f>
        <v>0</v>
      </c>
      <c r="K50" s="2710" t="s">
        <v>2764</v>
      </c>
      <c r="L50" s="1107"/>
      <c r="M50" s="1145"/>
      <c r="N50" s="1145"/>
      <c r="O50" s="1145"/>
    </row>
    <row r="51" spans="1:17" s="690" customFormat="1">
      <c r="A51" s="686" t="s">
        <v>2765</v>
      </c>
      <c r="B51" s="687" t="e">
        <f>C43</f>
        <v>#DIV/0!</v>
      </c>
      <c r="C51" s="688">
        <v>1</v>
      </c>
      <c r="D51" s="1164">
        <v>1</v>
      </c>
      <c r="E51" s="688">
        <f>'数据-汇总表'!E8+'数据-汇总表'!E9</f>
        <v>1</v>
      </c>
      <c r="F51" s="689" t="e">
        <f t="shared" ref="F51:F60" si="15">ROUND(B51*E51/10000,0)</f>
        <v>#DIV/0!</v>
      </c>
      <c r="G51" s="3275"/>
      <c r="H51" s="3298"/>
      <c r="I51" s="943">
        <v>1</v>
      </c>
      <c r="J51" s="943">
        <v>1</v>
      </c>
      <c r="K51" s="1146"/>
      <c r="L51" s="942"/>
      <c r="M51" s="942"/>
      <c r="N51" s="942"/>
      <c r="O51" s="942"/>
    </row>
    <row r="52" spans="1:17" s="690" customFormat="1">
      <c r="A52" s="691" t="s">
        <v>2766</v>
      </c>
      <c r="B52" s="262" t="e">
        <f>ROUND($C$43*C52*D52,0)</f>
        <v>#DIV/0!</v>
      </c>
      <c r="C52" s="200">
        <f t="shared" ref="C52:C60" si="16">IF($C$50="北京市系数",I52,J52)</f>
        <v>0</v>
      </c>
      <c r="D52" s="1165">
        <v>0.25</v>
      </c>
      <c r="E52" s="692"/>
      <c r="F52" s="689" t="e">
        <f t="shared" si="15"/>
        <v>#DIV/0!</v>
      </c>
      <c r="G52" s="3334" t="s">
        <v>2767</v>
      </c>
      <c r="H52" s="1105">
        <f>项目基本情况!B37</f>
        <v>0</v>
      </c>
      <c r="I52" s="943">
        <f>SUMIF(修正!A45:A56,H52,修正!B45:B56)</f>
        <v>0</v>
      </c>
      <c r="J52" s="944"/>
      <c r="K52" s="1145"/>
      <c r="L52" s="942"/>
      <c r="M52" s="942"/>
      <c r="N52" s="942"/>
      <c r="O52" s="942"/>
    </row>
    <row r="53" spans="1:17" s="690" customFormat="1">
      <c r="A53" s="691" t="s">
        <v>2768</v>
      </c>
      <c r="B53" s="262" t="e">
        <f t="shared" ref="B53:B60" si="17">ROUND($C$43*C53*D53,0)</f>
        <v>#DIV/0!</v>
      </c>
      <c r="C53" s="200">
        <f t="shared" si="16"/>
        <v>0</v>
      </c>
      <c r="D53" s="1165">
        <v>0.25</v>
      </c>
      <c r="E53" s="692"/>
      <c r="F53" s="689" t="e">
        <f t="shared" si="15"/>
        <v>#DIV/0!</v>
      </c>
      <c r="G53" s="3334"/>
      <c r="H53" s="1105">
        <f>项目基本情况!B37</f>
        <v>0</v>
      </c>
      <c r="I53" s="943">
        <f>SUMIF(修正!A45:A56,H53,修正!C45:C56)</f>
        <v>0</v>
      </c>
      <c r="J53" s="944"/>
      <c r="K53" s="1146"/>
      <c r="L53" s="942"/>
      <c r="M53" s="942"/>
      <c r="N53" s="942"/>
      <c r="O53" s="942"/>
    </row>
    <row r="54" spans="1:17" s="690" customFormat="1">
      <c r="A54" s="691" t="s">
        <v>2769</v>
      </c>
      <c r="B54" s="262" t="e">
        <f t="shared" si="17"/>
        <v>#DIV/0!</v>
      </c>
      <c r="C54" s="200">
        <f t="shared" si="16"/>
        <v>0</v>
      </c>
      <c r="D54" s="1165">
        <v>0.25</v>
      </c>
      <c r="E54" s="692"/>
      <c r="F54" s="689" t="e">
        <f t="shared" si="15"/>
        <v>#DIV/0!</v>
      </c>
      <c r="G54" s="3334"/>
      <c r="H54" s="1105">
        <f>项目基本情况!B37</f>
        <v>0</v>
      </c>
      <c r="I54" s="943">
        <f>SUMIF(修正!A45:A56,H54,修正!D45:D56)</f>
        <v>0</v>
      </c>
      <c r="J54" s="944"/>
      <c r="K54" s="1145"/>
      <c r="L54" s="942"/>
      <c r="M54" s="942"/>
      <c r="N54" s="942"/>
      <c r="O54" s="942"/>
    </row>
    <row r="55" spans="1:17" s="690" customFormat="1">
      <c r="A55" s="691" t="s">
        <v>2770</v>
      </c>
      <c r="B55" s="262" t="e">
        <f t="shared" si="17"/>
        <v>#DIV/0!</v>
      </c>
      <c r="C55" s="200">
        <f t="shared" si="16"/>
        <v>0</v>
      </c>
      <c r="D55" s="1165">
        <v>0.25</v>
      </c>
      <c r="E55" s="692"/>
      <c r="F55" s="689" t="e">
        <f t="shared" si="15"/>
        <v>#DIV/0!</v>
      </c>
      <c r="G55" s="3334"/>
      <c r="H55" s="1105">
        <f>项目基本情况!B37</f>
        <v>0</v>
      </c>
      <c r="I55" s="943">
        <f>SUMIF(修正!A45:A56,H55,修正!E45:E56)</f>
        <v>0</v>
      </c>
      <c r="J55" s="944"/>
      <c r="K55" s="1146"/>
      <c r="L55" s="942"/>
      <c r="M55" s="942"/>
      <c r="N55" s="942"/>
      <c r="O55" s="942"/>
    </row>
    <row r="56" spans="1:17" s="690" customFormat="1">
      <c r="A56" s="691" t="s">
        <v>2771</v>
      </c>
      <c r="B56" s="262" t="e">
        <f t="shared" si="17"/>
        <v>#DIV/0!</v>
      </c>
      <c r="C56" s="200">
        <f t="shared" si="16"/>
        <v>0</v>
      </c>
      <c r="D56" s="1165">
        <v>0.25</v>
      </c>
      <c r="E56" s="261">
        <f>'数据-汇总表'!E11</f>
        <v>0</v>
      </c>
      <c r="F56" s="689" t="e">
        <f t="shared" si="15"/>
        <v>#DIV/0!</v>
      </c>
      <c r="G56" s="2711" t="s">
        <v>2772</v>
      </c>
      <c r="H56" s="1105">
        <f>项目基本情况!C37</f>
        <v>0</v>
      </c>
      <c r="I56" s="943">
        <f>SUMIF(修正!A45:A56,H56,修正!F45:F56)</f>
        <v>0</v>
      </c>
      <c r="J56" s="944"/>
      <c r="K56" s="1145"/>
      <c r="L56" s="942"/>
      <c r="M56" s="942"/>
      <c r="N56" s="942"/>
      <c r="O56" s="942"/>
    </row>
    <row r="57" spans="1:17" s="690" customFormat="1">
      <c r="A57" s="691" t="s">
        <v>2773</v>
      </c>
      <c r="B57" s="262" t="e">
        <f t="shared" si="17"/>
        <v>#DIV/0!</v>
      </c>
      <c r="C57" s="200">
        <f t="shared" si="16"/>
        <v>0</v>
      </c>
      <c r="D57" s="1165">
        <v>0.25</v>
      </c>
      <c r="E57" s="261">
        <f>'数据-汇总表'!E12</f>
        <v>0</v>
      </c>
      <c r="F57" s="689" t="e">
        <f t="shared" si="15"/>
        <v>#DIV/0!</v>
      </c>
      <c r="G57" s="1110" t="s">
        <v>2774</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2775</v>
      </c>
      <c r="B58" s="262" t="e">
        <f t="shared" si="17"/>
        <v>#DIV/0!</v>
      </c>
      <c r="C58" s="200">
        <f t="shared" si="16"/>
        <v>0.15</v>
      </c>
      <c r="D58" s="1165">
        <v>0.25</v>
      </c>
      <c r="E58" s="261">
        <f>'数据-汇总表'!E13</f>
        <v>0</v>
      </c>
      <c r="F58" s="689" t="e">
        <f t="shared" si="15"/>
        <v>#DIV/0!</v>
      </c>
      <c r="G58" s="1110" t="s">
        <v>2776</v>
      </c>
      <c r="H58" s="1105" t="str">
        <f>IF(G58="商业",项目基本情况!B37,IF(G58="办公",项目基本情况!C37,IF(G58="住宅",项目基本情况!D37,项目基本情况!E37)))</f>
        <v>八级</v>
      </c>
      <c r="I58" s="943">
        <f>SUMIF(修正!A45:A56,H58,修正!H45:H56)</f>
        <v>0.15</v>
      </c>
      <c r="J58" s="944"/>
      <c r="K58" s="1145"/>
      <c r="L58" s="942"/>
      <c r="M58" s="942"/>
      <c r="N58" s="942"/>
      <c r="O58" s="942"/>
    </row>
    <row r="59" spans="1:17" s="690" customFormat="1">
      <c r="A59" s="691" t="s">
        <v>2777</v>
      </c>
      <c r="B59" s="262" t="e">
        <f t="shared" si="17"/>
        <v>#DIV/0!</v>
      </c>
      <c r="C59" s="200">
        <f t="shared" si="16"/>
        <v>0</v>
      </c>
      <c r="D59" s="1165">
        <v>0.25</v>
      </c>
      <c r="E59" s="261">
        <f>'数据-汇总表'!E14</f>
        <v>0</v>
      </c>
      <c r="F59" s="689" t="e">
        <f t="shared" si="15"/>
        <v>#DIV/0!</v>
      </c>
      <c r="G59" s="2711" t="s">
        <v>2767</v>
      </c>
      <c r="H59" s="1105">
        <f>项目基本情况!B37</f>
        <v>0</v>
      </c>
      <c r="I59" s="943">
        <f>SUMIF(修正!A45:A56,H59,修正!H45:H56)</f>
        <v>0</v>
      </c>
      <c r="J59" s="944"/>
      <c r="K59" s="1146"/>
      <c r="L59" s="942"/>
      <c r="M59" s="942"/>
      <c r="N59" s="942"/>
      <c r="O59" s="942"/>
    </row>
    <row r="60" spans="1:17" s="690" customFormat="1" ht="15" thickBot="1">
      <c r="A60" s="691" t="s">
        <v>2778</v>
      </c>
      <c r="B60" s="262" t="e">
        <f t="shared" si="17"/>
        <v>#DIV/0!</v>
      </c>
      <c r="C60" s="200">
        <f t="shared" si="16"/>
        <v>0</v>
      </c>
      <c r="D60" s="1165">
        <v>0.25</v>
      </c>
      <c r="E60" s="261">
        <f>'数据-汇总表'!E15</f>
        <v>0</v>
      </c>
      <c r="F60" s="689" t="e">
        <f t="shared" si="15"/>
        <v>#DIV/0!</v>
      </c>
      <c r="G60" s="2712" t="s">
        <v>2772</v>
      </c>
      <c r="H60" s="1115">
        <f>项目基本情况!C37</f>
        <v>0</v>
      </c>
      <c r="I60" s="943">
        <f>SUMIF(修正!A45:A56,H60,修正!H45:H56)</f>
        <v>0</v>
      </c>
      <c r="J60" s="944"/>
      <c r="K60" s="1145"/>
      <c r="L60" s="942"/>
      <c r="M60" s="942"/>
      <c r="N60" s="942"/>
      <c r="O60" s="942"/>
    </row>
    <row r="61" spans="1:17" s="690" customFormat="1" ht="15" thickBot="1">
      <c r="A61" s="693" t="s">
        <v>2779</v>
      </c>
      <c r="B61" s="694" t="s">
        <v>28</v>
      </c>
      <c r="C61" s="694" t="s">
        <v>29</v>
      </c>
      <c r="D61" s="694" t="s">
        <v>1029</v>
      </c>
      <c r="E61" s="694">
        <f>IF(B41="楼面地价",SUM(E51:E60),'数据-汇总表'!D3)</f>
        <v>0.44</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2675</v>
      </c>
      <c r="B64" s="757"/>
      <c r="C64" s="762"/>
      <c r="D64" s="762"/>
      <c r="E64" s="762"/>
      <c r="F64" s="763"/>
      <c r="G64" s="763"/>
      <c r="H64" s="762"/>
      <c r="I64" s="762"/>
      <c r="J64" s="762"/>
      <c r="K64" s="764"/>
      <c r="L64" s="765"/>
      <c r="M64" s="762"/>
      <c r="N64" s="762"/>
      <c r="O64" s="1160"/>
      <c r="P64" s="501"/>
      <c r="Q64" s="502"/>
    </row>
    <row r="65" spans="1:17" s="506" customFormat="1" ht="15">
      <c r="A65" s="2713" t="s">
        <v>2780</v>
      </c>
      <c r="B65" s="1360"/>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5"/>
    </row>
    <row r="66" spans="1:17" s="117" customFormat="1" ht="30.75" customHeight="1">
      <c r="A66" s="2718" t="s">
        <v>2800</v>
      </c>
      <c r="B66" s="332" t="str">
        <f>"北京市平均增长率"&amp;TEXT(基准地价修正!P24,"0.00%")</f>
        <v>北京市平均增长率0.00%</v>
      </c>
      <c r="C66" s="601">
        <v>100</v>
      </c>
      <c r="D66" s="593"/>
      <c r="E66" s="593"/>
      <c r="F66" s="593"/>
      <c r="G66" s="593"/>
      <c r="H66" s="593"/>
      <c r="I66" s="593"/>
      <c r="J66" s="593"/>
      <c r="K66" s="593"/>
      <c r="L66" s="593"/>
      <c r="M66" s="1567"/>
      <c r="N66" s="1567"/>
      <c r="O66" s="1569"/>
      <c r="P66" s="502"/>
    </row>
    <row r="67" spans="1:17" s="117" customFormat="1" ht="15.75" thickBot="1">
      <c r="A67" s="513" t="s">
        <v>2586</v>
      </c>
      <c r="B67" s="514"/>
      <c r="C67" s="515"/>
      <c r="D67" s="516"/>
      <c r="E67" s="516"/>
      <c r="F67" s="516"/>
      <c r="G67" s="516"/>
      <c r="H67" s="516"/>
      <c r="I67" s="516"/>
      <c r="J67" s="516"/>
      <c r="K67" s="516"/>
      <c r="L67" s="516"/>
      <c r="M67" s="517"/>
      <c r="N67" s="517"/>
      <c r="O67" s="518"/>
      <c r="P67" s="502"/>
      <c r="Q67" s="502"/>
    </row>
    <row r="68" spans="1:17" s="117" customFormat="1" ht="15">
      <c r="A68" s="519" t="s">
        <v>2551</v>
      </c>
      <c r="B68" s="508"/>
      <c r="C68" s="520" t="s">
        <v>2653</v>
      </c>
      <c r="D68" s="521"/>
      <c r="E68" s="521"/>
      <c r="F68" s="521"/>
      <c r="G68" s="521"/>
      <c r="H68" s="521"/>
      <c r="I68" s="521"/>
      <c r="J68" s="521"/>
      <c r="K68" s="521"/>
      <c r="L68" s="522"/>
      <c r="M68" s="523"/>
      <c r="N68" s="1152"/>
      <c r="O68" s="1152"/>
      <c r="P68" s="524"/>
      <c r="Q68" s="502"/>
    </row>
    <row r="69" spans="1:17" s="117"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2589</v>
      </c>
      <c r="B70" s="526" t="s">
        <v>2555</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2558</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2559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2560</v>
      </c>
      <c r="B83" s="526" t="s">
        <v>2706</v>
      </c>
      <c r="C83" s="571" t="s">
        <v>2598</v>
      </c>
      <c r="D83" s="571" t="s">
        <v>2599</v>
      </c>
      <c r="E83" s="571" t="s">
        <v>2600</v>
      </c>
      <c r="F83" s="571" t="s">
        <v>2601</v>
      </c>
      <c r="G83" s="571" t="s">
        <v>2602</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2603</v>
      </c>
      <c r="C85" s="576" t="s">
        <v>2598</v>
      </c>
      <c r="D85" s="576" t="s">
        <v>2599</v>
      </c>
      <c r="E85" s="576" t="s">
        <v>2600</v>
      </c>
      <c r="F85" s="576" t="s">
        <v>2601</v>
      </c>
      <c r="G85" s="576" t="s">
        <v>2602</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7" customFormat="1" ht="15.75" thickTop="1">
      <c r="A87" s="577"/>
      <c r="B87" s="536" t="s">
        <v>2783</v>
      </c>
      <c r="C87" s="571" t="s">
        <v>2598</v>
      </c>
      <c r="D87" s="571" t="s">
        <v>2599</v>
      </c>
      <c r="E87" s="571" t="s">
        <v>2600</v>
      </c>
      <c r="F87" s="571" t="s">
        <v>2601</v>
      </c>
      <c r="G87" s="571" t="s">
        <v>2602</v>
      </c>
      <c r="H87" s="576"/>
      <c r="I87" s="576"/>
      <c r="J87" s="576"/>
      <c r="K87" s="576"/>
      <c r="L87" s="696"/>
      <c r="M87" s="620"/>
      <c r="N87" s="1152"/>
      <c r="O87" s="115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7" customFormat="1" ht="27.75" thickTop="1">
      <c r="A89" s="577"/>
      <c r="B89" s="536" t="s">
        <v>2784</v>
      </c>
      <c r="C89" s="571" t="s">
        <v>2598</v>
      </c>
      <c r="D89" s="571" t="s">
        <v>2599</v>
      </c>
      <c r="E89" s="571" t="s">
        <v>2600</v>
      </c>
      <c r="F89" s="571" t="s">
        <v>2601</v>
      </c>
      <c r="G89" s="571" t="s">
        <v>2602</v>
      </c>
      <c r="H89" s="576"/>
      <c r="I89" s="576"/>
      <c r="J89" s="576"/>
      <c r="K89" s="576"/>
      <c r="L89" s="576"/>
      <c r="M89" s="620"/>
      <c r="N89" s="1152"/>
      <c r="O89" s="115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2655</v>
      </c>
      <c r="C91" s="571" t="s">
        <v>2598</v>
      </c>
      <c r="D91" s="571" t="s">
        <v>2599</v>
      </c>
      <c r="E91" s="571" t="s">
        <v>2600</v>
      </c>
      <c r="F91" s="571" t="s">
        <v>2601</v>
      </c>
      <c r="G91" s="571" t="s">
        <v>2602</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2801</v>
      </c>
      <c r="C93" s="658" t="s">
        <v>2676</v>
      </c>
      <c r="D93" s="658" t="s">
        <v>2677</v>
      </c>
      <c r="E93" s="658" t="s">
        <v>2678</v>
      </c>
      <c r="F93" s="658" t="s">
        <v>2679</v>
      </c>
      <c r="G93" s="658" t="s">
        <v>2680</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2785</v>
      </c>
      <c r="D95" s="537" t="s">
        <v>2786</v>
      </c>
      <c r="E95" s="537" t="s">
        <v>2787</v>
      </c>
      <c r="F95" s="537" t="s">
        <v>2788</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2692</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2749</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2564</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2790</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2792</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2793</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1"/>
      <c r="L1" s="2720" t="s">
        <v>2804</v>
      </c>
      <c r="M1" s="1081">
        <f>SUMPRODUCT((区片价!B5:B9=I2)*(区片价!C3:F3=E2)*(区片价!C5:F9))</f>
        <v>0</v>
      </c>
      <c r="N1" s="1084">
        <f>SUMPRODUCT((因素修正幅度!B5:B9=I2)*(因素修正幅度!C3:F3=E2)*(因素修正幅度!C5:F9))</f>
        <v>0</v>
      </c>
      <c r="O1" s="2721"/>
      <c r="P1" s="2721"/>
      <c r="Q1" s="1371"/>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1"/>
      <c r="L2" s="2728" t="s">
        <v>2815</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3" t="s">
        <v>2817</v>
      </c>
      <c r="D3" s="2724" t="s">
        <v>2818</v>
      </c>
      <c r="E3" s="2729"/>
      <c r="F3" s="2730" t="s">
        <v>2819</v>
      </c>
      <c r="G3" s="914">
        <f>IF(F3="宗地容积率",'数据-汇总表'!I4,IF(F3="估价对象容积率",'数据-汇总表'!I6,'数据-汇总表'!I7))</f>
        <v>2.2599999999999998</v>
      </c>
      <c r="H3" s="198" t="s">
        <v>2820</v>
      </c>
      <c r="I3" s="945"/>
      <c r="J3" s="2727" t="s">
        <v>2821</v>
      </c>
      <c r="K3" s="1371"/>
      <c r="L3" s="2728" t="s">
        <v>2822</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51"/>
      <c r="B4" s="3352"/>
      <c r="C4" s="3352"/>
      <c r="D4" s="3353"/>
      <c r="E4" s="3353"/>
      <c r="F4" s="3353"/>
      <c r="G4" s="3353"/>
      <c r="H4" s="3353"/>
      <c r="I4" s="3353"/>
      <c r="J4" s="3354"/>
      <c r="K4" s="1371"/>
      <c r="L4" s="2728" t="s">
        <v>2823</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2824</v>
      </c>
      <c r="C5" s="915" t="e">
        <f>ROUND(IF(E2="商业",IF(F16="增加",C6*C7+C16,C6*C7-C16),IF(E2="住宅",IF(F16="增加",C6*C12+C16,C6*C12-C16),IF(F16="增加",C6+C16,C6-C16))),0)</f>
        <v>#DIV/0!</v>
      </c>
      <c r="D5" s="1787">
        <f>ROUND(IF(E2="商业",IF(F16="增加",C6+C16,C6-C16)),0)</f>
        <v>0</v>
      </c>
      <c r="E5" s="2733"/>
      <c r="F5" s="2733"/>
      <c r="G5" s="2734"/>
      <c r="H5" s="2734"/>
      <c r="I5" s="2734"/>
      <c r="J5" s="2735"/>
      <c r="K5" s="2736"/>
      <c r="L5" s="2728" t="s">
        <v>2825</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2826</v>
      </c>
      <c r="B6" s="2742" t="s">
        <v>2827</v>
      </c>
      <c r="C6" s="916">
        <f>SUMIF(L1:L12,G2,M1:M12)</f>
        <v>0</v>
      </c>
      <c r="D6" s="2743" t="s">
        <v>2828</v>
      </c>
      <c r="E6" s="2744"/>
      <c r="F6" s="2744"/>
      <c r="G6" s="2745"/>
      <c r="H6" s="2745"/>
      <c r="I6" s="2745"/>
      <c r="J6" s="2746"/>
      <c r="K6" s="1842"/>
      <c r="L6" s="2728" t="s">
        <v>2829</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37" t="str">
        <f>IF(E2="商业",IF(C8="不临58条商业街","",2),"")</f>
        <v/>
      </c>
      <c r="B7" s="2747" t="s">
        <v>2830</v>
      </c>
      <c r="C7" s="917" t="e">
        <f>IF(C8="不临58条商业街",1,ROUND(1+(1.6*E8+1.2*E9+0.8*E10+0.4*E11)*C9,4))</f>
        <v>#DIV/0!</v>
      </c>
      <c r="D7" s="2748" t="s">
        <v>2831</v>
      </c>
      <c r="E7" s="946"/>
      <c r="F7" s="2749"/>
      <c r="G7" s="2750"/>
      <c r="H7" s="2750"/>
      <c r="I7" s="2750"/>
      <c r="J7" s="2751"/>
      <c r="K7" s="1842"/>
      <c r="L7" s="2728" t="s">
        <v>2832</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2.2599999999999998</v>
      </c>
      <c r="AA7" s="1606"/>
      <c r="AB7" s="1606"/>
      <c r="AC7" s="1607"/>
      <c r="AD7" s="1608"/>
      <c r="AE7" s="1608"/>
      <c r="AF7" s="1608"/>
      <c r="AG7" s="1608"/>
      <c r="AH7" s="1608"/>
      <c r="AI7" s="1608"/>
      <c r="AJ7" s="1609"/>
    </row>
    <row r="8" spans="1:36" ht="15">
      <c r="A8" s="3338"/>
      <c r="B8" s="198" t="s">
        <v>2835</v>
      </c>
      <c r="C8" s="2752"/>
      <c r="D8" s="918" t="s">
        <v>139</v>
      </c>
      <c r="E8" s="919" t="e">
        <f>ROUND(C11/E7,4)</f>
        <v>#DIV/0!</v>
      </c>
      <c r="F8" s="2753" t="s">
        <v>2836</v>
      </c>
      <c r="G8" s="2754"/>
      <c r="H8" s="2754"/>
      <c r="I8" s="2754"/>
      <c r="J8" s="2755"/>
      <c r="K8" s="1371"/>
      <c r="L8" s="2728" t="s">
        <v>2837</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348" t="s">
        <v>2838</v>
      </c>
      <c r="X8" s="3349"/>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38"/>
      <c r="B9" s="198" t="s">
        <v>2851</v>
      </c>
      <c r="C9" s="920">
        <f>SUMIF(修正!C59:C119,C8,修正!E59:E119)</f>
        <v>0</v>
      </c>
      <c r="D9" s="200" t="s">
        <v>140</v>
      </c>
      <c r="E9" s="200" t="e">
        <f>ROUND(C11/E7,4)</f>
        <v>#DIV/0!</v>
      </c>
      <c r="F9" s="2753" t="s">
        <v>2852</v>
      </c>
      <c r="G9" s="2754"/>
      <c r="H9" s="2754"/>
      <c r="I9" s="2754"/>
      <c r="J9" s="2755"/>
      <c r="K9" s="1371"/>
      <c r="L9" s="2728" t="s">
        <v>2853</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350"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38"/>
      <c r="B10" s="198" t="s">
        <v>2856</v>
      </c>
      <c r="C10" s="200">
        <f>SUMIF(修正!C59:C119,C8,修正!F59:F119)</f>
        <v>0</v>
      </c>
      <c r="D10" s="200" t="s">
        <v>141</v>
      </c>
      <c r="E10" s="200" t="e">
        <f>ROUND(C11/E7,4)</f>
        <v>#DIV/0!</v>
      </c>
      <c r="F10" s="2753" t="s">
        <v>2857</v>
      </c>
      <c r="G10" s="2754"/>
      <c r="H10" s="2754"/>
      <c r="I10" s="2754"/>
      <c r="J10" s="2755"/>
      <c r="K10" s="1371"/>
      <c r="L10" s="2728" t="s">
        <v>2858</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35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38"/>
      <c r="B11" s="2756" t="s">
        <v>2859</v>
      </c>
      <c r="C11" s="921">
        <f>C10/4</f>
        <v>0</v>
      </c>
      <c r="D11" s="921" t="s">
        <v>142</v>
      </c>
      <c r="E11" s="921" t="e">
        <f>ROUND(C11/E7,4)</f>
        <v>#DIV/0!</v>
      </c>
      <c r="F11" s="2757" t="s">
        <v>2860</v>
      </c>
      <c r="G11" s="2758"/>
      <c r="H11" s="2758"/>
      <c r="I11" s="2758"/>
      <c r="J11" s="2759"/>
      <c r="K11" s="1371"/>
      <c r="L11" s="2728" t="s">
        <v>2861</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350" t="s">
        <v>2862</v>
      </c>
      <c r="X11" s="1614" t="s">
        <v>2863</v>
      </c>
      <c r="Y11" s="1615">
        <f>$G$3</f>
        <v>2.2599999999999998</v>
      </c>
      <c r="Z11" s="1615">
        <f t="shared" ref="Z11:AJ11" si="3">$G$3</f>
        <v>2.2599999999999998</v>
      </c>
      <c r="AA11" s="1615">
        <f t="shared" si="3"/>
        <v>2.2599999999999998</v>
      </c>
      <c r="AB11" s="1615">
        <f t="shared" si="3"/>
        <v>2.2599999999999998</v>
      </c>
      <c r="AC11" s="1615">
        <f t="shared" si="3"/>
        <v>2.2599999999999998</v>
      </c>
      <c r="AD11" s="1615">
        <f t="shared" si="3"/>
        <v>2.2599999999999998</v>
      </c>
      <c r="AE11" s="1615">
        <f t="shared" si="3"/>
        <v>2.2599999999999998</v>
      </c>
      <c r="AF11" s="1615">
        <f t="shared" si="3"/>
        <v>2.2599999999999998</v>
      </c>
      <c r="AG11" s="1615">
        <f t="shared" si="3"/>
        <v>2.2599999999999998</v>
      </c>
      <c r="AH11" s="1615">
        <f t="shared" si="3"/>
        <v>2.2599999999999998</v>
      </c>
      <c r="AI11" s="1615">
        <f t="shared" si="3"/>
        <v>2.2599999999999998</v>
      </c>
      <c r="AJ11" s="1615">
        <f t="shared" si="3"/>
        <v>2.2599999999999998</v>
      </c>
    </row>
    <row r="12" spans="1:36" ht="25.5" thickBot="1">
      <c r="A12" s="3337" t="s">
        <v>2864</v>
      </c>
      <c r="B12" s="2760" t="s">
        <v>2865</v>
      </c>
      <c r="C12" s="917">
        <f>ROUND(C15*D15*E15*F15*G15*H15*I15*J15,4)</f>
        <v>1</v>
      </c>
      <c r="D12" s="2761" t="s">
        <v>2866</v>
      </c>
      <c r="E12" s="2762"/>
      <c r="F12" s="2762"/>
      <c r="G12" s="2763"/>
      <c r="H12" s="2763"/>
      <c r="I12" s="2763"/>
      <c r="J12" s="2764"/>
      <c r="K12" s="1371"/>
      <c r="L12" s="2765" t="s">
        <v>2867</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350"/>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55"/>
      <c r="B13" s="2766" t="s">
        <v>2869</v>
      </c>
      <c r="C13" s="2767" t="s">
        <v>2870</v>
      </c>
      <c r="D13" s="1808" t="s">
        <v>2871</v>
      </c>
      <c r="E13" s="1808" t="s">
        <v>2872</v>
      </c>
      <c r="F13" s="30" t="s">
        <v>2873</v>
      </c>
      <c r="G13" s="2768" t="s">
        <v>2874</v>
      </c>
      <c r="H13" s="2768" t="s">
        <v>2874</v>
      </c>
      <c r="I13" s="2768" t="s">
        <v>2874</v>
      </c>
      <c r="J13" s="2769" t="s">
        <v>2874</v>
      </c>
      <c r="K13" s="1371"/>
      <c r="L13" s="1371"/>
      <c r="M13" s="1371"/>
      <c r="N13" s="1371"/>
      <c r="O13" s="1371"/>
      <c r="P13" s="1371"/>
      <c r="Q13" s="1371"/>
      <c r="R13" s="1602">
        <v>12</v>
      </c>
      <c r="S13" s="1603"/>
      <c r="T13" s="1602" t="e">
        <f t="shared" si="0"/>
        <v>#DIV/0!</v>
      </c>
      <c r="U13" s="1603"/>
      <c r="V13" s="1602" t="e">
        <f t="shared" si="1"/>
        <v>#DIV/0!</v>
      </c>
      <c r="W13" s="3350"/>
      <c r="X13" s="1616"/>
      <c r="Y13" s="1613">
        <f>(-0.163*(Y12^2)-0.59*Y12+7617)*(10^(-4))/Y11</f>
        <v>0.33703539823008855</v>
      </c>
      <c r="Z13" s="1613">
        <f t="shared" ref="Z13:AJ13" si="5">(-0.163*(Z12^2)-0.59*Z12+7617)*(10^(-4))/Z11</f>
        <v>0.33703539823008855</v>
      </c>
      <c r="AA13" s="1613">
        <f t="shared" si="5"/>
        <v>0.33703539823008855</v>
      </c>
      <c r="AB13" s="1613">
        <f t="shared" si="5"/>
        <v>0.33703539823008855</v>
      </c>
      <c r="AC13" s="1613">
        <f t="shared" si="5"/>
        <v>0.33703539823008855</v>
      </c>
      <c r="AD13" s="1613">
        <f t="shared" si="5"/>
        <v>0.33703539823008855</v>
      </c>
      <c r="AE13" s="1613">
        <f t="shared" si="5"/>
        <v>0.33703539823008855</v>
      </c>
      <c r="AF13" s="1613">
        <f t="shared" si="5"/>
        <v>0.33703539823008855</v>
      </c>
      <c r="AG13" s="1613">
        <f t="shared" si="5"/>
        <v>0.33703539823008855</v>
      </c>
      <c r="AH13" s="1613">
        <f t="shared" si="5"/>
        <v>0.33703539823008855</v>
      </c>
      <c r="AI13" s="1613">
        <f t="shared" si="5"/>
        <v>0.33703539823008855</v>
      </c>
      <c r="AJ13" s="1613">
        <f t="shared" si="5"/>
        <v>0.33703539823008855</v>
      </c>
    </row>
    <row r="14" spans="1:36" ht="15">
      <c r="A14" s="3355"/>
      <c r="B14" s="2770"/>
      <c r="C14" s="2771"/>
      <c r="D14" s="2772"/>
      <c r="E14" s="2772"/>
      <c r="F14" s="2773"/>
      <c r="G14" s="2774" t="s">
        <v>2875</v>
      </c>
      <c r="H14" s="2775"/>
      <c r="I14" s="2776"/>
      <c r="J14" s="2777"/>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56"/>
      <c r="B15" s="2778" t="s">
        <v>2876</v>
      </c>
      <c r="C15" s="229">
        <f>IF(C14="有",1.1,1)</f>
        <v>1</v>
      </c>
      <c r="D15" s="229">
        <f>IF(D14="有",1.1,1)</f>
        <v>1</v>
      </c>
      <c r="E15" s="229">
        <f>IF(E14="有",1.1,1)</f>
        <v>1</v>
      </c>
      <c r="F15" s="229">
        <f>IF(F14="500米范围内",1.2,IF(F14="500-1000米",1.1,1))</f>
        <v>1</v>
      </c>
      <c r="G15" s="947">
        <v>1</v>
      </c>
      <c r="H15" s="947">
        <v>1</v>
      </c>
      <c r="I15" s="947">
        <v>1</v>
      </c>
      <c r="J15" s="948">
        <v>1</v>
      </c>
      <c r="K15" s="1371"/>
      <c r="L15" s="2779" t="s">
        <v>2812</v>
      </c>
      <c r="M15" s="918" t="s">
        <v>2877</v>
      </c>
      <c r="N15" s="918" t="s">
        <v>2878</v>
      </c>
      <c r="O15" s="918" t="s">
        <v>2879</v>
      </c>
      <c r="P15" s="2780" t="s">
        <v>2880</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37" t="s">
        <v>2881</v>
      </c>
      <c r="B16" s="2747" t="s">
        <v>2882</v>
      </c>
      <c r="C16" s="1801" t="e">
        <f>ROUND(SUM(G17:J17)/C17,0)</f>
        <v>#DIV/0!</v>
      </c>
      <c r="D16" s="2781" t="s">
        <v>2883</v>
      </c>
      <c r="E16" s="2782"/>
      <c r="F16" s="2783"/>
      <c r="G16" s="2784"/>
      <c r="H16" s="2784"/>
      <c r="I16" s="2784"/>
      <c r="J16" s="2785"/>
      <c r="K16" s="1371"/>
      <c r="L16" s="2786" t="s">
        <v>2884</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38"/>
      <c r="B17" s="2787" t="s">
        <v>2885</v>
      </c>
      <c r="C17" s="922">
        <f>SUMPRODUCT((修正!A2:A5=E2)*(修正!B1:M1=G2)*(修正!B2:M5))</f>
        <v>0</v>
      </c>
      <c r="D17" s="2788"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2888</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2889</v>
      </c>
      <c r="C18" s="924">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2890</v>
      </c>
      <c r="C19" s="925" t="e">
        <f>ROUND(IF(H19="按公示增长率计算",SUMPRODUCT((地价!A3:A23=YEAR(G19)&amp;"-"&amp;ROUNDUP(MONTH(G19)/3,0))*(地价!X2:AB2=E2)*(地价!X3:AB23)),IF(H19="地价指数",M20/M19,(1+I19)^O19)),4)</f>
        <v>#DIV/0!</v>
      </c>
      <c r="D19" s="2799" t="s">
        <v>2891</v>
      </c>
      <c r="E19" s="926">
        <v>41640</v>
      </c>
      <c r="F19" s="2799" t="s">
        <v>2892</v>
      </c>
      <c r="G19" s="927">
        <f>'数据-取费表'!B2</f>
        <v>43397</v>
      </c>
      <c r="H19" s="2800" t="s">
        <v>2893</v>
      </c>
      <c r="I19" s="928" t="str">
        <f>IF(H19="季度增幅（自定义）",SUMIF(N21:N24,E2,O21:O24),"")</f>
        <v/>
      </c>
      <c r="J19" s="2797"/>
      <c r="K19" s="1378"/>
      <c r="L19" s="2801" t="s">
        <v>2894</v>
      </c>
      <c r="M19" s="1734">
        <f>ROUND(SUMIF(地价!B2:F2,E2,地价!B23:F23),0)</f>
        <v>0</v>
      </c>
      <c r="N19" s="2802" t="s">
        <v>2895</v>
      </c>
      <c r="O19" s="929">
        <f>ROUNDDOWN(DATEDIF(E19,G19,"M")/3,0)</f>
        <v>19</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2896</v>
      </c>
      <c r="C20" s="930" t="e">
        <f>ROUND(POWER(1+G20,J20-I20)*(POWER(1+G20,I20)-1)/(POWER(1+G20,J20)-1),4)</f>
        <v>#DIV/0!</v>
      </c>
      <c r="D20" s="2808" t="s">
        <v>2897</v>
      </c>
      <c r="E20" s="1768">
        <f ca="1">存贷款利率!D4/100</f>
        <v>4.3499999999999997E-2</v>
      </c>
      <c r="F20" s="2808" t="s">
        <v>2888</v>
      </c>
      <c r="G20" s="935">
        <f>SUMIF(M15:P15,E2,M17:P17)</f>
        <v>0</v>
      </c>
      <c r="H20" s="2808" t="s">
        <v>2898</v>
      </c>
      <c r="I20" s="936" t="e">
        <f>SUMIF('数据-取费表'!C6:C15,E2,'数据-取费表'!F6:F15)/COUNTIF('数据-取费表'!C6:C15,E2)</f>
        <v>#DIV/0!</v>
      </c>
      <c r="J20" s="937">
        <f>IF(E2="住宅",70,IF(E2="商业",40,50))</f>
        <v>50</v>
      </c>
      <c r="K20" s="1378"/>
      <c r="L20" s="2809" t="s">
        <v>2899</v>
      </c>
      <c r="M20" s="1735">
        <f>ROUND(SUMPRODUCT((地价!A4:A23=YEAR(G19)&amp;"-"&amp;ROUNDUP(MONTH(G19)/3,0))*(地价!B2:F2=E2)*(地价!B4:F23)),0)</f>
        <v>0</v>
      </c>
      <c r="N20" s="2810" t="s">
        <v>2900</v>
      </c>
      <c r="O20" s="2811" t="s">
        <v>2901</v>
      </c>
      <c r="P20" s="2812" t="s">
        <v>2902</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2903</v>
      </c>
      <c r="C21" s="938">
        <f>IF(B21="容积率修正",IF(G3&lt;=10,D22,J22),C23)</f>
        <v>0</v>
      </c>
      <c r="D21" s="2815"/>
      <c r="E21" s="2815"/>
      <c r="F21" s="2815"/>
      <c r="G21" s="2815"/>
      <c r="H21" s="2815"/>
      <c r="I21" s="2815"/>
      <c r="J21" s="2816"/>
      <c r="K21" s="1378"/>
      <c r="N21" s="2817" t="s">
        <v>2904</v>
      </c>
      <c r="O21" s="1561"/>
      <c r="P21" s="1562">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40" customFormat="1" ht="14.25">
      <c r="A22" s="2666" t="s">
        <v>2905</v>
      </c>
      <c r="B22" s="2818" t="s">
        <v>2906</v>
      </c>
      <c r="C22" s="1810" t="s">
        <v>2907</v>
      </c>
      <c r="D22" s="1810">
        <f>IF(E22=G22,F22,IF(G3&lt;=10,ROUND(F22+(H22-F22)*(G3-E22)/(G22-E22),4),"——"))</f>
        <v>0</v>
      </c>
      <c r="E22" s="914">
        <f>ROUNDDOWN(G3,1)</f>
        <v>2.2000000000000002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2.3000000000000003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7" t="s">
        <v>2908</v>
      </c>
      <c r="O22" s="1561"/>
      <c r="P22" s="1562">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7.75" thickBot="1">
      <c r="A23" s="2666" t="s">
        <v>2909</v>
      </c>
      <c r="B23" s="2819" t="s">
        <v>2910</v>
      </c>
      <c r="C23" s="1014">
        <f>ROUND(IF(G3&gt;1,IF(I3&lt;7,SUMPRODUCT((B93:B98=I3)*(C92:N92=G2)*(C93:N98)),SUMIF(C92:N92,G2,C100:N100)),IF(I3&lt;7,SUMPRODUCT((B102:B107=I3)*(C92:N92=G2)*(C102:N107)),SUMIF(C92:N92,G2,C109:N109))),4)</f>
        <v>0</v>
      </c>
      <c r="D23" s="2775"/>
      <c r="E23" s="2775"/>
      <c r="F23" s="2820"/>
      <c r="G23" s="2821"/>
      <c r="H23" s="2822"/>
      <c r="I23" s="2823"/>
      <c r="J23" s="2824"/>
      <c r="K23" s="1371"/>
      <c r="N23" s="2817" t="s">
        <v>2911</v>
      </c>
      <c r="O23" s="1561"/>
      <c r="P23" s="1562">
        <f>SUMPRODUCT((地价!A3:A23=YEAR(G19)&amp;"-"&amp;ROUNDUP(MONTH(G19)/3,0))*(地价!AD2:AH2=N23)*(地价!AD3:AH23))</f>
        <v>0</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2912</v>
      </c>
      <c r="C24" s="925">
        <f>SUMIF(A45:A88,E2,B45:B88)</f>
        <v>0</v>
      </c>
      <c r="D24" s="2795"/>
      <c r="E24" s="2825"/>
      <c r="F24" s="2825"/>
      <c r="G24" s="2825"/>
      <c r="H24" s="2825"/>
      <c r="I24" s="2825"/>
      <c r="J24" s="2826"/>
      <c r="K24" s="1378"/>
      <c r="N24" s="2827" t="s">
        <v>2913</v>
      </c>
      <c r="O24" s="1563"/>
      <c r="P24" s="1564">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2914</v>
      </c>
      <c r="C25" s="931"/>
      <c r="D25" s="2750"/>
      <c r="E25" s="2750"/>
      <c r="F25" s="2829"/>
      <c r="G25" s="2750"/>
      <c r="H25" s="2750"/>
      <c r="I25" s="2750"/>
      <c r="J25" s="2751"/>
      <c r="K25" s="1371"/>
      <c r="N25" s="2830" t="s">
        <v>2915</v>
      </c>
      <c r="O25" s="1565"/>
      <c r="P25" s="1564">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5">
      <c r="A26" s="2831"/>
      <c r="B26" s="2818" t="s">
        <v>2916</v>
      </c>
      <c r="C26" s="206"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2917</v>
      </c>
      <c r="C27" s="932"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2918</v>
      </c>
      <c r="C28" s="2842" t="s">
        <v>2919</v>
      </c>
      <c r="D28" s="2842" t="s">
        <v>2920</v>
      </c>
      <c r="E28" s="2843" t="s">
        <v>2921</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2922</v>
      </c>
      <c r="C29" s="206" t="e">
        <f>ROUND(C5*C18*C19*C20*C21*C24,0)</f>
        <v>#DIV/0!</v>
      </c>
      <c r="D29" s="2847"/>
      <c r="E29" s="943" t="e">
        <f>ROUND(C29*D29/10000,0)</f>
        <v>#DIV/0!</v>
      </c>
      <c r="F29" s="2848" t="s">
        <v>2923</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2924</v>
      </c>
      <c r="C30" s="229" t="e">
        <f>ROUND(IF(E2="工业",C29*M39,C29*M38),0)</f>
        <v>#DIV/0!</v>
      </c>
      <c r="D30" s="2853"/>
      <c r="E30" s="943" t="e">
        <f>ROUND(C30*D30/10000,0)</f>
        <v>#DIV/0!</v>
      </c>
      <c r="F30" s="2854" t="s">
        <v>2925</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499" t="s">
        <v>2919</v>
      </c>
      <c r="D32" s="496" t="s">
        <v>2920</v>
      </c>
      <c r="E32" s="496" t="s">
        <v>2921</v>
      </c>
      <c r="F32" s="388" t="s">
        <v>2929</v>
      </c>
      <c r="G32" s="2862" t="s">
        <v>2919</v>
      </c>
      <c r="H32" s="2862" t="s">
        <v>2920</v>
      </c>
      <c r="I32" s="2862"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345" t="s">
        <v>2930</v>
      </c>
      <c r="B33" s="2863" t="s">
        <v>2931</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46"/>
      <c r="B34" s="2767" t="s">
        <v>2932</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46"/>
      <c r="B35" s="2767" t="s">
        <v>2933</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347"/>
      <c r="B36" s="2767" t="s">
        <v>2934</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2935</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1"/>
      <c r="L37" s="2866" t="s">
        <v>2936</v>
      </c>
      <c r="M37" s="2867"/>
      <c r="N37" s="1371"/>
      <c r="O37" s="1371"/>
      <c r="P37" s="1371"/>
      <c r="Q37" s="1371"/>
      <c r="R37" s="1371"/>
      <c r="S37" s="1371"/>
      <c r="T37" s="1371"/>
      <c r="U37" s="1371"/>
      <c r="V37" s="1371"/>
      <c r="W37" s="1371"/>
      <c r="X37" s="1371"/>
      <c r="Y37" s="1371"/>
      <c r="Z37" s="1372"/>
    </row>
    <row r="38" spans="1:37">
      <c r="A38" s="2865"/>
      <c r="B38" s="2767" t="s">
        <v>2937</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1"/>
      <c r="L38" s="1887" t="s">
        <v>2938</v>
      </c>
      <c r="M38" s="2868">
        <v>0.25</v>
      </c>
      <c r="N38" s="1371"/>
      <c r="O38" s="1371"/>
      <c r="P38" s="1371"/>
      <c r="Q38" s="1371"/>
      <c r="R38" s="1371"/>
      <c r="S38" s="1371"/>
      <c r="T38" s="1371"/>
      <c r="U38" s="1371"/>
      <c r="V38" s="1371"/>
      <c r="W38" s="1371"/>
      <c r="X38" s="1371"/>
      <c r="Y38" s="1371"/>
      <c r="Z38" s="1372"/>
    </row>
    <row r="39" spans="1:37" ht="13.5" thickBot="1">
      <c r="A39" s="2851"/>
      <c r="B39" s="2869" t="s">
        <v>2939</v>
      </c>
      <c r="C39" s="229" t="e">
        <f>ROUND(C5*C19*C20*C24*F39,0)</f>
        <v>#DIV/0!</v>
      </c>
      <c r="D39" s="2853"/>
      <c r="E39" s="229" t="e">
        <f t="shared" si="7"/>
        <v>#DIV/0!</v>
      </c>
      <c r="F39" s="933">
        <f>SUMIF(修正!A45:A56,G2,修正!H45:H56)</f>
        <v>0</v>
      </c>
      <c r="G39" s="229" t="e">
        <f>ROUND(IF(E2="工业",C39*$M$39,C39*$M$38),0)</f>
        <v>#DIV/0!</v>
      </c>
      <c r="H39" s="229">
        <f t="shared" si="8"/>
        <v>0</v>
      </c>
      <c r="I39" s="229" t="e">
        <f t="shared" si="9"/>
        <v>#DIV/0!</v>
      </c>
      <c r="J39" s="2870"/>
      <c r="K39" s="1371"/>
      <c r="L39" s="2871" t="s">
        <v>2880</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2940</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2941</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2942</v>
      </c>
      <c r="B47" s="1809" t="s">
        <v>2943</v>
      </c>
      <c r="C47" s="1809" t="s">
        <v>2944</v>
      </c>
      <c r="D47" s="1809" t="s">
        <v>2945</v>
      </c>
      <c r="E47" s="817" t="s">
        <v>2946</v>
      </c>
      <c r="F47" s="2881" t="s">
        <v>2947</v>
      </c>
      <c r="G47" s="1809" t="s">
        <v>754</v>
      </c>
      <c r="H47" s="2882" t="s">
        <v>2948</v>
      </c>
      <c r="I47" s="1809" t="s">
        <v>2949</v>
      </c>
      <c r="J47" s="601" t="s">
        <v>2598</v>
      </c>
      <c r="K47" s="601" t="s">
        <v>2599</v>
      </c>
      <c r="L47" s="601" t="s">
        <v>2600</v>
      </c>
      <c r="M47" s="601" t="s">
        <v>2601</v>
      </c>
      <c r="N47" s="601" t="s">
        <v>2602</v>
      </c>
      <c r="AA47" s="1372"/>
      <c r="AB47" s="1372"/>
      <c r="AC47" s="1372"/>
      <c r="AD47" s="1372"/>
      <c r="AE47" s="1372"/>
      <c r="AF47" s="1372"/>
      <c r="AG47" s="1372"/>
      <c r="AH47" s="1372"/>
      <c r="AI47" s="1372"/>
      <c r="AJ47" s="1372"/>
      <c r="AK47" s="1372"/>
    </row>
    <row r="48" spans="1:37" s="1371" customFormat="1" ht="24.75">
      <c r="A48" s="2880" t="s">
        <v>2950</v>
      </c>
      <c r="B48" s="2883">
        <f>估价对象房地状况!C4</f>
        <v>0</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89.25">
      <c r="A49" s="2880" t="s">
        <v>2951</v>
      </c>
      <c r="B49" s="2884" t="str">
        <f>估价对象房地状况!C18</f>
        <v>估价对象紧邻城市支路-门头沟路、附近有公交车站西辛房站，停靠线路有370、960、992、M25等，附近5公里范围内无轨道交通站点，综合评价交通便捷度较好。</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2952</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2953</v>
      </c>
      <c r="B51" s="2885" t="s">
        <v>2954</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5.5">
      <c r="A52" s="2880" t="s">
        <v>2955</v>
      </c>
      <c r="B52" s="2884" t="str">
        <f>估价对象房地状况!C24</f>
        <v>紧邻城市次干道-建材城中路</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2956</v>
      </c>
      <c r="B53" s="2886" t="s">
        <v>2957</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76.5">
      <c r="A54" s="2887" t="s">
        <v>2958</v>
      </c>
      <c r="B54" s="1725" t="str">
        <f>估价对象房地状况!C21</f>
        <v>估价对象所在区域有东辛房小学、龙泉医院、京煤公司总医院门矿医院东辛房卫生服务站、邮政储蓄银行、农商银行等，公共配套设施状况较好</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2959</v>
      </c>
      <c r="B55" s="2884" t="str">
        <f>估价对象房地状况!C22</f>
        <v>估价对象所在区域基础设施水平为七通一平</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8" t="s">
        <v>2960</v>
      </c>
      <c r="B56" s="2889" t="str">
        <f>估价对象房地状况!C20</f>
        <v>估价对象临黑河沟及其绿化带；周边2公里范围内有门头沟博物馆等人文设施；综合评价环境状况较好。加油站？</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2961</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2942</v>
      </c>
      <c r="B58" s="1809"/>
      <c r="C58" s="1809" t="s">
        <v>2944</v>
      </c>
      <c r="D58" s="1809" t="s">
        <v>2945</v>
      </c>
      <c r="E58" s="817" t="s">
        <v>2946</v>
      </c>
      <c r="F58" s="2881" t="s">
        <v>2962</v>
      </c>
      <c r="G58" s="1809" t="s">
        <v>754</v>
      </c>
      <c r="H58" s="2882" t="s">
        <v>2948</v>
      </c>
      <c r="I58" s="1809" t="s">
        <v>2949</v>
      </c>
      <c r="J58" s="601" t="s">
        <v>2598</v>
      </c>
      <c r="K58" s="601" t="s">
        <v>2599</v>
      </c>
      <c r="L58" s="601" t="s">
        <v>2600</v>
      </c>
      <c r="M58" s="601" t="s">
        <v>2601</v>
      </c>
      <c r="N58" s="601" t="s">
        <v>2602</v>
      </c>
      <c r="AA58" s="1372"/>
      <c r="AB58" s="1372"/>
      <c r="AC58" s="1372"/>
      <c r="AD58" s="1372"/>
      <c r="AE58" s="1372"/>
      <c r="AF58" s="1372"/>
      <c r="AG58" s="1372"/>
      <c r="AH58" s="1372"/>
      <c r="AI58" s="1372"/>
      <c r="AJ58" s="1372"/>
      <c r="AK58" s="1372"/>
    </row>
    <row r="59" spans="1:37" s="1371" customFormat="1" ht="24">
      <c r="A59" s="2880" t="s">
        <v>2963</v>
      </c>
      <c r="B59" s="2883">
        <f>估价对象房地状况!C17</f>
        <v>0</v>
      </c>
      <c r="C59" s="2772"/>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89.25">
      <c r="A60" s="2880" t="s">
        <v>2951</v>
      </c>
      <c r="B60" s="2884" t="str">
        <f>估价对象房地状况!C18</f>
        <v>估价对象紧邻城市支路-门头沟路、附近有公交车站西辛房站，停靠线路有370、960、992、M25等，附近5公里范围内无轨道交通站点，综合评价交通便捷度较好。</v>
      </c>
      <c r="C60" s="2772"/>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2952</v>
      </c>
      <c r="B61" s="2884">
        <f>估价对象房地状况!C19</f>
        <v>0</v>
      </c>
      <c r="C61" s="2772"/>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2953</v>
      </c>
      <c r="B62" s="2885" t="s">
        <v>2954</v>
      </c>
      <c r="C62" s="2772"/>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5.5">
      <c r="A63" s="2880" t="s">
        <v>2955</v>
      </c>
      <c r="B63" s="2884" t="str">
        <f>估价对象房地状况!C24</f>
        <v>紧邻城市次干道-建材城中路</v>
      </c>
      <c r="C63" s="2772"/>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2956</v>
      </c>
      <c r="B64" s="2886" t="s">
        <v>2957</v>
      </c>
      <c r="C64" s="2772"/>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76.5">
      <c r="A65" s="2880" t="s">
        <v>2958</v>
      </c>
      <c r="B65" s="1725" t="str">
        <f>估价对象房地状况!C21</f>
        <v>估价对象所在区域有东辛房小学、龙泉医院、京煤公司总医院门矿医院东辛房卫生服务站、邮政储蓄银行、农商银行等，公共配套设施状况较好</v>
      </c>
      <c r="C65" s="2772"/>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2959</v>
      </c>
      <c r="B66" s="1725" t="str">
        <f>估价对象房地状况!C22</f>
        <v>估价对象所在区域基础设施水平为七通一平</v>
      </c>
      <c r="C66" s="2772"/>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8" t="s">
        <v>2960</v>
      </c>
      <c r="B67" s="2890" t="str">
        <f>估价对象房地状况!C20</f>
        <v>估价对象临黑河沟及其绿化带；周边2公里范围内有门头沟博物馆等人文设施；综合评价环境状况较好。加油站？</v>
      </c>
      <c r="C67" s="2772"/>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2964</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2942</v>
      </c>
      <c r="B69" s="1809"/>
      <c r="C69" s="1809" t="s">
        <v>2944</v>
      </c>
      <c r="D69" s="1809" t="s">
        <v>2945</v>
      </c>
      <c r="E69" s="817" t="s">
        <v>2946</v>
      </c>
      <c r="F69" s="2881" t="s">
        <v>2962</v>
      </c>
      <c r="G69" s="1809" t="s">
        <v>754</v>
      </c>
      <c r="H69" s="2882" t="s">
        <v>2948</v>
      </c>
      <c r="I69" s="1809" t="s">
        <v>2949</v>
      </c>
      <c r="J69" s="601" t="s">
        <v>2598</v>
      </c>
      <c r="K69" s="601" t="s">
        <v>2599</v>
      </c>
      <c r="L69" s="601" t="s">
        <v>2600</v>
      </c>
      <c r="M69" s="601" t="s">
        <v>2601</v>
      </c>
      <c r="N69" s="601" t="s">
        <v>2602</v>
      </c>
      <c r="AA69" s="1372"/>
      <c r="AB69" s="1372"/>
      <c r="AC69" s="1372"/>
      <c r="AD69" s="1372"/>
      <c r="AE69" s="1372"/>
      <c r="AF69" s="1372"/>
      <c r="AG69" s="1372"/>
      <c r="AH69" s="1372"/>
      <c r="AI69" s="1372"/>
      <c r="AJ69" s="1372"/>
      <c r="AK69" s="1372"/>
    </row>
    <row r="70" spans="1:37" s="1371" customFormat="1" ht="63.75">
      <c r="A70" s="2880" t="s">
        <v>2965</v>
      </c>
      <c r="B70" s="2883" t="str">
        <f>估价对象房地状况!C15</f>
        <v>估价对象周边惠泽家园、龙门新区、滨河楼等小区、居住小区规模较大，入住率较高，综合评价居住社区成熟度较好</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89.25">
      <c r="A71" s="2880" t="s">
        <v>2951</v>
      </c>
      <c r="B71" s="2884" t="str">
        <f>估价对象房地状况!C18</f>
        <v>估价对象紧邻城市支路-门头沟路、附近有公交车站西辛房站，停靠线路有370、960、992、M25等，附近5公里范围内无轨道交通站点，综合评价交通便捷度较好。</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2952</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25.5">
      <c r="A73" s="2880" t="s">
        <v>2966</v>
      </c>
      <c r="B73" s="2884" t="str">
        <f>估价对象房地状况!C24</f>
        <v>紧邻城市次干道-建材城中路</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76.5">
      <c r="A74" s="2880" t="s">
        <v>2958</v>
      </c>
      <c r="B74" s="1725" t="str">
        <f>估价对象房地状况!C21</f>
        <v>估价对象所在区域有东辛房小学、龙泉医院、京煤公司总医院门矿医院东辛房卫生服务站、邮政储蓄银行、农商银行等，公共配套设施状况较好</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2959</v>
      </c>
      <c r="B75" s="1725" t="str">
        <f>估价对象房地状况!C22</f>
        <v>估价对象所在区域基础设施水平为七通一平</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2956</v>
      </c>
      <c r="B76" s="2886" t="s">
        <v>2957</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63.75">
      <c r="A77" s="2880" t="s">
        <v>2960</v>
      </c>
      <c r="B77" s="2883" t="str">
        <f>估价对象房地状况!C20</f>
        <v>估价对象临黑河沟及其绿化带；周边2公里范围内有门头沟博物馆等人文设施；综合评价环境状况较好。加油站？</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24.75" thickBot="1">
      <c r="A78" s="2888" t="s">
        <v>2967</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5">
      <c r="A79" s="2876" t="s">
        <v>2968</v>
      </c>
      <c r="B79" s="2877">
        <f>1+E81</f>
        <v>1</v>
      </c>
      <c r="C79" s="812"/>
      <c r="D79" s="812"/>
      <c r="E79" s="813"/>
      <c r="F79" s="2879"/>
      <c r="G79" s="6"/>
      <c r="H79" s="6"/>
      <c r="I79" s="6"/>
      <c r="J79" s="7"/>
      <c r="K79" s="7"/>
      <c r="L79" s="7"/>
      <c r="M79" s="7"/>
      <c r="N79" s="7"/>
      <c r="Z79" s="2722"/>
      <c r="AA79" s="2798"/>
      <c r="AG79" s="1373"/>
      <c r="AK79" s="2798"/>
    </row>
    <row r="80" spans="1:37" ht="24.75">
      <c r="A80" s="2880" t="s">
        <v>2942</v>
      </c>
      <c r="B80" s="1809"/>
      <c r="C80" s="1809" t="s">
        <v>2944</v>
      </c>
      <c r="D80" s="1809" t="s">
        <v>2945</v>
      </c>
      <c r="E80" s="817" t="s">
        <v>2946</v>
      </c>
      <c r="F80" s="2881" t="s">
        <v>2962</v>
      </c>
      <c r="G80" s="1809" t="s">
        <v>754</v>
      </c>
      <c r="H80" s="2882" t="s">
        <v>2948</v>
      </c>
      <c r="I80" s="1809" t="s">
        <v>2949</v>
      </c>
      <c r="J80" s="601" t="s">
        <v>2598</v>
      </c>
      <c r="K80" s="601" t="s">
        <v>2599</v>
      </c>
      <c r="L80" s="601" t="s">
        <v>2600</v>
      </c>
      <c r="M80" s="601" t="s">
        <v>2601</v>
      </c>
      <c r="N80" s="601" t="s">
        <v>2602</v>
      </c>
      <c r="Z80" s="2722"/>
      <c r="AA80" s="2798"/>
      <c r="AG80" s="1373"/>
      <c r="AK80" s="2798"/>
    </row>
    <row r="81" spans="1:37" ht="38.25">
      <c r="A81" s="2880" t="s">
        <v>2969</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2951</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2952</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4.25">
      <c r="A84" s="2880" t="s">
        <v>2966</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5.5">
      <c r="A85" s="2880" t="s">
        <v>2958</v>
      </c>
      <c r="B85" s="1725"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5.5">
      <c r="A86" s="2880" t="s">
        <v>2959</v>
      </c>
      <c r="B86" s="1725"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24">
      <c r="A87" s="2880" t="s">
        <v>2956</v>
      </c>
      <c r="B87" s="2886" t="s">
        <v>2970</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39" thickBot="1">
      <c r="A88" s="2888" t="s">
        <v>2971</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339" t="s">
        <v>2972</v>
      </c>
      <c r="B90" s="3339"/>
      <c r="C90" s="3339"/>
      <c r="D90" s="3339"/>
      <c r="E90" s="3339"/>
      <c r="F90" s="3339"/>
      <c r="G90" s="3339"/>
      <c r="H90" s="3339"/>
      <c r="I90" s="3339"/>
      <c r="J90" s="3339"/>
      <c r="K90" s="2894"/>
      <c r="L90" s="2894"/>
      <c r="M90" s="2894"/>
      <c r="N90" s="2894"/>
    </row>
    <row r="91" spans="1:37">
      <c r="A91" s="3341" t="s">
        <v>2973</v>
      </c>
      <c r="B91" s="3341" t="s">
        <v>2974</v>
      </c>
      <c r="C91" s="2848" t="s">
        <v>2975</v>
      </c>
      <c r="D91" s="2849"/>
      <c r="E91" s="2849"/>
      <c r="F91" s="2849"/>
      <c r="G91" s="2849"/>
      <c r="H91" s="2849"/>
      <c r="I91" s="2849"/>
      <c r="J91" s="2895"/>
      <c r="K91" s="2896"/>
      <c r="L91" s="2896"/>
      <c r="M91" s="2896"/>
      <c r="N91" s="2896"/>
    </row>
    <row r="92" spans="1:37">
      <c r="A92" s="3341"/>
      <c r="B92" s="3341"/>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342"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4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4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4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4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4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43"/>
      <c r="B99" s="2897" t="s">
        <v>2855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44"/>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42" t="s">
        <v>2977</v>
      </c>
      <c r="B101" s="2901" t="s">
        <v>2978</v>
      </c>
      <c r="C101" s="2902">
        <f>$G$3</f>
        <v>2.2599999999999998</v>
      </c>
      <c r="D101" s="2902">
        <f t="shared" ref="D101:N101" si="31">$G$3</f>
        <v>2.2599999999999998</v>
      </c>
      <c r="E101" s="2902">
        <f t="shared" si="31"/>
        <v>2.2599999999999998</v>
      </c>
      <c r="F101" s="2902">
        <f t="shared" si="31"/>
        <v>2.2599999999999998</v>
      </c>
      <c r="G101" s="2902">
        <f t="shared" si="31"/>
        <v>2.2599999999999998</v>
      </c>
      <c r="H101" s="2902">
        <f t="shared" si="31"/>
        <v>2.2599999999999998</v>
      </c>
      <c r="I101" s="2902">
        <f t="shared" si="31"/>
        <v>2.2599999999999998</v>
      </c>
      <c r="J101" s="2902">
        <f t="shared" si="31"/>
        <v>2.2599999999999998</v>
      </c>
      <c r="K101" s="2902">
        <f t="shared" si="31"/>
        <v>2.2599999999999998</v>
      </c>
      <c r="L101" s="2902">
        <f t="shared" si="31"/>
        <v>2.2599999999999998</v>
      </c>
      <c r="M101" s="2902">
        <f t="shared" si="31"/>
        <v>2.2599999999999998</v>
      </c>
      <c r="N101" s="2902">
        <f t="shared" si="31"/>
        <v>2.2599999999999998</v>
      </c>
    </row>
    <row r="102" spans="1:14">
      <c r="A102" s="3343"/>
      <c r="B102" s="2897">
        <v>1</v>
      </c>
      <c r="C102" s="2898">
        <f>1.9362/C101</f>
        <v>0.85672566371681425</v>
      </c>
      <c r="D102" s="2898">
        <f>1.9362/D101</f>
        <v>0.85672566371681425</v>
      </c>
      <c r="E102" s="2898">
        <f>1.8629/E101</f>
        <v>0.82429203539823015</v>
      </c>
      <c r="F102" s="2898">
        <f>1.8629/F101</f>
        <v>0.82429203539823015</v>
      </c>
      <c r="G102" s="2898">
        <f>1.8629/G101</f>
        <v>0.82429203539823015</v>
      </c>
      <c r="H102" s="2898">
        <f>1.8629/H101</f>
        <v>0.82429203539823015</v>
      </c>
      <c r="I102" s="2898">
        <f>1.8629/I101</f>
        <v>0.82429203539823015</v>
      </c>
      <c r="J102" s="2898">
        <f>1.942/J101</f>
        <v>0.85929203539823018</v>
      </c>
      <c r="K102" s="2898">
        <f>1.942/K101</f>
        <v>0.85929203539823018</v>
      </c>
      <c r="L102" s="2898">
        <f>1.942/L101</f>
        <v>0.85929203539823018</v>
      </c>
      <c r="M102" s="2898">
        <f>1.942/M101</f>
        <v>0.85929203539823018</v>
      </c>
      <c r="N102" s="2898">
        <f>1.942/N101</f>
        <v>0.85929203539823018</v>
      </c>
    </row>
    <row r="103" spans="1:14">
      <c r="A103" s="3343"/>
      <c r="B103" s="2897">
        <v>2</v>
      </c>
      <c r="C103" s="2898">
        <f>1.4198/C101</f>
        <v>0.62823008849557527</v>
      </c>
      <c r="D103" s="2898">
        <f>1.4198/D101</f>
        <v>0.62823008849557527</v>
      </c>
      <c r="E103" s="2898">
        <f>1.3372/E101</f>
        <v>0.59168141592920354</v>
      </c>
      <c r="F103" s="2898">
        <f>1.3372/F101</f>
        <v>0.59168141592920354</v>
      </c>
      <c r="G103" s="2898">
        <f>1.3372/G101</f>
        <v>0.59168141592920354</v>
      </c>
      <c r="H103" s="2898">
        <f>1.3372/H101</f>
        <v>0.59168141592920354</v>
      </c>
      <c r="I103" s="2898">
        <f>1.3372/I101</f>
        <v>0.59168141592920354</v>
      </c>
      <c r="J103" s="2898">
        <f>1.2799/J101</f>
        <v>0.56632743362831861</v>
      </c>
      <c r="K103" s="2898">
        <f>1.2799/K101</f>
        <v>0.56632743362831861</v>
      </c>
      <c r="L103" s="2898">
        <f>1.2799/L101</f>
        <v>0.56632743362831861</v>
      </c>
      <c r="M103" s="2898">
        <f>1.2799/M101</f>
        <v>0.56632743362831861</v>
      </c>
      <c r="N103" s="2898">
        <f>1.2799/N101</f>
        <v>0.56632743362831861</v>
      </c>
    </row>
    <row r="104" spans="1:14">
      <c r="A104" s="3343"/>
      <c r="B104" s="2897">
        <v>3</v>
      </c>
      <c r="C104" s="2898">
        <f>1.1594/C101</f>
        <v>0.51300884955752213</v>
      </c>
      <c r="D104" s="2898">
        <f>1.1594/D101</f>
        <v>0.51300884955752213</v>
      </c>
      <c r="E104" s="2898">
        <f>1.0788/E101</f>
        <v>0.47734513274336288</v>
      </c>
      <c r="F104" s="2898">
        <f>1.0788/F101</f>
        <v>0.47734513274336288</v>
      </c>
      <c r="G104" s="2898">
        <f>1.0788/G101</f>
        <v>0.47734513274336288</v>
      </c>
      <c r="H104" s="2898">
        <f>1.0788/H101</f>
        <v>0.47734513274336288</v>
      </c>
      <c r="I104" s="2898">
        <f>1.0788/I101</f>
        <v>0.47734513274336288</v>
      </c>
      <c r="J104" s="2898">
        <f>1.0072/J101</f>
        <v>0.44566371681415939</v>
      </c>
      <c r="K104" s="2898">
        <f>1.0072/K101</f>
        <v>0.44566371681415939</v>
      </c>
      <c r="L104" s="2898">
        <f>1.0072/L101</f>
        <v>0.44566371681415939</v>
      </c>
      <c r="M104" s="2898">
        <f>1.0072/M101</f>
        <v>0.44566371681415939</v>
      </c>
      <c r="N104" s="2898">
        <f>1.0072/N101</f>
        <v>0.44566371681415939</v>
      </c>
    </row>
    <row r="105" spans="1:14">
      <c r="A105" s="3343"/>
      <c r="B105" s="2897">
        <v>4</v>
      </c>
      <c r="C105" s="2898">
        <f>0.9622/C101</f>
        <v>0.4257522123893806</v>
      </c>
      <c r="D105" s="2898">
        <f>0.9622/D101</f>
        <v>0.4257522123893806</v>
      </c>
      <c r="E105" s="2898">
        <f>0.8656/E101</f>
        <v>0.38300884955752218</v>
      </c>
      <c r="F105" s="2898">
        <f>0.8656/F101</f>
        <v>0.38300884955752218</v>
      </c>
      <c r="G105" s="2898">
        <f>0.8656/G101</f>
        <v>0.38300884955752218</v>
      </c>
      <c r="H105" s="2898">
        <f>0.8656/H101</f>
        <v>0.38300884955752218</v>
      </c>
      <c r="I105" s="2898">
        <f>0.8656/I101</f>
        <v>0.38300884955752218</v>
      </c>
      <c r="J105" s="2898">
        <f>0.7525/J101</f>
        <v>0.33296460176991149</v>
      </c>
      <c r="K105" s="2898">
        <f>0.7525/K101</f>
        <v>0.33296460176991149</v>
      </c>
      <c r="L105" s="2898">
        <f>0.7525/L101</f>
        <v>0.33296460176991149</v>
      </c>
      <c r="M105" s="2898">
        <f>0.7525/M101</f>
        <v>0.33296460176991149</v>
      </c>
      <c r="N105" s="2898">
        <f>0.7525/N101</f>
        <v>0.33296460176991149</v>
      </c>
    </row>
    <row r="106" spans="1:14">
      <c r="A106" s="3343"/>
      <c r="B106" s="2897">
        <v>5</v>
      </c>
      <c r="C106" s="2898">
        <f>0.8417/C101</f>
        <v>0.37243362831858412</v>
      </c>
      <c r="D106" s="2898">
        <f>0.8417/D101</f>
        <v>0.37243362831858412</v>
      </c>
      <c r="E106" s="2898">
        <f>0.7371/E101</f>
        <v>0.32615044247787611</v>
      </c>
      <c r="F106" s="2898">
        <f>0.7371/F101</f>
        <v>0.32615044247787611</v>
      </c>
      <c r="G106" s="2898">
        <f>0.7371/G101</f>
        <v>0.32615044247787611</v>
      </c>
      <c r="H106" s="2898">
        <f>0.7371/H101</f>
        <v>0.32615044247787611</v>
      </c>
      <c r="I106" s="2898">
        <f>0.7371/I101</f>
        <v>0.32615044247787611</v>
      </c>
      <c r="J106" s="2898">
        <f>0.5659/J101</f>
        <v>0.2503982300884956</v>
      </c>
      <c r="K106" s="2898">
        <f>0.5659/K101</f>
        <v>0.2503982300884956</v>
      </c>
      <c r="L106" s="2898">
        <f>0.5659/L101</f>
        <v>0.2503982300884956</v>
      </c>
      <c r="M106" s="2898">
        <f>0.5659/M101</f>
        <v>0.2503982300884956</v>
      </c>
      <c r="N106" s="2898">
        <f>0.5659/N101</f>
        <v>0.2503982300884956</v>
      </c>
    </row>
    <row r="107" spans="1:14">
      <c r="A107" s="3343"/>
      <c r="B107" s="2897">
        <v>6</v>
      </c>
      <c r="C107" s="2898">
        <f>0.7608/C101</f>
        <v>0.33663716814159295</v>
      </c>
      <c r="D107" s="2898">
        <f>0.7608/D101</f>
        <v>0.33663716814159295</v>
      </c>
      <c r="E107" s="2898">
        <f>0.6482/E101</f>
        <v>0.28681415929203541</v>
      </c>
      <c r="F107" s="2898">
        <f>0.6482/F101</f>
        <v>0.28681415929203541</v>
      </c>
      <c r="G107" s="2898">
        <f>0.6482/G101</f>
        <v>0.28681415929203541</v>
      </c>
      <c r="H107" s="2898">
        <f>0.6482/H101</f>
        <v>0.28681415929203541</v>
      </c>
      <c r="I107" s="2898">
        <f>0.6482/I101</f>
        <v>0.28681415929203541</v>
      </c>
      <c r="J107" s="2898">
        <f>0.4525/J101</f>
        <v>0.20022123893805313</v>
      </c>
      <c r="K107" s="2898">
        <f>0.4525/K101</f>
        <v>0.20022123893805313</v>
      </c>
      <c r="L107" s="2898">
        <f>0.4525/L101</f>
        <v>0.20022123893805313</v>
      </c>
      <c r="M107" s="2898">
        <f>0.4525/M101</f>
        <v>0.20022123893805313</v>
      </c>
      <c r="N107" s="2898">
        <f>0.4525/N101</f>
        <v>0.20022123893805313</v>
      </c>
    </row>
    <row r="108" spans="1:14">
      <c r="A108" s="3343"/>
      <c r="B108" s="3161" t="s">
        <v>2979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44"/>
      <c r="B109" s="3162"/>
      <c r="C109" s="2900">
        <f>(-0.163*(C108^2)-0.59*C108+7617)*(10^(-4))/C101</f>
        <v>0.33703539823008855</v>
      </c>
      <c r="D109" s="2900">
        <f>(-0.163*(D108^2)-0.59*D108+7617)*(10^(-4))/D101</f>
        <v>0.33703539823008855</v>
      </c>
      <c r="E109" s="2900">
        <f>(-0.161*(E108^2)-7.509*E108+6533)*(10^(-4))/E101</f>
        <v>0.28907079646017703</v>
      </c>
      <c r="F109" s="2900">
        <f>(-0.161*(F108^2)-7.509*F108+6533)*(10^(-4))/F101</f>
        <v>0.28907079646017703</v>
      </c>
      <c r="G109" s="2900">
        <f>(-0.161*(G108^2)-7.509*G108+6533)*(10^(-4))/G101</f>
        <v>0.28907079646017703</v>
      </c>
      <c r="H109" s="2900">
        <f>(-0.161*(H108^2)-7.509*H108+6533)*(10^(-4))/H101</f>
        <v>0.28907079646017703</v>
      </c>
      <c r="I109" s="2900">
        <f>(-0.161*(I108^2)-7.509*I108+6533)*(10^(-4))/I101</f>
        <v>0.28907079646017703</v>
      </c>
      <c r="J109" s="2900">
        <f>(-0.214*(J108^2)-21.991*J108+4665)*(10^(-4))/J101</f>
        <v>0.20641592920353985</v>
      </c>
      <c r="K109" s="2900">
        <f>(-0.214*(K108^2)-21.991*K108+4665)*(10^(-4))/K101</f>
        <v>0.20641592920353985</v>
      </c>
      <c r="L109" s="2900">
        <f>(-0.214*(L108^2)-21.991*L108+4665)*(10^(-4))/L101</f>
        <v>0.20641592920353985</v>
      </c>
      <c r="M109" s="2900">
        <f>(-0.214*(M108^2)-21.991*M108+4665)*(10^(-4))/M101</f>
        <v>0.20641592920353985</v>
      </c>
      <c r="N109" s="2900">
        <f>(-0.214*(N108^2)-21.991*N108+4665)*(10^(-4))/N101</f>
        <v>0.20641592920353985</v>
      </c>
    </row>
    <row r="110" spans="1:14">
      <c r="A110" s="3340" t="s">
        <v>2980</v>
      </c>
      <c r="B110" s="3340"/>
      <c r="C110" s="3340"/>
      <c r="D110" s="3340"/>
      <c r="E110" s="3340"/>
      <c r="F110" s="3340"/>
      <c r="G110" s="3340"/>
      <c r="H110" s="3340"/>
      <c r="I110" s="3340"/>
      <c r="J110" s="3340"/>
      <c r="K110" s="2903"/>
      <c r="L110" s="2903"/>
      <c r="M110" s="2903"/>
      <c r="N110" s="2903"/>
    </row>
    <row r="112" spans="1:14" ht="13.5" thickBot="1"/>
    <row r="113" spans="1:13" ht="25.5" thickBot="1">
      <c r="A113" s="901" t="s">
        <v>2981</v>
      </c>
      <c r="B113" s="1288">
        <f>G3</f>
        <v>2.2599999999999998</v>
      </c>
      <c r="C113" s="902" t="s">
        <v>2982</v>
      </c>
      <c r="D113" s="903">
        <f>SUMPRODUCT((A115:A118=F113)*(B114:M114=H113)*B115:M118)</f>
        <v>0</v>
      </c>
      <c r="E113" s="2726" t="s">
        <v>2812</v>
      </c>
      <c r="F113" s="2905">
        <f>E2</f>
        <v>0</v>
      </c>
      <c r="G113" s="2726" t="s">
        <v>2813</v>
      </c>
      <c r="H113" s="2905">
        <f>G2</f>
        <v>0</v>
      </c>
      <c r="I113" s="2726"/>
      <c r="J113" s="2906"/>
      <c r="K113" s="2906"/>
      <c r="L113" s="2906"/>
      <c r="M113" s="2906"/>
    </row>
    <row r="114" spans="1:13">
      <c r="A114" s="906"/>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7" t="s">
        <v>2877</v>
      </c>
      <c r="B115" s="908">
        <f>ROUND(0.9335-0.0094*B113,4)</f>
        <v>0.9123</v>
      </c>
      <c r="C115" s="908">
        <f>B115</f>
        <v>0.9123</v>
      </c>
      <c r="D115" s="908">
        <f>ROUND(0.8331-0.0109*B113,4)</f>
        <v>0.8085</v>
      </c>
      <c r="E115" s="908">
        <f>D115</f>
        <v>0.8085</v>
      </c>
      <c r="F115" s="908">
        <f>E115</f>
        <v>0.8085</v>
      </c>
      <c r="G115" s="908">
        <f>F115</f>
        <v>0.8085</v>
      </c>
      <c r="H115" s="908">
        <f>G115</f>
        <v>0.8085</v>
      </c>
      <c r="I115" s="908">
        <f>ROUND(0.689-0.0155*B113,4)</f>
        <v>0.65400000000000003</v>
      </c>
      <c r="J115" s="908">
        <f t="shared" ref="J115:M118" si="33">I115</f>
        <v>0.65400000000000003</v>
      </c>
      <c r="K115" s="908">
        <f t="shared" si="33"/>
        <v>0.65400000000000003</v>
      </c>
      <c r="L115" s="908">
        <f t="shared" si="33"/>
        <v>0.65400000000000003</v>
      </c>
      <c r="M115" s="909">
        <f t="shared" si="33"/>
        <v>0.65400000000000003</v>
      </c>
    </row>
    <row r="116" spans="1:13">
      <c r="A116" s="907" t="s">
        <v>2878</v>
      </c>
      <c r="B116" s="908">
        <f>ROUND(0.949-0.012*B113,4)</f>
        <v>0.92190000000000005</v>
      </c>
      <c r="C116" s="908">
        <f>B116</f>
        <v>0.92190000000000005</v>
      </c>
      <c r="D116" s="908">
        <f>ROUND(0.8567-0.013*B113,4)</f>
        <v>0.82730000000000004</v>
      </c>
      <c r="E116" s="908">
        <f t="shared" ref="E116:H117" si="34">D116</f>
        <v>0.82730000000000004</v>
      </c>
      <c r="F116" s="908">
        <f t="shared" si="34"/>
        <v>0.82730000000000004</v>
      </c>
      <c r="G116" s="908">
        <f t="shared" si="34"/>
        <v>0.82730000000000004</v>
      </c>
      <c r="H116" s="908">
        <f t="shared" si="34"/>
        <v>0.82730000000000004</v>
      </c>
      <c r="I116" s="908">
        <f>ROUND(0.7694-0.014*B113,4)</f>
        <v>0.73780000000000001</v>
      </c>
      <c r="J116" s="908">
        <f t="shared" si="33"/>
        <v>0.73780000000000001</v>
      </c>
      <c r="K116" s="908">
        <f t="shared" si="33"/>
        <v>0.73780000000000001</v>
      </c>
      <c r="L116" s="908">
        <f t="shared" si="33"/>
        <v>0.73780000000000001</v>
      </c>
      <c r="M116" s="909">
        <f t="shared" si="33"/>
        <v>0.73780000000000001</v>
      </c>
    </row>
    <row r="117" spans="1:13">
      <c r="A117" s="907" t="s">
        <v>2879</v>
      </c>
      <c r="B117" s="908">
        <f>ROUND(0.8808-0.006*B113,4)</f>
        <v>0.86719999999999997</v>
      </c>
      <c r="C117" s="908">
        <f>B117</f>
        <v>0.86719999999999997</v>
      </c>
      <c r="D117" s="908">
        <f>ROUND(0.8748-0.008*B113,4)</f>
        <v>0.85670000000000002</v>
      </c>
      <c r="E117" s="908">
        <f t="shared" si="34"/>
        <v>0.85670000000000002</v>
      </c>
      <c r="F117" s="908">
        <f t="shared" si="34"/>
        <v>0.85670000000000002</v>
      </c>
      <c r="G117" s="908">
        <f t="shared" si="34"/>
        <v>0.85670000000000002</v>
      </c>
      <c r="H117" s="908">
        <f t="shared" si="34"/>
        <v>0.85670000000000002</v>
      </c>
      <c r="I117" s="908">
        <f>ROUND(0.7412-0.0095*B113,4)</f>
        <v>0.71970000000000001</v>
      </c>
      <c r="J117" s="908">
        <f t="shared" si="33"/>
        <v>0.71970000000000001</v>
      </c>
      <c r="K117" s="908">
        <f t="shared" si="33"/>
        <v>0.71970000000000001</v>
      </c>
      <c r="L117" s="908">
        <f t="shared" si="33"/>
        <v>0.71970000000000001</v>
      </c>
      <c r="M117" s="909">
        <f t="shared" si="33"/>
        <v>0.71970000000000001</v>
      </c>
    </row>
    <row r="118" spans="1:13" ht="13.5" thickBot="1">
      <c r="A118" s="712" t="s">
        <v>2880</v>
      </c>
      <c r="B118" s="910">
        <f>ROUND(0.7275-0.01*B113,4)</f>
        <v>0.70489999999999997</v>
      </c>
      <c r="C118" s="910">
        <f>B118</f>
        <v>0.70489999999999997</v>
      </c>
      <c r="D118" s="910">
        <f>ROUND(0.7043-0.012*B113,4)</f>
        <v>0.67720000000000002</v>
      </c>
      <c r="E118" s="910">
        <f>D118</f>
        <v>0.67720000000000002</v>
      </c>
      <c r="F118" s="910">
        <f>E118</f>
        <v>0.67720000000000002</v>
      </c>
      <c r="G118" s="910">
        <f>ROUND(0.6299-0.0122*B113,4)</f>
        <v>0.60229999999999995</v>
      </c>
      <c r="H118" s="910">
        <f>G118</f>
        <v>0.60229999999999995</v>
      </c>
      <c r="I118" s="910">
        <f>ROUND(0.5667-0.0136*B113,4)</f>
        <v>0.53600000000000003</v>
      </c>
      <c r="J118" s="910">
        <f t="shared" si="33"/>
        <v>0.53600000000000003</v>
      </c>
      <c r="K118" s="910">
        <f t="shared" si="33"/>
        <v>0.53600000000000003</v>
      </c>
      <c r="L118" s="910">
        <f t="shared" si="33"/>
        <v>0.53600000000000003</v>
      </c>
      <c r="M118" s="911">
        <f t="shared" si="33"/>
        <v>0.53600000000000003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57" t="s">
        <v>183</v>
      </c>
      <c r="B18" s="880" t="s">
        <v>560</v>
      </c>
      <c r="C18" s="881" t="s">
        <v>561</v>
      </c>
      <c r="D18" s="882"/>
      <c r="E18" s="880">
        <v>1</v>
      </c>
      <c r="F18" s="883" t="s">
        <v>562</v>
      </c>
      <c r="G18" s="884"/>
      <c r="H18" s="876"/>
      <c r="I18" s="876"/>
    </row>
    <row r="19" spans="1:9" s="885" customFormat="1" ht="19.5" customHeight="1">
      <c r="A19" s="3357"/>
      <c r="B19" s="3357" t="s">
        <v>563</v>
      </c>
      <c r="C19" s="881" t="s">
        <v>564</v>
      </c>
      <c r="D19" s="882"/>
      <c r="E19" s="880">
        <v>0.9</v>
      </c>
      <c r="F19" s="883" t="s">
        <v>565</v>
      </c>
      <c r="G19" s="884"/>
      <c r="H19" s="876"/>
      <c r="I19" s="876"/>
    </row>
    <row r="20" spans="1:9" s="885" customFormat="1" ht="19.5" customHeight="1">
      <c r="A20" s="3357"/>
      <c r="B20" s="3357"/>
      <c r="C20" s="881" t="s">
        <v>566</v>
      </c>
      <c r="D20" s="882"/>
      <c r="E20" s="880">
        <v>1.1000000000000001</v>
      </c>
      <c r="F20" s="883" t="s">
        <v>567</v>
      </c>
      <c r="G20" s="884"/>
      <c r="H20" s="876"/>
      <c r="I20" s="876"/>
    </row>
    <row r="21" spans="1:9" s="885" customFormat="1" ht="19.5" customHeight="1">
      <c r="A21" s="3357"/>
      <c r="B21" s="3357"/>
      <c r="C21" s="881" t="s">
        <v>568</v>
      </c>
      <c r="D21" s="882"/>
      <c r="E21" s="880">
        <v>0.8</v>
      </c>
      <c r="F21" s="883" t="s">
        <v>569</v>
      </c>
      <c r="G21" s="884"/>
      <c r="H21" s="876"/>
      <c r="I21" s="876"/>
    </row>
    <row r="22" spans="1:9" s="885" customFormat="1" ht="19.5" customHeight="1">
      <c r="A22" s="3357"/>
      <c r="B22" s="3357"/>
      <c r="C22" s="881" t="s">
        <v>570</v>
      </c>
      <c r="D22" s="882"/>
      <c r="E22" s="880">
        <v>0.5</v>
      </c>
      <c r="F22" s="883"/>
      <c r="G22" s="884"/>
      <c r="H22" s="876"/>
      <c r="I22" s="876"/>
    </row>
    <row r="23" spans="1:9" s="885" customFormat="1" ht="19.5" customHeight="1">
      <c r="A23" s="3357" t="s">
        <v>184</v>
      </c>
      <c r="B23" s="880" t="s">
        <v>560</v>
      </c>
      <c r="C23" s="881" t="s">
        <v>571</v>
      </c>
      <c r="D23" s="882"/>
      <c r="E23" s="880">
        <v>1</v>
      </c>
      <c r="F23" s="883" t="s">
        <v>572</v>
      </c>
      <c r="G23" s="884"/>
      <c r="H23" s="876"/>
      <c r="I23" s="876"/>
    </row>
    <row r="24" spans="1:9" s="885" customFormat="1" ht="19.5" customHeight="1">
      <c r="A24" s="3357"/>
      <c r="B24" s="3357" t="s">
        <v>563</v>
      </c>
      <c r="C24" s="881" t="s">
        <v>573</v>
      </c>
      <c r="D24" s="882"/>
      <c r="E24" s="880">
        <v>0.5</v>
      </c>
      <c r="F24" s="883"/>
      <c r="G24" s="884"/>
      <c r="H24" s="876"/>
      <c r="I24" s="876"/>
    </row>
    <row r="25" spans="1:9" s="885" customFormat="1" ht="19.5" customHeight="1">
      <c r="A25" s="3357"/>
      <c r="B25" s="3357"/>
      <c r="C25" s="881" t="s">
        <v>574</v>
      </c>
      <c r="D25" s="882"/>
      <c r="E25" s="880">
        <v>1.1000000000000001</v>
      </c>
      <c r="F25" s="883"/>
      <c r="G25" s="884"/>
      <c r="H25" s="876"/>
      <c r="I25" s="876"/>
    </row>
    <row r="26" spans="1:9" s="885" customFormat="1" ht="19.5" customHeight="1">
      <c r="A26" s="3357"/>
      <c r="B26" s="3357"/>
      <c r="C26" s="881" t="s">
        <v>575</v>
      </c>
      <c r="D26" s="882"/>
      <c r="E26" s="880">
        <v>1.1000000000000001</v>
      </c>
      <c r="F26" s="883"/>
      <c r="G26" s="884"/>
      <c r="H26" s="876"/>
      <c r="I26" s="876"/>
    </row>
    <row r="27" spans="1:9" s="885" customFormat="1" ht="19.5" customHeight="1">
      <c r="A27" s="3357"/>
      <c r="B27" s="3357"/>
      <c r="C27" s="881" t="s">
        <v>576</v>
      </c>
      <c r="D27" s="882"/>
      <c r="E27" s="880">
        <v>0.9</v>
      </c>
      <c r="F27" s="883" t="s">
        <v>577</v>
      </c>
      <c r="G27" s="884"/>
      <c r="H27" s="876"/>
      <c r="I27" s="876"/>
    </row>
    <row r="28" spans="1:9" s="885" customFormat="1" ht="19.5" customHeight="1">
      <c r="A28" s="3357"/>
      <c r="B28" s="3357"/>
      <c r="C28" s="881" t="s">
        <v>578</v>
      </c>
      <c r="D28" s="882"/>
      <c r="E28" s="880">
        <v>0.9</v>
      </c>
      <c r="F28" s="883" t="s">
        <v>579</v>
      </c>
      <c r="G28" s="884"/>
      <c r="H28" s="876"/>
      <c r="I28" s="876"/>
    </row>
    <row r="29" spans="1:9" s="885" customFormat="1" ht="19.5" customHeight="1">
      <c r="A29" s="3357"/>
      <c r="B29" s="3357"/>
      <c r="C29" s="881" t="s">
        <v>580</v>
      </c>
      <c r="D29" s="882"/>
      <c r="E29" s="880">
        <v>0.9</v>
      </c>
      <c r="F29" s="883" t="s">
        <v>581</v>
      </c>
      <c r="G29" s="884"/>
      <c r="H29" s="876"/>
      <c r="I29" s="876"/>
    </row>
    <row r="30" spans="1:9" s="885" customFormat="1" ht="19.5" customHeight="1">
      <c r="A30" s="3357"/>
      <c r="B30" s="3357"/>
      <c r="C30" s="881" t="s">
        <v>582</v>
      </c>
      <c r="D30" s="882"/>
      <c r="E30" s="880">
        <v>0.9</v>
      </c>
      <c r="F30" s="883" t="s">
        <v>583</v>
      </c>
      <c r="G30" s="884"/>
      <c r="H30" s="876"/>
      <c r="I30" s="876"/>
    </row>
    <row r="31" spans="1:9" s="885" customFormat="1" ht="19.5" customHeight="1">
      <c r="A31" s="3357"/>
      <c r="B31" s="3357"/>
      <c r="C31" s="881" t="s">
        <v>584</v>
      </c>
      <c r="D31" s="882"/>
      <c r="E31" s="880">
        <v>0.8</v>
      </c>
      <c r="F31" s="883" t="s">
        <v>585</v>
      </c>
      <c r="G31" s="884"/>
      <c r="H31" s="876"/>
      <c r="I31" s="876"/>
    </row>
    <row r="32" spans="1:9" s="885" customFormat="1" ht="19.5" customHeight="1">
      <c r="A32" s="3357"/>
      <c r="B32" s="3357"/>
      <c r="C32" s="881" t="s">
        <v>586</v>
      </c>
      <c r="D32" s="882"/>
      <c r="E32" s="880">
        <v>0.8</v>
      </c>
      <c r="F32" s="883" t="s">
        <v>587</v>
      </c>
      <c r="G32" s="884"/>
      <c r="H32" s="876"/>
      <c r="I32" s="876"/>
    </row>
    <row r="33" spans="1:9" s="885" customFormat="1" ht="19.5" customHeight="1">
      <c r="A33" s="3357" t="s">
        <v>185</v>
      </c>
      <c r="B33" s="880" t="s">
        <v>560</v>
      </c>
      <c r="C33" s="881" t="s">
        <v>588</v>
      </c>
      <c r="D33" s="882"/>
      <c r="E33" s="880">
        <v>1</v>
      </c>
      <c r="F33" s="883" t="s">
        <v>589</v>
      </c>
      <c r="G33" s="884"/>
      <c r="H33" s="876"/>
      <c r="I33" s="876"/>
    </row>
    <row r="34" spans="1:9" s="885" customFormat="1" ht="19.5" customHeight="1">
      <c r="A34" s="3357"/>
      <c r="B34" s="880" t="s">
        <v>563</v>
      </c>
      <c r="C34" s="881" t="s">
        <v>590</v>
      </c>
      <c r="D34" s="882"/>
      <c r="E34" s="880">
        <v>1.5</v>
      </c>
      <c r="F34" s="883" t="s">
        <v>591</v>
      </c>
      <c r="G34" s="884"/>
      <c r="H34" s="876"/>
      <c r="I34" s="876"/>
    </row>
    <row r="35" spans="1:9" s="885" customFormat="1" ht="19.5" customHeight="1">
      <c r="A35" s="3357" t="s">
        <v>186</v>
      </c>
      <c r="B35" s="880" t="s">
        <v>560</v>
      </c>
      <c r="C35" s="881" t="s">
        <v>592</v>
      </c>
      <c r="D35" s="882"/>
      <c r="E35" s="880">
        <v>1</v>
      </c>
      <c r="F35" s="883" t="s">
        <v>593</v>
      </c>
      <c r="G35" s="884"/>
      <c r="H35" s="876"/>
      <c r="I35" s="876"/>
    </row>
    <row r="36" spans="1:9" s="885" customFormat="1" ht="19.5" customHeight="1">
      <c r="A36" s="3357"/>
      <c r="B36" s="3357" t="s">
        <v>563</v>
      </c>
      <c r="C36" s="881" t="s">
        <v>594</v>
      </c>
      <c r="D36" s="882"/>
      <c r="E36" s="880">
        <v>1</v>
      </c>
      <c r="F36" s="883" t="s">
        <v>595</v>
      </c>
      <c r="G36" s="884"/>
      <c r="H36" s="876"/>
      <c r="I36" s="876"/>
    </row>
    <row r="37" spans="1:9" s="885" customFormat="1" ht="19.5" customHeight="1">
      <c r="A37" s="3357"/>
      <c r="B37" s="3357"/>
      <c r="C37" s="881" t="s">
        <v>596</v>
      </c>
      <c r="D37" s="882"/>
      <c r="E37" s="880">
        <v>1.5</v>
      </c>
      <c r="F37" s="883" t="s">
        <v>597</v>
      </c>
      <c r="G37" s="884"/>
      <c r="H37" s="876"/>
      <c r="I37" s="876"/>
    </row>
    <row r="38" spans="1:9" s="885" customFormat="1" ht="19.5" customHeight="1">
      <c r="A38" s="3357"/>
      <c r="B38" s="3357"/>
      <c r="C38" s="881" t="s">
        <v>598</v>
      </c>
      <c r="D38" s="882"/>
      <c r="E38" s="880">
        <v>1</v>
      </c>
      <c r="F38" s="883" t="s">
        <v>599</v>
      </c>
      <c r="G38" s="884"/>
      <c r="H38" s="876"/>
      <c r="I38" s="876"/>
    </row>
    <row r="39" spans="1:9" s="885" customFormat="1" ht="19.5" customHeight="1">
      <c r="A39" s="3357"/>
      <c r="B39" s="3357"/>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57" t="s">
        <v>614</v>
      </c>
      <c r="C61" s="816" t="s">
        <v>615</v>
      </c>
      <c r="D61" s="816" t="s">
        <v>616</v>
      </c>
      <c r="E61" s="893">
        <v>0.5</v>
      </c>
      <c r="F61" s="880">
        <v>80</v>
      </c>
    </row>
    <row r="62" spans="1:8" s="876" customFormat="1" ht="24">
      <c r="A62" s="880">
        <v>2</v>
      </c>
      <c r="B62" s="3357"/>
      <c r="C62" s="816" t="s">
        <v>617</v>
      </c>
      <c r="D62" s="816" t="s">
        <v>618</v>
      </c>
      <c r="E62" s="893">
        <v>0.5</v>
      </c>
      <c r="F62" s="880">
        <v>80</v>
      </c>
    </row>
    <row r="63" spans="1:8" s="876" customFormat="1" ht="36">
      <c r="A63" s="880">
        <v>3</v>
      </c>
      <c r="B63" s="3357"/>
      <c r="C63" s="816" t="s">
        <v>619</v>
      </c>
      <c r="D63" s="816" t="s">
        <v>620</v>
      </c>
      <c r="E63" s="893">
        <v>0.5</v>
      </c>
      <c r="F63" s="880">
        <v>80</v>
      </c>
    </row>
    <row r="64" spans="1:8" s="876" customFormat="1" ht="36">
      <c r="A64" s="880">
        <v>4</v>
      </c>
      <c r="B64" s="3357"/>
      <c r="C64" s="816" t="s">
        <v>621</v>
      </c>
      <c r="D64" s="816" t="s">
        <v>622</v>
      </c>
      <c r="E64" s="893">
        <v>0.4</v>
      </c>
      <c r="F64" s="880">
        <v>60</v>
      </c>
    </row>
    <row r="65" spans="1:6" s="876" customFormat="1" ht="36">
      <c r="A65" s="880">
        <v>5</v>
      </c>
      <c r="B65" s="3357"/>
      <c r="C65" s="816" t="s">
        <v>623</v>
      </c>
      <c r="D65" s="816" t="s">
        <v>624</v>
      </c>
      <c r="E65" s="893">
        <v>0.2</v>
      </c>
      <c r="F65" s="880">
        <v>30</v>
      </c>
    </row>
    <row r="66" spans="1:6" s="876" customFormat="1" ht="36">
      <c r="A66" s="880">
        <v>6</v>
      </c>
      <c r="B66" s="3357"/>
      <c r="C66" s="816" t="s">
        <v>625</v>
      </c>
      <c r="D66" s="816" t="s">
        <v>626</v>
      </c>
      <c r="E66" s="893">
        <v>0.3</v>
      </c>
      <c r="F66" s="880">
        <v>50</v>
      </c>
    </row>
    <row r="67" spans="1:6" s="876" customFormat="1" ht="36">
      <c r="A67" s="880">
        <v>7</v>
      </c>
      <c r="B67" s="3357"/>
      <c r="C67" s="816" t="s">
        <v>627</v>
      </c>
      <c r="D67" s="816" t="s">
        <v>628</v>
      </c>
      <c r="E67" s="893">
        <v>0.2</v>
      </c>
      <c r="F67" s="880">
        <v>30</v>
      </c>
    </row>
    <row r="68" spans="1:6" s="876" customFormat="1" ht="36">
      <c r="A68" s="880">
        <v>8</v>
      </c>
      <c r="B68" s="3357"/>
      <c r="C68" s="816" t="s">
        <v>629</v>
      </c>
      <c r="D68" s="816" t="s">
        <v>630</v>
      </c>
      <c r="E68" s="893">
        <v>0.2</v>
      </c>
      <c r="F68" s="880">
        <v>30</v>
      </c>
    </row>
    <row r="69" spans="1:6" s="876" customFormat="1" ht="36">
      <c r="A69" s="880">
        <v>9</v>
      </c>
      <c r="B69" s="3357"/>
      <c r="C69" s="816" t="s">
        <v>631</v>
      </c>
      <c r="D69" s="816" t="s">
        <v>632</v>
      </c>
      <c r="E69" s="893">
        <v>0.2</v>
      </c>
      <c r="F69" s="880">
        <v>30</v>
      </c>
    </row>
    <row r="70" spans="1:6" s="876" customFormat="1" ht="48">
      <c r="A70" s="880">
        <v>10</v>
      </c>
      <c r="B70" s="3357"/>
      <c r="C70" s="816" t="s">
        <v>633</v>
      </c>
      <c r="D70" s="816" t="s">
        <v>634</v>
      </c>
      <c r="E70" s="893">
        <v>0.2</v>
      </c>
      <c r="F70" s="880">
        <v>30</v>
      </c>
    </row>
    <row r="71" spans="1:6" s="876" customFormat="1" ht="48">
      <c r="A71" s="880">
        <v>11</v>
      </c>
      <c r="B71" s="3357"/>
      <c r="C71" s="816" t="s">
        <v>635</v>
      </c>
      <c r="D71" s="816" t="s">
        <v>636</v>
      </c>
      <c r="E71" s="893">
        <v>0.2</v>
      </c>
      <c r="F71" s="880">
        <v>30</v>
      </c>
    </row>
    <row r="72" spans="1:6" s="876" customFormat="1" ht="36">
      <c r="A72" s="880">
        <v>12</v>
      </c>
      <c r="B72" s="3357"/>
      <c r="C72" s="816" t="s">
        <v>637</v>
      </c>
      <c r="D72" s="816" t="s">
        <v>638</v>
      </c>
      <c r="E72" s="893">
        <v>0.5</v>
      </c>
      <c r="F72" s="880">
        <v>80</v>
      </c>
    </row>
    <row r="73" spans="1:6" s="876" customFormat="1" ht="24">
      <c r="A73" s="880">
        <v>13</v>
      </c>
      <c r="B73" s="3357"/>
      <c r="C73" s="816" t="s">
        <v>639</v>
      </c>
      <c r="D73" s="816" t="s">
        <v>640</v>
      </c>
      <c r="E73" s="893">
        <v>0.4</v>
      </c>
      <c r="F73" s="880">
        <v>60</v>
      </c>
    </row>
    <row r="74" spans="1:6" s="876" customFormat="1" ht="24">
      <c r="A74" s="880">
        <v>14</v>
      </c>
      <c r="B74" s="3357"/>
      <c r="C74" s="816" t="s">
        <v>641</v>
      </c>
      <c r="D74" s="816" t="s">
        <v>642</v>
      </c>
      <c r="E74" s="893">
        <v>0.2</v>
      </c>
      <c r="F74" s="880">
        <v>30</v>
      </c>
    </row>
    <row r="75" spans="1:6" s="876" customFormat="1" ht="24">
      <c r="A75" s="880">
        <v>15</v>
      </c>
      <c r="B75" s="3357"/>
      <c r="C75" s="816" t="s">
        <v>643</v>
      </c>
      <c r="D75" s="816" t="s">
        <v>644</v>
      </c>
      <c r="E75" s="893">
        <v>0.2</v>
      </c>
      <c r="F75" s="880">
        <v>30</v>
      </c>
    </row>
    <row r="76" spans="1:6" s="876" customFormat="1" ht="24">
      <c r="A76" s="880">
        <v>16</v>
      </c>
      <c r="B76" s="3357" t="s">
        <v>645</v>
      </c>
      <c r="C76" s="816" t="s">
        <v>646</v>
      </c>
      <c r="D76" s="816" t="s">
        <v>647</v>
      </c>
      <c r="E76" s="893">
        <v>0.5</v>
      </c>
      <c r="F76" s="880">
        <v>80</v>
      </c>
    </row>
    <row r="77" spans="1:6" s="876" customFormat="1" ht="24">
      <c r="A77" s="880">
        <v>17</v>
      </c>
      <c r="B77" s="3357"/>
      <c r="C77" s="816" t="s">
        <v>648</v>
      </c>
      <c r="D77" s="816" t="s">
        <v>649</v>
      </c>
      <c r="E77" s="893">
        <v>0.5</v>
      </c>
      <c r="F77" s="880">
        <v>80</v>
      </c>
    </row>
    <row r="78" spans="1:6" s="876" customFormat="1" ht="24">
      <c r="A78" s="880">
        <v>18</v>
      </c>
      <c r="B78" s="3357"/>
      <c r="C78" s="816" t="s">
        <v>650</v>
      </c>
      <c r="D78" s="816" t="s">
        <v>651</v>
      </c>
      <c r="E78" s="893">
        <v>0.2</v>
      </c>
      <c r="F78" s="880">
        <v>30</v>
      </c>
    </row>
    <row r="79" spans="1:6" s="876" customFormat="1" ht="24">
      <c r="A79" s="880">
        <v>19</v>
      </c>
      <c r="B79" s="3357"/>
      <c r="C79" s="816" t="s">
        <v>652</v>
      </c>
      <c r="D79" s="816" t="s">
        <v>653</v>
      </c>
      <c r="E79" s="893">
        <v>0.5</v>
      </c>
      <c r="F79" s="880">
        <v>80</v>
      </c>
    </row>
    <row r="80" spans="1:6" s="876" customFormat="1" ht="36">
      <c r="A80" s="880">
        <v>20</v>
      </c>
      <c r="B80" s="3357"/>
      <c r="C80" s="816" t="s">
        <v>654</v>
      </c>
      <c r="D80" s="816" t="s">
        <v>655</v>
      </c>
      <c r="E80" s="893">
        <v>0.2</v>
      </c>
      <c r="F80" s="880">
        <v>30</v>
      </c>
    </row>
    <row r="81" spans="1:6" s="876" customFormat="1" ht="36">
      <c r="A81" s="880">
        <v>21</v>
      </c>
      <c r="B81" s="3357"/>
      <c r="C81" s="816" t="s">
        <v>656</v>
      </c>
      <c r="D81" s="816" t="s">
        <v>657</v>
      </c>
      <c r="E81" s="893">
        <v>0.2</v>
      </c>
      <c r="F81" s="880">
        <v>30</v>
      </c>
    </row>
    <row r="82" spans="1:6" s="876" customFormat="1" ht="48">
      <c r="A82" s="880">
        <v>22</v>
      </c>
      <c r="B82" s="3357"/>
      <c r="C82" s="816" t="s">
        <v>658</v>
      </c>
      <c r="D82" s="816" t="s">
        <v>659</v>
      </c>
      <c r="E82" s="893">
        <v>0.2</v>
      </c>
      <c r="F82" s="880">
        <v>30</v>
      </c>
    </row>
    <row r="83" spans="1:6" s="876" customFormat="1" ht="48">
      <c r="A83" s="880">
        <v>23</v>
      </c>
      <c r="B83" s="3357"/>
      <c r="C83" s="816" t="s">
        <v>660</v>
      </c>
      <c r="D83" s="816" t="s">
        <v>661</v>
      </c>
      <c r="E83" s="893">
        <v>0.2</v>
      </c>
      <c r="F83" s="880">
        <v>30</v>
      </c>
    </row>
    <row r="84" spans="1:6" s="876" customFormat="1" ht="36">
      <c r="A84" s="880">
        <v>24</v>
      </c>
      <c r="B84" s="3357"/>
      <c r="C84" s="816" t="s">
        <v>662</v>
      </c>
      <c r="D84" s="816" t="s">
        <v>663</v>
      </c>
      <c r="E84" s="893">
        <v>0.2</v>
      </c>
      <c r="F84" s="880">
        <v>30</v>
      </c>
    </row>
    <row r="85" spans="1:6" s="876" customFormat="1" ht="36">
      <c r="A85" s="880">
        <v>25</v>
      </c>
      <c r="B85" s="3357"/>
      <c r="C85" s="816" t="s">
        <v>664</v>
      </c>
      <c r="D85" s="816" t="s">
        <v>665</v>
      </c>
      <c r="E85" s="893">
        <v>0.5</v>
      </c>
      <c r="F85" s="880">
        <v>80</v>
      </c>
    </row>
    <row r="86" spans="1:6" s="876" customFormat="1" ht="36">
      <c r="A86" s="880">
        <v>26</v>
      </c>
      <c r="B86" s="3357"/>
      <c r="C86" s="816" t="s">
        <v>666</v>
      </c>
      <c r="D86" s="816" t="s">
        <v>667</v>
      </c>
      <c r="E86" s="893">
        <v>0.2</v>
      </c>
      <c r="F86" s="880">
        <v>30</v>
      </c>
    </row>
    <row r="87" spans="1:6" s="876" customFormat="1" ht="36">
      <c r="A87" s="880">
        <v>27</v>
      </c>
      <c r="B87" s="3357"/>
      <c r="C87" s="816" t="s">
        <v>668</v>
      </c>
      <c r="D87" s="816" t="s">
        <v>669</v>
      </c>
      <c r="E87" s="893">
        <v>0.2</v>
      </c>
      <c r="F87" s="880">
        <v>30</v>
      </c>
    </row>
    <row r="88" spans="1:6" s="876" customFormat="1" ht="36">
      <c r="A88" s="880">
        <v>28</v>
      </c>
      <c r="B88" s="3357"/>
      <c r="C88" s="816" t="s">
        <v>670</v>
      </c>
      <c r="D88" s="816" t="s">
        <v>671</v>
      </c>
      <c r="E88" s="893">
        <v>0.2</v>
      </c>
      <c r="F88" s="880">
        <v>30</v>
      </c>
    </row>
    <row r="89" spans="1:6" s="876" customFormat="1" ht="24">
      <c r="A89" s="880">
        <v>29</v>
      </c>
      <c r="B89" s="3357"/>
      <c r="C89" s="816" t="s">
        <v>672</v>
      </c>
      <c r="D89" s="816" t="s">
        <v>673</v>
      </c>
      <c r="E89" s="893">
        <v>0.2</v>
      </c>
      <c r="F89" s="880">
        <v>30</v>
      </c>
    </row>
    <row r="90" spans="1:6" s="876" customFormat="1" ht="24">
      <c r="A90" s="880">
        <v>30</v>
      </c>
      <c r="B90" s="3357"/>
      <c r="C90" s="816" t="s">
        <v>674</v>
      </c>
      <c r="D90" s="816" t="s">
        <v>675</v>
      </c>
      <c r="E90" s="893">
        <v>0.2</v>
      </c>
      <c r="F90" s="880">
        <v>30</v>
      </c>
    </row>
    <row r="91" spans="1:6" s="876" customFormat="1" ht="36">
      <c r="A91" s="880">
        <v>31</v>
      </c>
      <c r="B91" s="3357"/>
      <c r="C91" s="816" t="s">
        <v>676</v>
      </c>
      <c r="D91" s="816" t="s">
        <v>677</v>
      </c>
      <c r="E91" s="893">
        <v>0.2</v>
      </c>
      <c r="F91" s="880">
        <v>30</v>
      </c>
    </row>
    <row r="92" spans="1:6" s="876" customFormat="1" ht="24">
      <c r="A92" s="880">
        <v>32</v>
      </c>
      <c r="B92" s="3357" t="s">
        <v>678</v>
      </c>
      <c r="C92" s="880" t="s">
        <v>679</v>
      </c>
      <c r="D92" s="816" t="s">
        <v>680</v>
      </c>
      <c r="E92" s="893">
        <v>0.2</v>
      </c>
      <c r="F92" s="880">
        <v>30</v>
      </c>
    </row>
    <row r="93" spans="1:6" s="876" customFormat="1" ht="36">
      <c r="A93" s="880">
        <v>33</v>
      </c>
      <c r="B93" s="3357"/>
      <c r="C93" s="880" t="s">
        <v>681</v>
      </c>
      <c r="D93" s="816" t="s">
        <v>682</v>
      </c>
      <c r="E93" s="893">
        <v>0.2</v>
      </c>
      <c r="F93" s="880">
        <v>30</v>
      </c>
    </row>
    <row r="94" spans="1:6" s="876" customFormat="1" ht="48">
      <c r="A94" s="880">
        <v>34</v>
      </c>
      <c r="B94" s="3357"/>
      <c r="C94" s="880" t="s">
        <v>683</v>
      </c>
      <c r="D94" s="816" t="s">
        <v>684</v>
      </c>
      <c r="E94" s="893">
        <v>0.2</v>
      </c>
      <c r="F94" s="880">
        <v>30</v>
      </c>
    </row>
    <row r="95" spans="1:6" s="876" customFormat="1" ht="36">
      <c r="A95" s="880">
        <v>35</v>
      </c>
      <c r="B95" s="3357"/>
      <c r="C95" s="880" t="s">
        <v>685</v>
      </c>
      <c r="D95" s="816" t="s">
        <v>686</v>
      </c>
      <c r="E95" s="893">
        <v>0.2</v>
      </c>
      <c r="F95" s="880">
        <v>30</v>
      </c>
    </row>
    <row r="96" spans="1:6" s="876" customFormat="1" ht="48">
      <c r="A96" s="880">
        <v>36</v>
      </c>
      <c r="B96" s="3357"/>
      <c r="C96" s="816" t="s">
        <v>687</v>
      </c>
      <c r="D96" s="816" t="s">
        <v>688</v>
      </c>
      <c r="E96" s="893">
        <v>0.2</v>
      </c>
      <c r="F96" s="880">
        <v>30</v>
      </c>
    </row>
    <row r="97" spans="1:6" s="876" customFormat="1" ht="36">
      <c r="A97" s="880">
        <v>37</v>
      </c>
      <c r="B97" s="3357"/>
      <c r="C97" s="880" t="s">
        <v>689</v>
      </c>
      <c r="D97" s="816" t="s">
        <v>690</v>
      </c>
      <c r="E97" s="893">
        <v>0.2</v>
      </c>
      <c r="F97" s="880">
        <v>30</v>
      </c>
    </row>
    <row r="98" spans="1:6" s="876" customFormat="1" ht="36">
      <c r="A98" s="880">
        <v>38</v>
      </c>
      <c r="B98" s="3357"/>
      <c r="C98" s="880" t="s">
        <v>691</v>
      </c>
      <c r="D98" s="816" t="s">
        <v>692</v>
      </c>
      <c r="E98" s="893">
        <v>0.2</v>
      </c>
      <c r="F98" s="880">
        <v>30</v>
      </c>
    </row>
    <row r="99" spans="1:6" s="876" customFormat="1" ht="36">
      <c r="A99" s="880">
        <v>39</v>
      </c>
      <c r="B99" s="3357" t="s">
        <v>693</v>
      </c>
      <c r="C99" s="880" t="s">
        <v>694</v>
      </c>
      <c r="D99" s="816" t="s">
        <v>695</v>
      </c>
      <c r="E99" s="893">
        <v>0.3</v>
      </c>
      <c r="F99" s="880">
        <v>50</v>
      </c>
    </row>
    <row r="100" spans="1:6" s="876" customFormat="1" ht="24">
      <c r="A100" s="880">
        <v>40</v>
      </c>
      <c r="B100" s="3357"/>
      <c r="C100" s="880" t="s">
        <v>696</v>
      </c>
      <c r="D100" s="816" t="s">
        <v>697</v>
      </c>
      <c r="E100" s="893">
        <v>0.2</v>
      </c>
      <c r="F100" s="880">
        <v>30</v>
      </c>
    </row>
    <row r="101" spans="1:6" s="876" customFormat="1" ht="36">
      <c r="A101" s="880">
        <v>41</v>
      </c>
      <c r="B101" s="3357"/>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57" t="s">
        <v>708</v>
      </c>
      <c r="C105" s="880" t="s">
        <v>709</v>
      </c>
      <c r="D105" s="816" t="s">
        <v>710</v>
      </c>
      <c r="E105" s="893">
        <v>0.2</v>
      </c>
      <c r="F105" s="880">
        <v>30</v>
      </c>
    </row>
    <row r="106" spans="1:6" s="876" customFormat="1" ht="36">
      <c r="A106" s="880">
        <v>46</v>
      </c>
      <c r="B106" s="3357"/>
      <c r="C106" s="880" t="s">
        <v>711</v>
      </c>
      <c r="D106" s="816" t="s">
        <v>712</v>
      </c>
      <c r="E106" s="893">
        <v>0.2</v>
      </c>
      <c r="F106" s="880">
        <v>30</v>
      </c>
    </row>
    <row r="107" spans="1:6" s="876" customFormat="1" ht="36">
      <c r="A107" s="880">
        <v>47</v>
      </c>
      <c r="B107" s="3357" t="s">
        <v>713</v>
      </c>
      <c r="C107" s="880" t="s">
        <v>714</v>
      </c>
      <c r="D107" s="816" t="s">
        <v>715</v>
      </c>
      <c r="E107" s="893">
        <v>0.3</v>
      </c>
      <c r="F107" s="880">
        <v>50</v>
      </c>
    </row>
    <row r="108" spans="1:6" s="876" customFormat="1" ht="36">
      <c r="A108" s="880">
        <v>48</v>
      </c>
      <c r="B108" s="3357"/>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57" t="s">
        <v>724</v>
      </c>
      <c r="C111" s="880" t="s">
        <v>725</v>
      </c>
      <c r="D111" s="816" t="s">
        <v>726</v>
      </c>
      <c r="E111" s="893">
        <v>0.2</v>
      </c>
      <c r="F111" s="880">
        <v>30</v>
      </c>
    </row>
    <row r="112" spans="1:6" s="876" customFormat="1" ht="24">
      <c r="A112" s="880">
        <v>52</v>
      </c>
      <c r="B112" s="3357"/>
      <c r="C112" s="880" t="s">
        <v>727</v>
      </c>
      <c r="D112" s="816" t="s">
        <v>728</v>
      </c>
      <c r="E112" s="893">
        <v>0.2</v>
      </c>
      <c r="F112" s="880">
        <v>30</v>
      </c>
    </row>
    <row r="113" spans="1:6" s="876" customFormat="1" ht="24">
      <c r="A113" s="880">
        <v>53</v>
      </c>
      <c r="B113" s="3357"/>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57" t="s">
        <v>737</v>
      </c>
      <c r="C116" s="880" t="s">
        <v>738</v>
      </c>
      <c r="D116" s="816" t="s">
        <v>739</v>
      </c>
      <c r="E116" s="893">
        <v>0.2</v>
      </c>
      <c r="F116" s="880">
        <v>30</v>
      </c>
    </row>
    <row r="117" spans="1:6" ht="36">
      <c r="A117" s="880">
        <v>57</v>
      </c>
      <c r="B117" s="3357"/>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3003</v>
      </c>
    </row>
    <row r="2" spans="1:5" ht="15.75">
      <c r="A2" s="2912" t="s">
        <v>2995</v>
      </c>
      <c r="B2" s="2913" t="e">
        <f ca="1">SUMIF(B6:B13,"&lt;&gt;#ref!",B6:B13)</f>
        <v>#DIV/0!</v>
      </c>
      <c r="C2" s="2912" t="s">
        <v>2996</v>
      </c>
      <c r="D2" s="2912" t="s">
        <v>2997</v>
      </c>
      <c r="E2" s="2913">
        <f ca="1">SUMIF(E6:E13,"&lt;&gt;#ref!",E6:E13)</f>
        <v>0</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K23" sqref="K2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2530</v>
      </c>
      <c r="C1" s="1634" t="s">
        <v>2531</v>
      </c>
      <c r="D1" s="1621"/>
      <c r="E1" s="2585"/>
      <c r="F1" s="2586" t="s">
        <v>2532</v>
      </c>
      <c r="G1" s="1631" t="s">
        <v>2533</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#REF!</v>
      </c>
      <c r="C2" s="2588"/>
      <c r="D2" s="1366" t="e">
        <f ca="1">SUMIF(INDIRECT("'"&amp;F2&amp;"'"&amp;"!A:A"),"承租人权益价值",INDIRECT("'"&amp;F2&amp;"'"&amp;"!c:c"))</f>
        <v>#REF!</v>
      </c>
      <c r="E2" s="2589" t="s">
        <v>2534</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#REF!</v>
      </c>
      <c r="C3" s="400" t="s">
        <v>2535</v>
      </c>
      <c r="D3" s="399">
        <f>IF(D1="",'数据-汇总表'!E3,SUMIF('数据-汇总表'!$C19:$C33,D1,'数据-汇总表'!$E19:$E33))</f>
        <v>1</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1" t="s">
        <v>2536</v>
      </c>
      <c r="B4" s="402"/>
      <c r="C4" s="3276" t="s">
        <v>2537</v>
      </c>
      <c r="D4" s="3277"/>
      <c r="E4" s="3278" t="s">
        <v>2538</v>
      </c>
      <c r="F4" s="3279"/>
      <c r="G4" s="3276" t="s">
        <v>2539</v>
      </c>
      <c r="H4" s="3277"/>
      <c r="I4" s="3276" t="s">
        <v>2540</v>
      </c>
      <c r="J4" s="3277"/>
      <c r="K4" s="2598" t="s">
        <v>2541</v>
      </c>
      <c r="L4" s="1131"/>
      <c r="M4" s="1132"/>
      <c r="N4" s="1132"/>
      <c r="O4" s="1132"/>
      <c r="P4" s="3280" t="s">
        <v>2542</v>
      </c>
      <c r="Q4" s="3281"/>
      <c r="R4" s="3263" t="s">
        <v>2538</v>
      </c>
      <c r="S4" s="3264"/>
      <c r="T4" s="3263" t="s">
        <v>2539</v>
      </c>
      <c r="U4" s="3264"/>
      <c r="V4" s="3260" t="s">
        <v>2540</v>
      </c>
      <c r="W4" s="3260"/>
      <c r="X4" s="1813"/>
      <c r="Y4" s="3263" t="s">
        <v>2542</v>
      </c>
      <c r="Z4" s="3264"/>
      <c r="AA4" s="3257" t="s">
        <v>2538</v>
      </c>
      <c r="AB4" s="3257" t="s">
        <v>2539</v>
      </c>
      <c r="AC4" s="3257" t="s">
        <v>2540</v>
      </c>
    </row>
    <row r="5" spans="1:29" ht="39" customHeight="1">
      <c r="A5" s="404"/>
      <c r="B5" s="405"/>
      <c r="C5" s="3359" t="str">
        <f>'土地比较法-住宅、综合'!C5:D5</f>
        <v>门头沟新城05街区MC00-0005-6001等地块</v>
      </c>
      <c r="D5" s="3270"/>
      <c r="E5" s="3358" t="str">
        <f>'土地比较法-住宅、综合'!E5:F5</f>
        <v>海淀区"海淀北部地区整体开发”西北旺镇亮甲店村HD00-0404-6005、6006地块R2二类居住用地</v>
      </c>
      <c r="F5" s="3268"/>
      <c r="G5" s="3358" t="str">
        <f>'土地比较法-住宅、综合'!G5:H5</f>
        <v>海淀区“海淀北部地区整体开发”永丰产业基地（新）HD00-0401-0146地块</v>
      </c>
      <c r="H5" s="3268"/>
      <c r="I5" s="3358" t="str">
        <f>'土地比较法-住宅、综合'!I5:J5</f>
        <v>石景山区玉泉西一路x-18160地块</v>
      </c>
      <c r="J5" s="3268"/>
      <c r="K5" s="2599"/>
      <c r="L5" s="1131"/>
      <c r="M5" s="1132"/>
      <c r="N5" s="1132"/>
      <c r="O5" s="1132"/>
      <c r="P5" s="3282"/>
      <c r="Q5" s="3283"/>
      <c r="R5" s="3265"/>
      <c r="S5" s="3266"/>
      <c r="T5" s="3265"/>
      <c r="U5" s="3266"/>
      <c r="V5" s="3260"/>
      <c r="W5" s="3260"/>
      <c r="X5" s="1813"/>
      <c r="Y5" s="3265"/>
      <c r="Z5" s="3266"/>
      <c r="AA5" s="3258"/>
      <c r="AB5" s="3258"/>
      <c r="AC5" s="3258"/>
    </row>
    <row r="6" spans="1:29" ht="15.75" thickBot="1">
      <c r="A6" s="406"/>
      <c r="B6" s="407"/>
      <c r="C6" s="3360" t="str">
        <f>'土地比较法-住宅、综合'!C6:D6</f>
        <v>门头沟路47号</v>
      </c>
      <c r="D6" s="3272"/>
      <c r="E6" s="3361" t="str">
        <f>'土地比较法-住宅、综合'!E6:F6</f>
        <v>海淀区西北旺镇亮甲店村</v>
      </c>
      <c r="F6" s="3274"/>
      <c r="G6" s="3361" t="str">
        <f>'土地比较法-住宅、综合'!G6:H6</f>
        <v>海淀区永丰产业基地</v>
      </c>
      <c r="H6" s="3274"/>
      <c r="I6" s="3361" t="str">
        <f>'土地比较法-住宅、综合'!I6:J6</f>
        <v>石景山区玉泉西一路</v>
      </c>
      <c r="J6" s="3274"/>
      <c r="K6" s="2599" t="s">
        <v>2548</v>
      </c>
      <c r="L6" s="1131"/>
      <c r="M6" s="1132"/>
      <c r="N6" s="1132"/>
      <c r="O6" s="1132"/>
      <c r="P6" s="3284"/>
      <c r="Q6" s="3285"/>
      <c r="R6" s="3265"/>
      <c r="S6" s="3266"/>
      <c r="T6" s="3286"/>
      <c r="U6" s="3287"/>
      <c r="V6" s="3260"/>
      <c r="W6" s="3260"/>
      <c r="X6" s="1813"/>
      <c r="Y6" s="3286"/>
      <c r="Z6" s="3287"/>
      <c r="AA6" s="3259"/>
      <c r="AB6" s="3259"/>
      <c r="AC6" s="3259"/>
    </row>
    <row r="7" spans="1:29" s="117" customFormat="1" ht="15.75" thickBot="1">
      <c r="A7" s="408" t="s">
        <v>2549</v>
      </c>
      <c r="B7" s="409"/>
      <c r="C7" s="410">
        <f>'数据-取费表'!B2</f>
        <v>43397</v>
      </c>
      <c r="D7" s="411">
        <v>100</v>
      </c>
      <c r="E7" s="412">
        <v>43342</v>
      </c>
      <c r="F7" s="413">
        <f>SUMIF(58:58,YEAR(E7)&amp;"-"&amp;MONTH(E7),59:59)</f>
        <v>100</v>
      </c>
      <c r="G7" s="412">
        <v>43308</v>
      </c>
      <c r="H7" s="411">
        <v>100</v>
      </c>
      <c r="I7" s="412">
        <v>43349</v>
      </c>
      <c r="J7" s="411">
        <f>SUMIF(58:58,YEAR(I7)&amp;"-"&amp;MONTH(I7),59:59)</f>
        <v>100</v>
      </c>
      <c r="K7" s="2600"/>
      <c r="L7" s="1133"/>
      <c r="M7" s="1134"/>
      <c r="N7" s="1134"/>
      <c r="O7" s="1134"/>
      <c r="P7" s="3261" t="s">
        <v>2550</v>
      </c>
      <c r="Q7" s="3288"/>
      <c r="R7" s="768" t="s">
        <v>23</v>
      </c>
      <c r="S7" s="769">
        <f t="shared" ref="S7:S15" si="0">F7</f>
        <v>100</v>
      </c>
      <c r="T7" s="768" t="s">
        <v>23</v>
      </c>
      <c r="U7" s="769">
        <f t="shared" ref="U7:U15" si="1">H7</f>
        <v>100</v>
      </c>
      <c r="V7" s="768" t="s">
        <v>23</v>
      </c>
      <c r="W7" s="769">
        <f t="shared" ref="W7:W15" si="2">J7</f>
        <v>100</v>
      </c>
      <c r="X7" s="770"/>
      <c r="Y7" s="3261" t="s">
        <v>2550</v>
      </c>
      <c r="Z7" s="3262"/>
      <c r="AA7" s="771">
        <f>D7/F7</f>
        <v>1</v>
      </c>
      <c r="AB7" s="771">
        <f>D7/H7</f>
        <v>1</v>
      </c>
      <c r="AC7" s="771">
        <f>D7/J7</f>
        <v>1</v>
      </c>
    </row>
    <row r="8" spans="1:29" s="117" customFormat="1" ht="15.75" thickBot="1">
      <c r="A8" s="408" t="s">
        <v>2551</v>
      </c>
      <c r="B8" s="409"/>
      <c r="C8" s="414" t="s">
        <v>2552</v>
      </c>
      <c r="D8" s="411">
        <v>100</v>
      </c>
      <c r="E8" s="2601" t="s">
        <v>3067</v>
      </c>
      <c r="F8" s="413">
        <f>SUMIF(61:61,E8,62:62)-SUMIF(61:61,C8,62:62)+100</f>
        <v>100</v>
      </c>
      <c r="G8" s="414" t="s">
        <v>3067</v>
      </c>
      <c r="H8" s="411">
        <f>SUMIF(61:61,G8,62:62)-SUMIF(61:61,C8,62:62)+100</f>
        <v>100</v>
      </c>
      <c r="I8" s="2601" t="s">
        <v>3067</v>
      </c>
      <c r="J8" s="411">
        <f>SUMIF(61:61,I8,62:62)-SUMIF(61:61,C8,62:62)+100</f>
        <v>100</v>
      </c>
      <c r="K8" s="2600"/>
      <c r="L8" s="1133"/>
      <c r="M8" s="1134"/>
      <c r="N8" s="1134"/>
      <c r="O8" s="1134"/>
      <c r="P8" s="3261" t="s">
        <v>2553</v>
      </c>
      <c r="Q8" s="3262"/>
      <c r="R8" s="768" t="s">
        <v>23</v>
      </c>
      <c r="S8" s="769">
        <f t="shared" si="0"/>
        <v>100</v>
      </c>
      <c r="T8" s="768" t="s">
        <v>23</v>
      </c>
      <c r="U8" s="769">
        <f t="shared" si="1"/>
        <v>100</v>
      </c>
      <c r="V8" s="768" t="s">
        <v>23</v>
      </c>
      <c r="W8" s="769">
        <f t="shared" si="2"/>
        <v>100</v>
      </c>
      <c r="X8" s="770"/>
      <c r="Y8" s="3261" t="s">
        <v>2553</v>
      </c>
      <c r="Z8" s="3262"/>
      <c r="AA8" s="771">
        <f t="shared" ref="AA8:AA19" si="3">D8/F8</f>
        <v>1</v>
      </c>
      <c r="AB8" s="771">
        <f t="shared" ref="AB8:AB19" si="4">D8/H8</f>
        <v>1</v>
      </c>
      <c r="AC8" s="771">
        <f t="shared" ref="AC8:AC19" si="5">D8/J8</f>
        <v>1</v>
      </c>
    </row>
    <row r="9" spans="1:29" s="117" customFormat="1">
      <c r="A9" s="415" t="s">
        <v>2554</v>
      </c>
      <c r="B9" s="71" t="s">
        <v>2555</v>
      </c>
      <c r="C9" s="2957" t="s">
        <v>3125</v>
      </c>
      <c r="D9" s="135">
        <v>100</v>
      </c>
      <c r="E9" s="417" t="s">
        <v>3048</v>
      </c>
      <c r="F9" s="418">
        <f>SUMIF(63:63,E9,64:64)-SUMIF(63:63,C9,64:64)+100</f>
        <v>100</v>
      </c>
      <c r="G9" s="419" t="s">
        <v>3048</v>
      </c>
      <c r="H9" s="135">
        <f>SUMIF(63:63,G9,64:64)-SUMIF(63:63,C9,64:64)+100</f>
        <v>100</v>
      </c>
      <c r="I9" s="419" t="s">
        <v>3048</v>
      </c>
      <c r="J9" s="135">
        <f>SUMIF(63:63,I9,64:64)-SUMIF(63:63,C9,64:64)+100</f>
        <v>100</v>
      </c>
      <c r="K9" s="2600"/>
      <c r="L9" s="1133"/>
      <c r="M9" s="1134"/>
      <c r="N9" s="1134"/>
      <c r="O9" s="1134"/>
      <c r="P9" s="3275" t="s">
        <v>2556</v>
      </c>
      <c r="Q9" s="1795" t="str">
        <f t="shared" ref="Q9:Q15" si="6">B9</f>
        <v>用途</v>
      </c>
      <c r="R9" s="768" t="s">
        <v>17</v>
      </c>
      <c r="S9" s="769">
        <f t="shared" si="0"/>
        <v>100</v>
      </c>
      <c r="T9" s="768" t="s">
        <v>17</v>
      </c>
      <c r="U9" s="769">
        <f t="shared" si="1"/>
        <v>100</v>
      </c>
      <c r="V9" s="768" t="s">
        <v>17</v>
      </c>
      <c r="W9" s="769">
        <f t="shared" si="2"/>
        <v>100</v>
      </c>
      <c r="X9" s="770"/>
      <c r="Y9" s="3107" t="s">
        <v>2557</v>
      </c>
      <c r="Z9" s="55" t="str">
        <f t="shared" ref="Z9:Z15" si="7">Q9</f>
        <v>用途</v>
      </c>
      <c r="AA9" s="771">
        <f t="shared" si="3"/>
        <v>1</v>
      </c>
      <c r="AB9" s="771">
        <f t="shared" si="4"/>
        <v>1</v>
      </c>
      <c r="AC9" s="771">
        <f t="shared" si="5"/>
        <v>1</v>
      </c>
    </row>
    <row r="10" spans="1:29" s="427" customFormat="1" ht="27">
      <c r="A10" s="421"/>
      <c r="B10" s="422" t="s">
        <v>2558</v>
      </c>
      <c r="C10" s="423" t="s">
        <v>3069</v>
      </c>
      <c r="D10" s="136">
        <v>100</v>
      </c>
      <c r="E10" s="424" t="s">
        <v>3069</v>
      </c>
      <c r="F10" s="425">
        <f>SUMIF(65:65,E10,66:66)-SUMIF(65:65,C10,66:66)+100</f>
        <v>100</v>
      </c>
      <c r="G10" s="423" t="s">
        <v>3069</v>
      </c>
      <c r="H10" s="136">
        <f>SUMIF(65:65,G10,66:66)-SUMIF(65:65,C10,66:66)+100</f>
        <v>100</v>
      </c>
      <c r="I10" s="423" t="s">
        <v>3069</v>
      </c>
      <c r="J10" s="136">
        <f>SUMIF(65:65,I10,66:66)-SUMIF(65:65,C10,66:66)+100</f>
        <v>100</v>
      </c>
      <c r="K10" s="426"/>
      <c r="L10" s="1136"/>
      <c r="M10" s="1137"/>
      <c r="N10" s="1137"/>
      <c r="O10" s="1137"/>
      <c r="P10" s="3275"/>
      <c r="Q10" s="1795" t="str">
        <f t="shared" si="6"/>
        <v>土地使用年限（年）</v>
      </c>
      <c r="R10" s="768" t="s">
        <v>17</v>
      </c>
      <c r="S10" s="769">
        <f t="shared" si="0"/>
        <v>100</v>
      </c>
      <c r="T10" s="768" t="s">
        <v>17</v>
      </c>
      <c r="U10" s="769">
        <f t="shared" si="1"/>
        <v>100</v>
      </c>
      <c r="V10" s="768" t="s">
        <v>17</v>
      </c>
      <c r="W10" s="769">
        <f t="shared" si="2"/>
        <v>100</v>
      </c>
      <c r="X10" s="770"/>
      <c r="Y10" s="3107"/>
      <c r="Z10" s="55" t="str">
        <f t="shared" si="7"/>
        <v>土地使用年限（年）</v>
      </c>
      <c r="AA10" s="771">
        <f t="shared" si="3"/>
        <v>1</v>
      </c>
      <c r="AB10" s="771">
        <f t="shared" si="4"/>
        <v>1</v>
      </c>
      <c r="AC10" s="771">
        <f t="shared" si="5"/>
        <v>1</v>
      </c>
    </row>
    <row r="11" spans="1:29" ht="15">
      <c r="A11" s="428"/>
      <c r="B11" s="422" t="s">
        <v>2559</v>
      </c>
      <c r="C11" s="3038">
        <f>'土地比较法-住宅、综合'!C11</f>
        <v>2.260591133004926</v>
      </c>
      <c r="D11" s="136">
        <v>100</v>
      </c>
      <c r="E11" s="430">
        <f>'土地比较法-住宅、综合'!E11</f>
        <v>2.2000000000000002</v>
      </c>
      <c r="F11" s="425">
        <f>LOOKUP(E11,68:68,69:69)-LOOKUP(C11,68:68,69:69)+100</f>
        <v>100</v>
      </c>
      <c r="G11" s="429">
        <f>'土地比较法-住宅、综合'!G11</f>
        <v>2.1</v>
      </c>
      <c r="H11" s="136">
        <f>LOOKUP(G11,68:68,69:69)-LOOKUP(C11,68:68,69:69)+100</f>
        <v>100</v>
      </c>
      <c r="I11" s="429">
        <f>'土地比较法-住宅、综合'!I11</f>
        <v>1.6</v>
      </c>
      <c r="J11" s="136">
        <f>LOOKUP(I11,68:68,69:69)-LOOKUP(C11,68:68,69:69)+100</f>
        <v>102</v>
      </c>
      <c r="K11" s="426">
        <v>2</v>
      </c>
      <c r="L11" s="1139"/>
      <c r="M11" s="1132"/>
      <c r="N11" s="1132"/>
      <c r="O11" s="1132"/>
      <c r="P11" s="3275"/>
      <c r="Q11" s="1795" t="str">
        <f t="shared" si="6"/>
        <v>容积率</v>
      </c>
      <c r="R11" s="768" t="s">
        <v>21</v>
      </c>
      <c r="S11" s="769">
        <f t="shared" si="0"/>
        <v>100</v>
      </c>
      <c r="T11" s="768" t="s">
        <v>21</v>
      </c>
      <c r="U11" s="769">
        <f t="shared" si="1"/>
        <v>100</v>
      </c>
      <c r="V11" s="768" t="s">
        <v>21</v>
      </c>
      <c r="W11" s="769">
        <f t="shared" si="2"/>
        <v>102</v>
      </c>
      <c r="X11" s="770"/>
      <c r="Y11" s="3107"/>
      <c r="Z11" s="55" t="str">
        <f t="shared" si="7"/>
        <v>容积率</v>
      </c>
      <c r="AA11" s="771">
        <f t="shared" si="3"/>
        <v>1</v>
      </c>
      <c r="AB11" s="771">
        <f t="shared" si="4"/>
        <v>1</v>
      </c>
      <c r="AC11" s="771">
        <f t="shared" si="5"/>
        <v>0.98039215686274506</v>
      </c>
    </row>
    <row r="12" spans="1:29" s="117" customFormat="1" ht="15">
      <c r="A12" s="431"/>
      <c r="B12" s="2947" t="s">
        <v>3123</v>
      </c>
      <c r="C12" s="2959" t="s">
        <v>3124</v>
      </c>
      <c r="D12" s="433">
        <v>100</v>
      </c>
      <c r="E12" s="2959" t="s">
        <v>3124</v>
      </c>
      <c r="F12" s="425">
        <f>SUMIF(70:70,E12,71:71)-SUMIF(70:70,C12,71:71)+100</f>
        <v>100</v>
      </c>
      <c r="G12" s="2959" t="s">
        <v>3124</v>
      </c>
      <c r="H12" s="136">
        <f>SUMIF(70:70,G12,71:71)-SUMIF(70:70,C12,71:71)+100</f>
        <v>100</v>
      </c>
      <c r="I12" s="2959" t="s">
        <v>3124</v>
      </c>
      <c r="J12" s="136">
        <f>SUMIF(70:70,I12,71:71)-SUMIF(70:70,C12,71:71)+100</f>
        <v>100</v>
      </c>
      <c r="K12" s="2603"/>
      <c r="L12" s="1133"/>
      <c r="M12" s="1134"/>
      <c r="N12" s="1134"/>
      <c r="O12" s="1134"/>
      <c r="P12" s="3275"/>
      <c r="Q12" s="1795" t="str">
        <f t="shared" si="6"/>
        <v>产权性质</v>
      </c>
      <c r="R12" s="768" t="s">
        <v>21</v>
      </c>
      <c r="S12" s="769">
        <f t="shared" si="0"/>
        <v>100</v>
      </c>
      <c r="T12" s="768" t="s">
        <v>21</v>
      </c>
      <c r="U12" s="769">
        <f t="shared" si="1"/>
        <v>100</v>
      </c>
      <c r="V12" s="768" t="s">
        <v>21</v>
      </c>
      <c r="W12" s="769">
        <f t="shared" si="2"/>
        <v>100</v>
      </c>
      <c r="X12" s="770"/>
      <c r="Y12" s="3107"/>
      <c r="Z12" s="55" t="str">
        <f t="shared" si="7"/>
        <v>产权性质</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1"/>
      <c r="M13" s="1132"/>
      <c r="N13" s="1132"/>
      <c r="O13" s="1132"/>
      <c r="P13" s="3275"/>
      <c r="Q13" s="1795">
        <f t="shared" si="6"/>
        <v>111</v>
      </c>
      <c r="R13" s="768" t="s">
        <v>21</v>
      </c>
      <c r="S13" s="769">
        <f t="shared" si="0"/>
        <v>100</v>
      </c>
      <c r="T13" s="768" t="s">
        <v>21</v>
      </c>
      <c r="U13" s="769">
        <f t="shared" si="1"/>
        <v>100</v>
      </c>
      <c r="V13" s="768" t="s">
        <v>21</v>
      </c>
      <c r="W13" s="769">
        <f t="shared" si="2"/>
        <v>100</v>
      </c>
      <c r="X13" s="770"/>
      <c r="Y13" s="3107"/>
      <c r="Z13" s="55">
        <f t="shared" si="7"/>
        <v>111</v>
      </c>
      <c r="AA13" s="771">
        <f t="shared" si="3"/>
        <v>1</v>
      </c>
      <c r="AB13" s="771">
        <f t="shared" si="4"/>
        <v>1</v>
      </c>
      <c r="AC13" s="771">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1"/>
      <c r="M14" s="1132"/>
      <c r="N14" s="1132"/>
      <c r="O14" s="1132"/>
      <c r="P14" s="3275"/>
      <c r="Q14" s="1795">
        <f t="shared" si="6"/>
        <v>111</v>
      </c>
      <c r="R14" s="768" t="s">
        <v>21</v>
      </c>
      <c r="S14" s="769">
        <f t="shared" si="0"/>
        <v>100</v>
      </c>
      <c r="T14" s="768" t="s">
        <v>21</v>
      </c>
      <c r="U14" s="769">
        <f t="shared" si="1"/>
        <v>100</v>
      </c>
      <c r="V14" s="768" t="s">
        <v>21</v>
      </c>
      <c r="W14" s="769">
        <f t="shared" si="2"/>
        <v>100</v>
      </c>
      <c r="X14" s="770"/>
      <c r="Y14" s="3107"/>
      <c r="Z14" s="55">
        <f t="shared" si="7"/>
        <v>111</v>
      </c>
      <c r="AA14" s="771">
        <f t="shared" si="3"/>
        <v>1</v>
      </c>
      <c r="AB14" s="771">
        <f t="shared" si="4"/>
        <v>1</v>
      </c>
      <c r="AC14" s="771">
        <f t="shared" si="5"/>
        <v>1</v>
      </c>
    </row>
    <row r="15" spans="1:29" ht="123" customHeight="1">
      <c r="A15" s="440" t="s">
        <v>2560</v>
      </c>
      <c r="B15" s="69" t="s">
        <v>2089</v>
      </c>
      <c r="C15" s="2605" t="str">
        <f>估价对象房地状况!C3</f>
        <v>估价对象周边惠泽家园、龙门新区、滨河楼等小区、居住小区规模较大，入住率较高，综合评价居住社区成熟度较好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89" t="s">
        <v>2561</v>
      </c>
      <c r="Q15" s="1810" t="str">
        <f t="shared" si="6"/>
        <v>居住社区成熟度</v>
      </c>
      <c r="R15" s="772" t="s">
        <v>21</v>
      </c>
      <c r="S15" s="773">
        <f t="shared" si="0"/>
        <v>100</v>
      </c>
      <c r="T15" s="772" t="s">
        <v>21</v>
      </c>
      <c r="U15" s="773">
        <f t="shared" si="1"/>
        <v>100</v>
      </c>
      <c r="V15" s="772" t="s">
        <v>21</v>
      </c>
      <c r="W15" s="773">
        <f t="shared" si="2"/>
        <v>100</v>
      </c>
      <c r="X15" s="1813"/>
      <c r="Y15" s="3291" t="s">
        <v>2561</v>
      </c>
      <c r="Z15" s="1814" t="str">
        <f t="shared" si="7"/>
        <v>居住社区成熟度</v>
      </c>
      <c r="AA15" s="1811">
        <f t="shared" si="3"/>
        <v>1</v>
      </c>
      <c r="AB15" s="1811">
        <f t="shared" si="4"/>
        <v>1</v>
      </c>
      <c r="AC15" s="1811">
        <f t="shared" si="5"/>
        <v>1</v>
      </c>
    </row>
    <row r="16" spans="1:29" ht="15">
      <c r="A16" s="428"/>
      <c r="B16" s="446"/>
      <c r="C16" s="447" t="s">
        <v>3072</v>
      </c>
      <c r="D16" s="448"/>
      <c r="E16" s="2606" t="s">
        <v>3072</v>
      </c>
      <c r="F16" s="448"/>
      <c r="G16" s="2607" t="s">
        <v>3072</v>
      </c>
      <c r="H16" s="450"/>
      <c r="I16" s="2607" t="s">
        <v>3072</v>
      </c>
      <c r="J16" s="448"/>
      <c r="K16" s="2608"/>
      <c r="L16" s="1141"/>
      <c r="M16" s="1132"/>
      <c r="N16" s="1132"/>
      <c r="O16" s="1132"/>
      <c r="P16" s="3290"/>
      <c r="Q16" s="1810"/>
      <c r="R16" s="772"/>
      <c r="S16" s="773"/>
      <c r="T16" s="772"/>
      <c r="U16" s="773"/>
      <c r="V16" s="772"/>
      <c r="W16" s="773"/>
      <c r="X16" s="1813"/>
      <c r="Y16" s="3292"/>
      <c r="Z16" s="1814"/>
      <c r="AA16" s="1811">
        <v>1</v>
      </c>
      <c r="AB16" s="1811">
        <v>1</v>
      </c>
      <c r="AC16" s="1811">
        <v>1</v>
      </c>
    </row>
    <row r="17" spans="1:29" ht="131.25" customHeight="1">
      <c r="A17" s="428"/>
      <c r="B17" s="451" t="s">
        <v>2098</v>
      </c>
      <c r="C17" s="2609" t="str">
        <f>估价对象房地状况!C6</f>
        <v>估价对象紧邻城市支路-门头沟路、附近有公交车站西辛房站，停靠线路有370、960、992、M25等，附近5公里范围内无轨道交通站点，综合评价交通便捷度较好。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1</v>
      </c>
      <c r="L17" s="1141"/>
      <c r="M17" s="1132"/>
      <c r="N17" s="1132"/>
      <c r="O17" s="1132"/>
      <c r="P17" s="3290"/>
      <c r="Q17" s="1810" t="str">
        <f>B17</f>
        <v>交通便捷度</v>
      </c>
      <c r="R17" s="772" t="s">
        <v>21</v>
      </c>
      <c r="S17" s="773">
        <f>F17</f>
        <v>100</v>
      </c>
      <c r="T17" s="772" t="s">
        <v>21</v>
      </c>
      <c r="U17" s="773">
        <f>H17</f>
        <v>100</v>
      </c>
      <c r="V17" s="772" t="s">
        <v>21</v>
      </c>
      <c r="W17" s="773">
        <f>J17</f>
        <v>100</v>
      </c>
      <c r="X17" s="1813"/>
      <c r="Y17" s="3292"/>
      <c r="Z17" s="1814" t="str">
        <f>Q17</f>
        <v>交通便捷度</v>
      </c>
      <c r="AA17" s="1811">
        <f t="shared" si="3"/>
        <v>1</v>
      </c>
      <c r="AB17" s="1811">
        <f t="shared" si="4"/>
        <v>1</v>
      </c>
      <c r="AC17" s="1811">
        <f t="shared" si="5"/>
        <v>1</v>
      </c>
    </row>
    <row r="18" spans="1:29" ht="15">
      <c r="A18" s="428"/>
      <c r="B18" s="456"/>
      <c r="C18" s="2610" t="s">
        <v>3072</v>
      </c>
      <c r="D18" s="450"/>
      <c r="E18" s="2611" t="s">
        <v>3072</v>
      </c>
      <c r="F18" s="450"/>
      <c r="G18" s="2612" t="s">
        <v>3072</v>
      </c>
      <c r="H18" s="448"/>
      <c r="I18" s="2612" t="s">
        <v>3072</v>
      </c>
      <c r="J18" s="448"/>
      <c r="K18" s="2608"/>
      <c r="L18" s="1141"/>
      <c r="M18" s="1132"/>
      <c r="N18" s="1132"/>
      <c r="O18" s="1132"/>
      <c r="P18" s="3290"/>
      <c r="Q18" s="1810"/>
      <c r="R18" s="772"/>
      <c r="S18" s="773"/>
      <c r="T18" s="772"/>
      <c r="U18" s="773"/>
      <c r="V18" s="772"/>
      <c r="W18" s="773"/>
      <c r="X18" s="1813"/>
      <c r="Y18" s="3292"/>
      <c r="Z18" s="1814"/>
      <c r="AA18" s="1811">
        <v>1</v>
      </c>
      <c r="AB18" s="1811">
        <v>1</v>
      </c>
      <c r="AC18" s="1811">
        <v>1</v>
      </c>
    </row>
    <row r="19" spans="1:29" ht="122.25" customHeight="1">
      <c r="A19" s="428"/>
      <c r="B19" s="451" t="s">
        <v>2096</v>
      </c>
      <c r="C19" s="2609" t="str">
        <f>估价对象房地状况!C7</f>
        <v>估价对象所在区域有东辛房小学、龙泉医院、京煤公司总医院门矿医院东辛房卫生服务站、邮政储蓄银行、农商银行等，公共配套设施状况较好</v>
      </c>
      <c r="D19" s="455">
        <v>100</v>
      </c>
      <c r="E19" s="459"/>
      <c r="F19" s="455">
        <f>SUMIF(80:80,E20,81:81)-SUMIF(80:80,C20,81:81)+100</f>
        <v>100</v>
      </c>
      <c r="G19" s="457"/>
      <c r="H19" s="450">
        <f>SUMIF(80:80,G20,81:81)-SUMIF(80:80,C20,81:81)+100</f>
        <v>100</v>
      </c>
      <c r="I19" s="457"/>
      <c r="J19" s="450">
        <f>SUMIF(80:80,I20,81:81)-SUMIF(80:80,C20,81:81)+100</f>
        <v>102</v>
      </c>
      <c r="K19" s="445">
        <v>2</v>
      </c>
      <c r="L19" s="1141"/>
      <c r="M19" s="1132"/>
      <c r="N19" s="1132"/>
      <c r="O19" s="1132"/>
      <c r="P19" s="3290"/>
      <c r="Q19" s="1810" t="str">
        <f>B19</f>
        <v>公共配套设施</v>
      </c>
      <c r="R19" s="772" t="s">
        <v>21</v>
      </c>
      <c r="S19" s="773">
        <f>F19</f>
        <v>100</v>
      </c>
      <c r="T19" s="772" t="s">
        <v>21</v>
      </c>
      <c r="U19" s="773">
        <f>H19</f>
        <v>100</v>
      </c>
      <c r="V19" s="772" t="s">
        <v>21</v>
      </c>
      <c r="W19" s="773">
        <f>J19</f>
        <v>102</v>
      </c>
      <c r="X19" s="1813"/>
      <c r="Y19" s="3292"/>
      <c r="Z19" s="1814" t="str">
        <f>Q19</f>
        <v>公共配套设施</v>
      </c>
      <c r="AA19" s="1811">
        <f t="shared" si="3"/>
        <v>1</v>
      </c>
      <c r="AB19" s="1811">
        <f t="shared" si="4"/>
        <v>1</v>
      </c>
      <c r="AC19" s="1811">
        <f t="shared" si="5"/>
        <v>0.98039215686274506</v>
      </c>
    </row>
    <row r="20" spans="1:29" ht="15">
      <c r="A20" s="428"/>
      <c r="B20" s="456"/>
      <c r="C20" s="447" t="s">
        <v>3072</v>
      </c>
      <c r="D20" s="448"/>
      <c r="E20" s="2606" t="s">
        <v>3072</v>
      </c>
      <c r="F20" s="448"/>
      <c r="G20" s="2607" t="s">
        <v>3072</v>
      </c>
      <c r="H20" s="448"/>
      <c r="I20" s="2607" t="s">
        <v>3074</v>
      </c>
      <c r="J20" s="448"/>
      <c r="K20" s="2608"/>
      <c r="L20" s="1141"/>
      <c r="M20" s="1132"/>
      <c r="N20" s="1132"/>
      <c r="O20" s="1132"/>
      <c r="P20" s="3290"/>
      <c r="Q20" s="1810"/>
      <c r="R20" s="772"/>
      <c r="S20" s="773"/>
      <c r="T20" s="772"/>
      <c r="U20" s="773"/>
      <c r="V20" s="772"/>
      <c r="W20" s="773"/>
      <c r="X20" s="1813"/>
      <c r="Y20" s="3292"/>
      <c r="Z20" s="1814"/>
      <c r="AA20" s="1811">
        <v>1</v>
      </c>
      <c r="AB20" s="1811">
        <v>1</v>
      </c>
      <c r="AC20" s="1811">
        <v>1</v>
      </c>
    </row>
    <row r="21" spans="1:29" ht="42.75">
      <c r="A21" s="428"/>
      <c r="B21" s="1385" t="s">
        <v>2099</v>
      </c>
      <c r="C21" s="2609" t="str">
        <f>估价对象房地状况!C8</f>
        <v>估价对象所在区域基础设施水平为七通一平</v>
      </c>
      <c r="D21" s="450">
        <v>100</v>
      </c>
      <c r="E21" s="459"/>
      <c r="F21" s="455">
        <f>SUMIF(82:82,E22,83:83)-SUMIF(82:82,C22,83:83)+100</f>
        <v>100</v>
      </c>
      <c r="G21" s="457"/>
      <c r="H21" s="450">
        <f>SUMIF(82:82,G22,83:83)-SUMIF(82:82,C22,83:83)+100</f>
        <v>100</v>
      </c>
      <c r="I21" s="457"/>
      <c r="J21" s="450">
        <f>SUMIF(82:82,I22,83:83)-SUMIF(82:82,C22,83:83)+100</f>
        <v>100</v>
      </c>
      <c r="K21" s="445">
        <v>0</v>
      </c>
      <c r="L21" s="1141"/>
      <c r="M21" s="1132"/>
      <c r="N21" s="1132"/>
      <c r="O21" s="1132"/>
      <c r="P21" s="3290"/>
      <c r="Q21" s="1810" t="str">
        <f>B21</f>
        <v>基础设施水平</v>
      </c>
      <c r="R21" s="772" t="s">
        <v>17</v>
      </c>
      <c r="S21" s="773">
        <f>F21</f>
        <v>100</v>
      </c>
      <c r="T21" s="772" t="s">
        <v>17</v>
      </c>
      <c r="U21" s="773">
        <f>H21</f>
        <v>100</v>
      </c>
      <c r="V21" s="772" t="s">
        <v>17</v>
      </c>
      <c r="W21" s="773">
        <f>J21</f>
        <v>100</v>
      </c>
      <c r="X21" s="1813"/>
      <c r="Y21" s="3292"/>
      <c r="Z21" s="1814" t="str">
        <f>Q21</f>
        <v>基础设施水平</v>
      </c>
      <c r="AA21" s="1811">
        <f t="shared" ref="AA21" si="8">D21/F21</f>
        <v>1</v>
      </c>
      <c r="AB21" s="1811">
        <f t="shared" ref="AB21" si="9">D21/H21</f>
        <v>1</v>
      </c>
      <c r="AC21" s="1811">
        <f t="shared" ref="AC21" si="10">D21/J21</f>
        <v>1</v>
      </c>
    </row>
    <row r="22" spans="1:29" ht="15">
      <c r="A22" s="428"/>
      <c r="B22" s="1385"/>
      <c r="C22" s="2610" t="s">
        <v>3108</v>
      </c>
      <c r="D22" s="448"/>
      <c r="E22" s="447" t="s">
        <v>3108</v>
      </c>
      <c r="F22" s="448"/>
      <c r="G22" s="2613" t="s">
        <v>3108</v>
      </c>
      <c r="H22" s="448"/>
      <c r="I22" s="447" t="s">
        <v>3108</v>
      </c>
      <c r="J22" s="448"/>
      <c r="K22" s="2614"/>
      <c r="L22" s="1141"/>
      <c r="M22" s="1132"/>
      <c r="N22" s="1132"/>
      <c r="O22" s="1132"/>
      <c r="P22" s="3290"/>
      <c r="Q22" s="1810"/>
      <c r="R22" s="772"/>
      <c r="S22" s="773"/>
      <c r="T22" s="772"/>
      <c r="U22" s="773"/>
      <c r="V22" s="772"/>
      <c r="W22" s="773"/>
      <c r="X22" s="1813"/>
      <c r="Y22" s="3292"/>
      <c r="Z22" s="1814"/>
      <c r="AA22" s="1811">
        <v>1</v>
      </c>
      <c r="AB22" s="1811">
        <v>1</v>
      </c>
      <c r="AC22" s="1811">
        <v>1</v>
      </c>
    </row>
    <row r="23" spans="1:29" ht="99.75">
      <c r="A23" s="428"/>
      <c r="B23" s="451" t="s">
        <v>2103</v>
      </c>
      <c r="C23" s="2609" t="str">
        <f>估价对象房地状况!C9</f>
        <v>估价对象临黑河沟及其绿化带；周边2公里范围内有门头沟博物馆等人文设施；综合评价环境状况较好。加油站？</v>
      </c>
      <c r="D23" s="450">
        <v>100</v>
      </c>
      <c r="E23" s="454"/>
      <c r="F23" s="450">
        <f>SUMIF(84:84,E24,85:85)-SUMIF(84:84,C24,85:85)+100</f>
        <v>98</v>
      </c>
      <c r="G23" s="452"/>
      <c r="H23" s="450">
        <f>SUMIF(84:84,G24,85:85)-SUMIF(84:84,C24,85:85)+100</f>
        <v>98</v>
      </c>
      <c r="I23" s="452"/>
      <c r="J23" s="450">
        <f>SUMIF(84:84,I24,85:85)-SUMIF(84:84,C24,85:85)+100</f>
        <v>100</v>
      </c>
      <c r="K23" s="445">
        <v>2</v>
      </c>
      <c r="L23" s="1141"/>
      <c r="M23" s="1132"/>
      <c r="N23" s="1132"/>
      <c r="O23" s="1132"/>
      <c r="P23" s="3290"/>
      <c r="Q23" s="1810" t="str">
        <f>B23</f>
        <v>自然及人文环境</v>
      </c>
      <c r="R23" s="772" t="s">
        <v>21</v>
      </c>
      <c r="S23" s="773">
        <f>F23</f>
        <v>98</v>
      </c>
      <c r="T23" s="772" t="s">
        <v>21</v>
      </c>
      <c r="U23" s="773">
        <f>H23</f>
        <v>98</v>
      </c>
      <c r="V23" s="772" t="s">
        <v>21</v>
      </c>
      <c r="W23" s="773">
        <f>J23</f>
        <v>100</v>
      </c>
      <c r="X23" s="1813"/>
      <c r="Y23" s="3292"/>
      <c r="Z23" s="1814" t="str">
        <f>Q23</f>
        <v>自然及人文环境</v>
      </c>
      <c r="AA23" s="1811">
        <f>D23/F23</f>
        <v>1.0204081632653061</v>
      </c>
      <c r="AB23" s="1811">
        <f>D23/H23</f>
        <v>1.0204081632653061</v>
      </c>
      <c r="AC23" s="1811">
        <f>D23/J23</f>
        <v>1</v>
      </c>
    </row>
    <row r="24" spans="1:29" ht="15">
      <c r="A24" s="428"/>
      <c r="B24" s="456"/>
      <c r="C24" s="447" t="s">
        <v>3072</v>
      </c>
      <c r="D24" s="448"/>
      <c r="E24" s="2606" t="s">
        <v>3073</v>
      </c>
      <c r="F24" s="448"/>
      <c r="G24" s="2607" t="s">
        <v>3073</v>
      </c>
      <c r="H24" s="448"/>
      <c r="I24" s="2607" t="s">
        <v>3072</v>
      </c>
      <c r="J24" s="448"/>
      <c r="K24" s="2608"/>
      <c r="L24" s="1141"/>
      <c r="M24" s="1132"/>
      <c r="N24" s="1132"/>
      <c r="O24" s="1132"/>
      <c r="P24" s="3290"/>
      <c r="Q24" s="1810"/>
      <c r="R24" s="772"/>
      <c r="S24" s="773"/>
      <c r="T24" s="772"/>
      <c r="U24" s="773"/>
      <c r="V24" s="772"/>
      <c r="W24" s="773"/>
      <c r="X24" s="1813"/>
      <c r="Y24" s="3292"/>
      <c r="Z24" s="1814"/>
      <c r="AA24" s="1811">
        <v>1</v>
      </c>
      <c r="AB24" s="1811">
        <v>1</v>
      </c>
      <c r="AC24" s="1811">
        <v>1</v>
      </c>
    </row>
    <row r="25" spans="1:29" ht="15">
      <c r="A25" s="428"/>
      <c r="B25" s="422" t="s">
        <v>2562</v>
      </c>
      <c r="C25" s="460" t="s">
        <v>3109</v>
      </c>
      <c r="D25" s="435">
        <v>100</v>
      </c>
      <c r="E25" s="2615" t="s">
        <v>3109</v>
      </c>
      <c r="F25" s="435">
        <f>SUMIF(86:86,E25,87:87)-SUMIF(86:86,C25,87:87)+100</f>
        <v>100</v>
      </c>
      <c r="G25" s="2616" t="s">
        <v>3109</v>
      </c>
      <c r="H25" s="435">
        <f>SUMIF(86:86,G25,87:87)-SUMIF(86:86,C25,87:87)+100</f>
        <v>100</v>
      </c>
      <c r="I25" s="2616" t="s">
        <v>3109</v>
      </c>
      <c r="J25" s="435">
        <f>SUMIF(86:86,I25,87:87)-SUMIF(86:86,C25,87:87)+100</f>
        <v>100</v>
      </c>
      <c r="K25" s="426"/>
      <c r="L25" s="1141"/>
      <c r="M25" s="1132"/>
      <c r="N25" s="1132"/>
      <c r="O25" s="1132"/>
      <c r="P25" s="3290"/>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92"/>
      <c r="Z25" s="1814" t="str">
        <f>Q25</f>
        <v>楼层-1</v>
      </c>
      <c r="AA25" s="1811">
        <f t="shared" ref="AA25:AA46" si="15">D25/F25</f>
        <v>1</v>
      </c>
      <c r="AB25" s="1811">
        <f t="shared" ref="AB25:AB46" si="16">D25/H25</f>
        <v>1</v>
      </c>
      <c r="AC25" s="1811">
        <f t="shared" ref="AC25:AC46" si="17">D25/J25</f>
        <v>1</v>
      </c>
    </row>
    <row r="26" spans="1:29" ht="15">
      <c r="A26" s="428"/>
      <c r="B26" s="422" t="s">
        <v>2563</v>
      </c>
      <c r="C26" s="460" t="s">
        <v>3111</v>
      </c>
      <c r="D26" s="435">
        <v>100</v>
      </c>
      <c r="E26" s="2615" t="s">
        <v>3111</v>
      </c>
      <c r="F26" s="435">
        <f>SUMIF(88:88,E26,89:89)-SUMIF(88:88,C26,89:89)+100</f>
        <v>100</v>
      </c>
      <c r="G26" s="2616" t="s">
        <v>3111</v>
      </c>
      <c r="H26" s="435">
        <f>SUMIF(88:88,G26,89:89)-SUMIF(88:88,C26,89:89)+100</f>
        <v>100</v>
      </c>
      <c r="I26" s="2616" t="s">
        <v>3111</v>
      </c>
      <c r="J26" s="435">
        <f>SUMIF(88:88,I26,89:89)-SUMIF(88:88,C26,89:89)+100</f>
        <v>100</v>
      </c>
      <c r="K26" s="426"/>
      <c r="L26" s="1141"/>
      <c r="M26" s="1132"/>
      <c r="N26" s="1132"/>
      <c r="O26" s="1132"/>
      <c r="P26" s="3290"/>
      <c r="Q26" s="1810" t="str">
        <f t="shared" si="11"/>
        <v>朝向</v>
      </c>
      <c r="R26" s="772" t="s">
        <v>21</v>
      </c>
      <c r="S26" s="773">
        <f t="shared" si="12"/>
        <v>100</v>
      </c>
      <c r="T26" s="772" t="s">
        <v>21</v>
      </c>
      <c r="U26" s="773">
        <f t="shared" si="13"/>
        <v>100</v>
      </c>
      <c r="V26" s="772" t="s">
        <v>21</v>
      </c>
      <c r="W26" s="773">
        <f t="shared" si="14"/>
        <v>100</v>
      </c>
      <c r="X26" s="1813"/>
      <c r="Y26" s="3292"/>
      <c r="Z26" s="1814" t="str">
        <f>Q26</f>
        <v>朝向</v>
      </c>
      <c r="AA26" s="1811">
        <f t="shared" si="15"/>
        <v>1</v>
      </c>
      <c r="AB26" s="1811">
        <f t="shared" si="16"/>
        <v>1</v>
      </c>
      <c r="AC26" s="1811">
        <f t="shared" si="17"/>
        <v>1</v>
      </c>
    </row>
    <row r="27" spans="1:29" s="117" customFormat="1" ht="15">
      <c r="A27" s="431"/>
      <c r="B27" s="2958" t="s">
        <v>3119</v>
      </c>
      <c r="C27" s="2959" t="s">
        <v>3250</v>
      </c>
      <c r="D27" s="462">
        <v>100</v>
      </c>
      <c r="E27" s="2956" t="s">
        <v>3121</v>
      </c>
      <c r="F27" s="462">
        <f>SUMIF(90:90,E27,91:91)-SUMIF(90:90,C27,91:91)+100</f>
        <v>100</v>
      </c>
      <c r="G27" s="2956" t="s">
        <v>3121</v>
      </c>
      <c r="H27" s="462">
        <f>SUMIF(90:90,G27,91:91)-SUMIF(90:90,C27,91:91)+100</f>
        <v>100</v>
      </c>
      <c r="I27" s="2956" t="s">
        <v>3121</v>
      </c>
      <c r="J27" s="462">
        <f>SUMIF(90:90,I27,91:91)-SUMIF(90:90,C27,91:91)+100</f>
        <v>100</v>
      </c>
      <c r="K27" s="2603"/>
      <c r="L27" s="1133"/>
      <c r="M27" s="1134"/>
      <c r="N27" s="1134"/>
      <c r="O27" s="1134"/>
      <c r="P27" s="3290"/>
      <c r="Q27" s="1795" t="str">
        <f t="shared" si="11"/>
        <v>临街状态</v>
      </c>
      <c r="R27" s="768" t="s">
        <v>21</v>
      </c>
      <c r="S27" s="769">
        <f t="shared" si="12"/>
        <v>100</v>
      </c>
      <c r="T27" s="768" t="s">
        <v>21</v>
      </c>
      <c r="U27" s="769">
        <f t="shared" si="13"/>
        <v>100</v>
      </c>
      <c r="V27" s="768" t="s">
        <v>21</v>
      </c>
      <c r="W27" s="769">
        <f t="shared" si="14"/>
        <v>100</v>
      </c>
      <c r="X27" s="770"/>
      <c r="Y27" s="3292"/>
      <c r="Z27" s="55" t="str">
        <f>Q27</f>
        <v>临街状态</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7"/>
      <c r="H28" s="435">
        <f>SUMIF(92:92,G28,93:93)-SUMIF(92:92,C28,93:93)+100</f>
        <v>100</v>
      </c>
      <c r="I28" s="434"/>
      <c r="J28" s="435">
        <f>SUMIF(92:92,I28,93:93)-SUMIF(92:92,C28,93:93)+100</f>
        <v>100</v>
      </c>
      <c r="K28" s="2603"/>
      <c r="L28" s="1141"/>
      <c r="M28" s="1132"/>
      <c r="N28" s="1132"/>
      <c r="O28" s="1132"/>
      <c r="P28" s="3290"/>
      <c r="Q28" s="1810">
        <f t="shared" si="11"/>
        <v>111</v>
      </c>
      <c r="R28" s="772" t="s">
        <v>21</v>
      </c>
      <c r="S28" s="773">
        <f t="shared" si="12"/>
        <v>100</v>
      </c>
      <c r="T28" s="772" t="s">
        <v>21</v>
      </c>
      <c r="U28" s="773">
        <f t="shared" si="13"/>
        <v>100</v>
      </c>
      <c r="V28" s="772" t="s">
        <v>21</v>
      </c>
      <c r="W28" s="773">
        <f t="shared" si="14"/>
        <v>100</v>
      </c>
      <c r="X28" s="1813"/>
      <c r="Y28" s="3292"/>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7"/>
      <c r="H29" s="435">
        <f>SUMIF(94:94,G29,95:95)-SUMIF(94:94,C29,95:95)+100</f>
        <v>100</v>
      </c>
      <c r="I29" s="434"/>
      <c r="J29" s="435">
        <f>SUMIF(94:94,I29,95:95)-SUMIF(94:94,C29,95:95)+100</f>
        <v>100</v>
      </c>
      <c r="K29" s="2603"/>
      <c r="L29" s="1141"/>
      <c r="M29" s="1132"/>
      <c r="N29" s="1132"/>
      <c r="O29" s="1132"/>
      <c r="P29" s="3290"/>
      <c r="Q29" s="1810">
        <f t="shared" si="11"/>
        <v>111</v>
      </c>
      <c r="R29" s="772" t="s">
        <v>21</v>
      </c>
      <c r="S29" s="773">
        <f t="shared" si="12"/>
        <v>100</v>
      </c>
      <c r="T29" s="772" t="s">
        <v>21</v>
      </c>
      <c r="U29" s="773">
        <f t="shared" si="13"/>
        <v>100</v>
      </c>
      <c r="V29" s="772" t="s">
        <v>21</v>
      </c>
      <c r="W29" s="773">
        <f t="shared" si="14"/>
        <v>100</v>
      </c>
      <c r="X29" s="1813"/>
      <c r="Y29" s="3292"/>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7"/>
      <c r="H30" s="435">
        <f>SUMIF(96:96,G30,97:97)-SUMIF(96:96,C30,97:97)+100</f>
        <v>100</v>
      </c>
      <c r="I30" s="434"/>
      <c r="J30" s="435">
        <f>SUMIF(96:96,I30,97:97)-SUMIF(96:96,C30,97:97)+100</f>
        <v>100</v>
      </c>
      <c r="K30" s="2603"/>
      <c r="L30" s="1141"/>
      <c r="M30" s="1132"/>
      <c r="N30" s="1132"/>
      <c r="O30" s="1132"/>
      <c r="P30" s="3290"/>
      <c r="Q30" s="1810">
        <f t="shared" si="11"/>
        <v>111</v>
      </c>
      <c r="R30" s="772" t="s">
        <v>21</v>
      </c>
      <c r="S30" s="773">
        <f t="shared" si="12"/>
        <v>100</v>
      </c>
      <c r="T30" s="772" t="s">
        <v>21</v>
      </c>
      <c r="U30" s="773">
        <f t="shared" si="13"/>
        <v>100</v>
      </c>
      <c r="V30" s="772" t="s">
        <v>21</v>
      </c>
      <c r="W30" s="773">
        <f t="shared" si="14"/>
        <v>100</v>
      </c>
      <c r="X30" s="1813"/>
      <c r="Y30" s="3292"/>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8"/>
      <c r="H31" s="438">
        <f>SUMIF(98:98,G31,99:99)-SUMIF(98:98,C31,99:99)+100</f>
        <v>100</v>
      </c>
      <c r="I31" s="437"/>
      <c r="J31" s="438">
        <f>SUMIF(98:98,I31,99:99)-SUMIF(98:98,C31,99:99)+100</f>
        <v>100</v>
      </c>
      <c r="K31" s="2603"/>
      <c r="L31" s="1141"/>
      <c r="M31" s="1132"/>
      <c r="N31" s="1132"/>
      <c r="O31" s="1132"/>
      <c r="P31" s="3290"/>
      <c r="Q31" s="1810">
        <f t="shared" si="11"/>
        <v>111</v>
      </c>
      <c r="R31" s="772" t="s">
        <v>21</v>
      </c>
      <c r="S31" s="773">
        <f t="shared" si="12"/>
        <v>100</v>
      </c>
      <c r="T31" s="772" t="s">
        <v>21</v>
      </c>
      <c r="U31" s="773">
        <f t="shared" si="13"/>
        <v>100</v>
      </c>
      <c r="V31" s="772" t="s">
        <v>21</v>
      </c>
      <c r="W31" s="773">
        <f t="shared" si="14"/>
        <v>100</v>
      </c>
      <c r="X31" s="1813"/>
      <c r="Y31" s="3292"/>
      <c r="Z31" s="1814">
        <f t="shared" si="18"/>
        <v>111</v>
      </c>
      <c r="AA31" s="1811">
        <f t="shared" si="15"/>
        <v>1</v>
      </c>
      <c r="AB31" s="1811">
        <f t="shared" si="16"/>
        <v>1</v>
      </c>
      <c r="AC31" s="1811">
        <f t="shared" si="17"/>
        <v>1</v>
      </c>
    </row>
    <row r="32" spans="1:29" ht="15">
      <c r="A32" s="440" t="s">
        <v>2564</v>
      </c>
      <c r="B32" s="71" t="s">
        <v>2565</v>
      </c>
      <c r="C32" s="2619" t="s">
        <v>3115</v>
      </c>
      <c r="D32" s="465">
        <v>100</v>
      </c>
      <c r="E32" s="2620" t="s">
        <v>3115</v>
      </c>
      <c r="F32" s="461">
        <f>SUMIF(100:100,E32,101:101)-SUMIF(100:100,C32,101:101)+100</f>
        <v>100</v>
      </c>
      <c r="G32" s="2619" t="s">
        <v>3115</v>
      </c>
      <c r="H32" s="465">
        <f>SUMIF(100:100,G32,101:101)-SUMIF(100:100,C32,101:101)+100</f>
        <v>100</v>
      </c>
      <c r="I32" s="2620" t="s">
        <v>3113</v>
      </c>
      <c r="J32" s="435">
        <f>SUMIF(100:100,I32,101:101)-SUMIF(100:100,C32,101:101)+100</f>
        <v>100</v>
      </c>
      <c r="K32" s="426"/>
      <c r="L32" s="1141"/>
      <c r="M32" s="1132"/>
      <c r="N32" s="1132"/>
      <c r="O32" s="1132"/>
      <c r="P32" s="3293" t="s">
        <v>2566</v>
      </c>
      <c r="Q32" s="1810" t="str">
        <f t="shared" si="11"/>
        <v>建筑类型</v>
      </c>
      <c r="R32" s="772" t="s">
        <v>21</v>
      </c>
      <c r="S32" s="773">
        <f t="shared" si="12"/>
        <v>100</v>
      </c>
      <c r="T32" s="772" t="s">
        <v>21</v>
      </c>
      <c r="U32" s="773">
        <f t="shared" si="13"/>
        <v>100</v>
      </c>
      <c r="V32" s="772" t="s">
        <v>21</v>
      </c>
      <c r="W32" s="773">
        <f t="shared" si="14"/>
        <v>100</v>
      </c>
      <c r="X32" s="1813"/>
      <c r="Y32" s="3296" t="s">
        <v>2566</v>
      </c>
      <c r="Z32" s="1814" t="str">
        <f t="shared" si="18"/>
        <v>建筑类型</v>
      </c>
      <c r="AA32" s="1811">
        <f t="shared" si="15"/>
        <v>1</v>
      </c>
      <c r="AB32" s="1811">
        <f t="shared" si="16"/>
        <v>1</v>
      </c>
      <c r="AC32" s="1811">
        <f t="shared" si="17"/>
        <v>1</v>
      </c>
    </row>
    <row r="33" spans="1:29" s="469" customFormat="1" ht="15">
      <c r="A33" s="466"/>
      <c r="B33" s="422" t="s">
        <v>2567</v>
      </c>
      <c r="C33" s="467">
        <v>1</v>
      </c>
      <c r="D33" s="136">
        <v>100</v>
      </c>
      <c r="E33" s="430">
        <v>1</v>
      </c>
      <c r="F33" s="425">
        <f>LOOKUP(E33,103:103,104:104)-LOOKUP(C33,103:103,104:104)+100</f>
        <v>100</v>
      </c>
      <c r="G33" s="429">
        <v>1</v>
      </c>
      <c r="H33" s="136">
        <f>LOOKUP(G33,103:103,104:104)-LOOKUP(C33,103:103,104:104)+100</f>
        <v>100</v>
      </c>
      <c r="I33" s="430">
        <v>1</v>
      </c>
      <c r="J33" s="136">
        <f>LOOKUP(I33,103:103,104:104)-LOOKUP(C33,103:103,104:104)+100</f>
        <v>100</v>
      </c>
      <c r="K33" s="2603"/>
      <c r="L33" s="1139"/>
      <c r="M33" s="1142"/>
      <c r="N33" s="1142"/>
      <c r="O33" s="1142"/>
      <c r="P33" s="3294"/>
      <c r="Q33" s="774" t="str">
        <f t="shared" si="11"/>
        <v>项目建筑规模</v>
      </c>
      <c r="R33" s="775" t="s">
        <v>21</v>
      </c>
      <c r="S33" s="776">
        <f t="shared" si="12"/>
        <v>100</v>
      </c>
      <c r="T33" s="775" t="s">
        <v>21</v>
      </c>
      <c r="U33" s="776">
        <f t="shared" si="13"/>
        <v>100</v>
      </c>
      <c r="V33" s="775" t="s">
        <v>21</v>
      </c>
      <c r="W33" s="776">
        <f t="shared" si="14"/>
        <v>100</v>
      </c>
      <c r="X33" s="777"/>
      <c r="Y33" s="3296"/>
      <c r="Z33" s="778" t="str">
        <f t="shared" si="18"/>
        <v>项目建筑规模</v>
      </c>
      <c r="AA33" s="1811">
        <f t="shared" si="15"/>
        <v>1</v>
      </c>
      <c r="AB33" s="1811">
        <f t="shared" si="16"/>
        <v>1</v>
      </c>
      <c r="AC33" s="1811">
        <f t="shared" si="17"/>
        <v>1</v>
      </c>
    </row>
    <row r="34" spans="1:29" ht="15">
      <c r="A34" s="470"/>
      <c r="B34" s="422" t="s">
        <v>2568</v>
      </c>
      <c r="C34" s="2621" t="s">
        <v>3117</v>
      </c>
      <c r="D34" s="435">
        <v>100</v>
      </c>
      <c r="E34" s="2622" t="s">
        <v>3117</v>
      </c>
      <c r="F34" s="461">
        <f>SUMIF(105:105,E34,106:106)-SUMIF(105:105,C34,106:106)+100</f>
        <v>100</v>
      </c>
      <c r="G34" s="2621" t="s">
        <v>3117</v>
      </c>
      <c r="H34" s="435">
        <f>SUMIF(105:105,G34,106:106)-SUMIF(105:105,C34,106:106)+100</f>
        <v>100</v>
      </c>
      <c r="I34" s="2622" t="s">
        <v>3117</v>
      </c>
      <c r="J34" s="435">
        <f>SUMIF(105:105,I34,106:106)-SUMIF(105:105,C34,106:106)+100</f>
        <v>100</v>
      </c>
      <c r="K34" s="426"/>
      <c r="L34" s="1141"/>
      <c r="M34" s="1132"/>
      <c r="N34" s="1132"/>
      <c r="O34" s="1132"/>
      <c r="P34" s="3294"/>
      <c r="Q34" s="1810" t="str">
        <f t="shared" si="11"/>
        <v>建筑结构</v>
      </c>
      <c r="R34" s="772" t="s">
        <v>21</v>
      </c>
      <c r="S34" s="773">
        <f t="shared" si="12"/>
        <v>100</v>
      </c>
      <c r="T34" s="772" t="s">
        <v>21</v>
      </c>
      <c r="U34" s="773">
        <f t="shared" si="13"/>
        <v>100</v>
      </c>
      <c r="V34" s="772" t="s">
        <v>21</v>
      </c>
      <c r="W34" s="773">
        <f t="shared" si="14"/>
        <v>100</v>
      </c>
      <c r="X34" s="1813"/>
      <c r="Y34" s="3296"/>
      <c r="Z34" s="1814" t="str">
        <f t="shared" si="18"/>
        <v>建筑结构</v>
      </c>
      <c r="AA34" s="1811">
        <f t="shared" si="15"/>
        <v>1</v>
      </c>
      <c r="AB34" s="1811">
        <f t="shared" si="16"/>
        <v>1</v>
      </c>
      <c r="AC34" s="1811">
        <f t="shared" si="17"/>
        <v>1</v>
      </c>
    </row>
    <row r="35" spans="1:29" ht="15">
      <c r="A35" s="470"/>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1"/>
      <c r="M35" s="1132"/>
      <c r="N35" s="1132"/>
      <c r="O35" s="1132"/>
      <c r="P35" s="3294"/>
      <c r="Q35" s="1810" t="str">
        <f t="shared" si="11"/>
        <v>建筑品质</v>
      </c>
      <c r="R35" s="772" t="s">
        <v>21</v>
      </c>
      <c r="S35" s="773">
        <f t="shared" si="12"/>
        <v>100</v>
      </c>
      <c r="T35" s="772" t="s">
        <v>21</v>
      </c>
      <c r="U35" s="773">
        <f t="shared" si="13"/>
        <v>100</v>
      </c>
      <c r="V35" s="772" t="s">
        <v>21</v>
      </c>
      <c r="W35" s="773">
        <f t="shared" si="14"/>
        <v>100</v>
      </c>
      <c r="X35" s="1813"/>
      <c r="Y35" s="3296"/>
      <c r="Z35" s="1814" t="str">
        <f t="shared" si="18"/>
        <v>建筑品质</v>
      </c>
      <c r="AA35" s="1811">
        <f t="shared" si="15"/>
        <v>1</v>
      </c>
      <c r="AB35" s="1811">
        <f t="shared" si="16"/>
        <v>1</v>
      </c>
      <c r="AC35" s="1811">
        <f t="shared" si="17"/>
        <v>1</v>
      </c>
    </row>
    <row r="36" spans="1:29" ht="15">
      <c r="A36" s="470"/>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1"/>
      <c r="M36" s="1132"/>
      <c r="N36" s="1132"/>
      <c r="O36" s="1132"/>
      <c r="P36" s="3294"/>
      <c r="Q36" s="1810" t="str">
        <f t="shared" si="11"/>
        <v>公共部分装修</v>
      </c>
      <c r="R36" s="772" t="s">
        <v>21</v>
      </c>
      <c r="S36" s="773">
        <f t="shared" si="12"/>
        <v>100</v>
      </c>
      <c r="T36" s="772" t="s">
        <v>21</v>
      </c>
      <c r="U36" s="773">
        <f t="shared" si="13"/>
        <v>100</v>
      </c>
      <c r="V36" s="772" t="s">
        <v>21</v>
      </c>
      <c r="W36" s="773">
        <f t="shared" si="14"/>
        <v>100</v>
      </c>
      <c r="X36" s="1813"/>
      <c r="Y36" s="3296"/>
      <c r="Z36" s="1814" t="str">
        <f t="shared" si="18"/>
        <v>公共部分装修</v>
      </c>
      <c r="AA36" s="1811">
        <f t="shared" si="15"/>
        <v>1</v>
      </c>
      <c r="AB36" s="1811">
        <f t="shared" si="16"/>
        <v>1</v>
      </c>
      <c r="AC36" s="1811">
        <f t="shared" si="17"/>
        <v>1</v>
      </c>
    </row>
    <row r="37" spans="1:29" s="117" customFormat="1" ht="15">
      <c r="A37" s="471"/>
      <c r="B37" s="422" t="s">
        <v>2571</v>
      </c>
      <c r="C37" s="472">
        <v>1</v>
      </c>
      <c r="D37" s="136">
        <v>100</v>
      </c>
      <c r="E37" s="472">
        <v>1</v>
      </c>
      <c r="F37" s="425">
        <f>LOOKUP(E37,112:112,113:113)-LOOKUP(C37,112:112,113:113)+100</f>
        <v>100</v>
      </c>
      <c r="G37" s="474">
        <v>1</v>
      </c>
      <c r="H37" s="136">
        <f>LOOKUP(G37,112:112,113:113)-LOOKUP(C37,112:112,113:113)+100</f>
        <v>100</v>
      </c>
      <c r="I37" s="473">
        <v>1</v>
      </c>
      <c r="J37" s="136">
        <f>LOOKUP(I37,112:112,113:113)-LOOKUP(C37,112:112,113:113)+100</f>
        <v>100</v>
      </c>
      <c r="K37" s="426"/>
      <c r="L37" s="1133"/>
      <c r="M37" s="1134"/>
      <c r="N37" s="1134"/>
      <c r="O37" s="1134"/>
      <c r="P37" s="3294"/>
      <c r="Q37" s="1795" t="str">
        <f t="shared" si="11"/>
        <v>成新度</v>
      </c>
      <c r="R37" s="768" t="s">
        <v>21</v>
      </c>
      <c r="S37" s="769">
        <f t="shared" si="12"/>
        <v>100</v>
      </c>
      <c r="T37" s="768" t="s">
        <v>21</v>
      </c>
      <c r="U37" s="769">
        <f t="shared" si="13"/>
        <v>100</v>
      </c>
      <c r="V37" s="768" t="s">
        <v>21</v>
      </c>
      <c r="W37" s="769">
        <f t="shared" si="14"/>
        <v>100</v>
      </c>
      <c r="X37" s="770"/>
      <c r="Y37" s="3296"/>
      <c r="Z37" s="55" t="str">
        <f t="shared" si="18"/>
        <v>成新度</v>
      </c>
      <c r="AA37" s="771">
        <f t="shared" si="15"/>
        <v>1</v>
      </c>
      <c r="AB37" s="771">
        <f t="shared" si="16"/>
        <v>1</v>
      </c>
      <c r="AC37" s="771">
        <f t="shared" si="17"/>
        <v>1</v>
      </c>
    </row>
    <row r="38" spans="1:29" ht="28.5">
      <c r="A38" s="470"/>
      <c r="B38" s="422" t="s">
        <v>2572</v>
      </c>
      <c r="C38" s="2615" t="s">
        <v>3126</v>
      </c>
      <c r="D38" s="435">
        <v>100</v>
      </c>
      <c r="E38" s="2616" t="s">
        <v>3126</v>
      </c>
      <c r="F38" s="461">
        <f>SUMIF(114:114,E38,115:115)-SUMIF(114:114,C38,115:115)+100</f>
        <v>100</v>
      </c>
      <c r="G38" s="2615" t="s">
        <v>3126</v>
      </c>
      <c r="H38" s="435">
        <f>SUMIF(114:114,G38,115:115)-SUMIF(114:114,C38,115:115)+100</f>
        <v>100</v>
      </c>
      <c r="I38" s="2616" t="s">
        <v>3126</v>
      </c>
      <c r="J38" s="435">
        <f>SUMIF(114:114,I38,115:115)-SUMIF(114:114,C38,115:115)+100</f>
        <v>100</v>
      </c>
      <c r="K38" s="426"/>
      <c r="L38" s="1141"/>
      <c r="M38" s="1132"/>
      <c r="N38" s="1132"/>
      <c r="O38" s="1132"/>
      <c r="P38" s="3294" t="s">
        <v>2566</v>
      </c>
      <c r="Q38" s="1810" t="str">
        <f t="shared" si="11"/>
        <v>物业管理</v>
      </c>
      <c r="R38" s="772" t="s">
        <v>21</v>
      </c>
      <c r="S38" s="773">
        <f t="shared" si="12"/>
        <v>100</v>
      </c>
      <c r="T38" s="772" t="s">
        <v>21</v>
      </c>
      <c r="U38" s="773">
        <f t="shared" si="13"/>
        <v>100</v>
      </c>
      <c r="V38" s="772" t="s">
        <v>21</v>
      </c>
      <c r="W38" s="773">
        <f t="shared" si="14"/>
        <v>100</v>
      </c>
      <c r="X38" s="1813"/>
      <c r="Y38" s="3296" t="s">
        <v>2566</v>
      </c>
      <c r="Z38" s="1814" t="str">
        <f t="shared" si="18"/>
        <v>物业管理</v>
      </c>
      <c r="AA38" s="1811">
        <f t="shared" si="15"/>
        <v>1</v>
      </c>
      <c r="AB38" s="1811">
        <f t="shared" si="16"/>
        <v>1</v>
      </c>
      <c r="AC38" s="1811">
        <f t="shared" si="17"/>
        <v>1</v>
      </c>
    </row>
    <row r="39" spans="1:29" ht="15">
      <c r="A39" s="470"/>
      <c r="B39" s="422" t="s">
        <v>2573</v>
      </c>
      <c r="C39" s="2615" t="s">
        <v>3251</v>
      </c>
      <c r="D39" s="435">
        <v>100</v>
      </c>
      <c r="E39" s="2616" t="s">
        <v>3225</v>
      </c>
      <c r="F39" s="461">
        <f>SUMIF(116:116,E39,117:117)-SUMIF(116:116,C39,117:117)+100</f>
        <v>102</v>
      </c>
      <c r="G39" s="2615" t="s">
        <v>3099</v>
      </c>
      <c r="H39" s="435">
        <f>SUMIF(116:116,G39,117:117)-SUMIF(116:116,C39,117:117)+100</f>
        <v>104</v>
      </c>
      <c r="I39" s="2616" t="s">
        <v>3225</v>
      </c>
      <c r="J39" s="435">
        <f>SUMIF(116:116,I39,117:117)-SUMIF(116:116,C39,117:117)+100</f>
        <v>102</v>
      </c>
      <c r="K39" s="426">
        <v>1</v>
      </c>
      <c r="L39" s="1141"/>
      <c r="M39" s="1132"/>
      <c r="N39" s="1132"/>
      <c r="O39" s="1132"/>
      <c r="P39" s="3294"/>
      <c r="Q39" s="1810" t="str">
        <f t="shared" si="11"/>
        <v>市政基础设施</v>
      </c>
      <c r="R39" s="772" t="s">
        <v>21</v>
      </c>
      <c r="S39" s="773">
        <f t="shared" si="12"/>
        <v>102</v>
      </c>
      <c r="T39" s="772" t="s">
        <v>21</v>
      </c>
      <c r="U39" s="773">
        <f t="shared" si="13"/>
        <v>104</v>
      </c>
      <c r="V39" s="772" t="s">
        <v>21</v>
      </c>
      <c r="W39" s="773">
        <f t="shared" si="14"/>
        <v>102</v>
      </c>
      <c r="X39" s="1813"/>
      <c r="Y39" s="3296"/>
      <c r="Z39" s="1814" t="str">
        <f t="shared" si="18"/>
        <v>市政基础设施</v>
      </c>
      <c r="AA39" s="1811">
        <f t="shared" si="15"/>
        <v>0.98039215686274506</v>
      </c>
      <c r="AB39" s="1811">
        <f t="shared" si="16"/>
        <v>0.96153846153846156</v>
      </c>
      <c r="AC39" s="1811">
        <f t="shared" si="17"/>
        <v>0.98039215686274506</v>
      </c>
    </row>
    <row r="40" spans="1:29" ht="15">
      <c r="A40" s="470"/>
      <c r="B40" s="422" t="s">
        <v>2574</v>
      </c>
      <c r="C40" s="2615" t="s">
        <v>3133</v>
      </c>
      <c r="D40" s="435">
        <v>100</v>
      </c>
      <c r="E40" s="2616" t="s">
        <v>3133</v>
      </c>
      <c r="F40" s="461">
        <f>SUMIF(118:118,E40,119:119)-SUMIF(118:118,C40,119:119)+100</f>
        <v>100</v>
      </c>
      <c r="G40" s="2615" t="s">
        <v>3133</v>
      </c>
      <c r="H40" s="435">
        <f>SUMIF(118:118,G40,119:119)-SUMIF(118:118,C40,119:119)+100</f>
        <v>100</v>
      </c>
      <c r="I40" s="2616" t="s">
        <v>3133</v>
      </c>
      <c r="J40" s="435">
        <f>SUMIF(118:118,I40,119:119)-SUMIF(118:118,C40,119:119)+100</f>
        <v>100</v>
      </c>
      <c r="K40" s="426"/>
      <c r="L40" s="1141"/>
      <c r="M40" s="1132"/>
      <c r="N40" s="1132"/>
      <c r="O40" s="1132"/>
      <c r="P40" s="3294"/>
      <c r="Q40" s="1810" t="str">
        <f t="shared" si="11"/>
        <v>房型</v>
      </c>
      <c r="R40" s="772" t="s">
        <v>21</v>
      </c>
      <c r="S40" s="773">
        <f t="shared" si="12"/>
        <v>100</v>
      </c>
      <c r="T40" s="772" t="s">
        <v>21</v>
      </c>
      <c r="U40" s="773">
        <f t="shared" si="13"/>
        <v>100</v>
      </c>
      <c r="V40" s="772" t="s">
        <v>21</v>
      </c>
      <c r="W40" s="773">
        <f t="shared" si="14"/>
        <v>100</v>
      </c>
      <c r="X40" s="1813"/>
      <c r="Y40" s="3296"/>
      <c r="Z40" s="1814" t="str">
        <f t="shared" si="18"/>
        <v>房型</v>
      </c>
      <c r="AA40" s="1811">
        <f t="shared" si="15"/>
        <v>1</v>
      </c>
      <c r="AB40" s="1811">
        <f t="shared" si="16"/>
        <v>1</v>
      </c>
      <c r="AC40" s="1811">
        <f t="shared" si="17"/>
        <v>1</v>
      </c>
    </row>
    <row r="41" spans="1:29" s="469" customFormat="1" ht="42">
      <c r="A41" s="466"/>
      <c r="B41" s="422" t="s">
        <v>2575</v>
      </c>
      <c r="C41" s="467" t="s">
        <v>3183</v>
      </c>
      <c r="D41" s="136">
        <v>100</v>
      </c>
      <c r="E41" s="467" t="s">
        <v>3141</v>
      </c>
      <c r="F41" s="425">
        <f>SUMIF(120:120,E41,121:121)-SUMIF(120:120,C41,121:121)+100</f>
        <v>100</v>
      </c>
      <c r="G41" s="467" t="s">
        <v>3141</v>
      </c>
      <c r="H41" s="136">
        <f>SUMIF(120:120,G41,121:121)-SUMIF(120:120,C41,121:121)+100</f>
        <v>100</v>
      </c>
      <c r="I41" s="467" t="s">
        <v>3141</v>
      </c>
      <c r="J41" s="435">
        <f>SUMIF(120:120,I41,121:121)-SUMIF(120:120,C41,121:121)+100</f>
        <v>100</v>
      </c>
      <c r="K41" s="2603"/>
      <c r="L41" s="1139"/>
      <c r="M41" s="1142"/>
      <c r="N41" s="1142"/>
      <c r="O41" s="1142"/>
      <c r="P41" s="3294"/>
      <c r="Q41" s="774" t="str">
        <f t="shared" si="11"/>
        <v>单套/主力户型建筑面积</v>
      </c>
      <c r="R41" s="775" t="s">
        <v>21</v>
      </c>
      <c r="S41" s="776">
        <f t="shared" si="12"/>
        <v>100</v>
      </c>
      <c r="T41" s="775" t="s">
        <v>21</v>
      </c>
      <c r="U41" s="776">
        <f t="shared" si="13"/>
        <v>100</v>
      </c>
      <c r="V41" s="775" t="s">
        <v>21</v>
      </c>
      <c r="W41" s="776">
        <f t="shared" si="14"/>
        <v>100</v>
      </c>
      <c r="X41" s="777"/>
      <c r="Y41" s="3296"/>
      <c r="Z41" s="778" t="str">
        <f t="shared" si="18"/>
        <v>单套/主力户型建筑面积</v>
      </c>
      <c r="AA41" s="1811">
        <f t="shared" si="15"/>
        <v>1</v>
      </c>
      <c r="AB41" s="1811">
        <f t="shared" si="16"/>
        <v>1</v>
      </c>
      <c r="AC41" s="1811">
        <f t="shared" si="17"/>
        <v>1</v>
      </c>
    </row>
    <row r="42" spans="1:29" ht="15">
      <c r="A42" s="470"/>
      <c r="B42" s="422" t="s">
        <v>2576</v>
      </c>
      <c r="C42" s="2615" t="s">
        <v>3135</v>
      </c>
      <c r="D42" s="435">
        <v>100</v>
      </c>
      <c r="E42" s="2616" t="s">
        <v>3135</v>
      </c>
      <c r="F42" s="461">
        <f>SUMIF(122:122,E42,123:123)-SUMIF(122:122,C42,123:123)+100</f>
        <v>100</v>
      </c>
      <c r="G42" s="2615" t="s">
        <v>3135</v>
      </c>
      <c r="H42" s="435">
        <f>SUMIF(122:122,G42,123:123)-SUMIF(122:122,C42,123:123)+100</f>
        <v>100</v>
      </c>
      <c r="I42" s="2616" t="s">
        <v>3135</v>
      </c>
      <c r="J42" s="435">
        <f>SUMIF(122:122,I42,123:123)-SUMIF(122:122,C42,123:123)+100</f>
        <v>100</v>
      </c>
      <c r="K42" s="426"/>
      <c r="L42" s="1141"/>
      <c r="M42" s="1132"/>
      <c r="N42" s="1132"/>
      <c r="O42" s="1132"/>
      <c r="P42" s="3294"/>
      <c r="Q42" s="1810" t="str">
        <f t="shared" si="11"/>
        <v>内部装修</v>
      </c>
      <c r="R42" s="772" t="s">
        <v>21</v>
      </c>
      <c r="S42" s="773">
        <f t="shared" si="12"/>
        <v>100</v>
      </c>
      <c r="T42" s="772" t="s">
        <v>21</v>
      </c>
      <c r="U42" s="773">
        <f t="shared" si="13"/>
        <v>100</v>
      </c>
      <c r="V42" s="772" t="s">
        <v>21</v>
      </c>
      <c r="W42" s="773">
        <f t="shared" si="14"/>
        <v>100</v>
      </c>
      <c r="X42" s="1813"/>
      <c r="Y42" s="3296"/>
      <c r="Z42" s="1814" t="str">
        <f t="shared" si="18"/>
        <v>内部装修</v>
      </c>
      <c r="AA42" s="1811">
        <f t="shared" si="15"/>
        <v>1</v>
      </c>
      <c r="AB42" s="1811">
        <f t="shared" si="16"/>
        <v>1</v>
      </c>
      <c r="AC42" s="1811">
        <f t="shared" si="17"/>
        <v>1</v>
      </c>
    </row>
    <row r="43" spans="1:29" ht="15">
      <c r="A43" s="470"/>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1"/>
      <c r="M43" s="1132"/>
      <c r="N43" s="1132"/>
      <c r="O43" s="1132"/>
      <c r="P43" s="3294"/>
      <c r="Q43" s="1810" t="str">
        <f t="shared" si="11"/>
        <v>内部装修维护情况</v>
      </c>
      <c r="R43" s="772" t="s">
        <v>21</v>
      </c>
      <c r="S43" s="773">
        <f t="shared" si="12"/>
        <v>100</v>
      </c>
      <c r="T43" s="772" t="s">
        <v>21</v>
      </c>
      <c r="U43" s="773">
        <f t="shared" si="13"/>
        <v>100</v>
      </c>
      <c r="V43" s="772" t="s">
        <v>21</v>
      </c>
      <c r="W43" s="773">
        <f t="shared" si="14"/>
        <v>100</v>
      </c>
      <c r="X43" s="1813"/>
      <c r="Y43" s="3296"/>
      <c r="Z43" s="1814" t="str">
        <f t="shared" si="18"/>
        <v>内部装修维护情况</v>
      </c>
      <c r="AA43" s="1811">
        <f t="shared" si="15"/>
        <v>1</v>
      </c>
      <c r="AB43" s="1811">
        <f t="shared" si="16"/>
        <v>1</v>
      </c>
      <c r="AC43" s="1811">
        <f t="shared" si="17"/>
        <v>1</v>
      </c>
    </row>
    <row r="44" spans="1:29" s="117" customFormat="1" ht="15">
      <c r="A44" s="471"/>
      <c r="B44" s="2958" t="s">
        <v>3137</v>
      </c>
      <c r="C44" s="2960" t="s">
        <v>3138</v>
      </c>
      <c r="D44" s="136">
        <v>100</v>
      </c>
      <c r="E44" s="2960" t="s">
        <v>3138</v>
      </c>
      <c r="F44" s="425">
        <f>SUMIF(126:126,E44,127:127)-SUMIF(126:126,C44,127:127)+100</f>
        <v>100</v>
      </c>
      <c r="G44" s="2960" t="s">
        <v>3138</v>
      </c>
      <c r="H44" s="136">
        <f>SUMIF(126:126,G44,127:127)-SUMIF(126:126,C44,127:127)+100</f>
        <v>100</v>
      </c>
      <c r="I44" s="2960" t="s">
        <v>3138</v>
      </c>
      <c r="J44" s="136">
        <f>SUMIF(126:126,I44,127:127)-SUMIF(126:126,C44,127:127)+100</f>
        <v>100</v>
      </c>
      <c r="K44" s="2603"/>
      <c r="L44" s="1133"/>
      <c r="M44" s="1134"/>
      <c r="N44" s="1134"/>
      <c r="O44" s="1134"/>
      <c r="P44" s="3294"/>
      <c r="Q44" s="1795" t="str">
        <f t="shared" si="11"/>
        <v>设施设备情况</v>
      </c>
      <c r="R44" s="768" t="s">
        <v>21</v>
      </c>
      <c r="S44" s="769">
        <f t="shared" si="12"/>
        <v>100</v>
      </c>
      <c r="T44" s="768" t="s">
        <v>21</v>
      </c>
      <c r="U44" s="769">
        <f t="shared" si="13"/>
        <v>100</v>
      </c>
      <c r="V44" s="768" t="s">
        <v>21</v>
      </c>
      <c r="W44" s="769">
        <f t="shared" si="14"/>
        <v>100</v>
      </c>
      <c r="X44" s="770"/>
      <c r="Y44" s="3296"/>
      <c r="Z44" s="55" t="str">
        <f t="shared" si="18"/>
        <v>设施设备情况</v>
      </c>
      <c r="AA44" s="771">
        <f t="shared" si="15"/>
        <v>1</v>
      </c>
      <c r="AB44" s="771">
        <f t="shared" si="16"/>
        <v>1</v>
      </c>
      <c r="AC44" s="771">
        <f t="shared" si="17"/>
        <v>1</v>
      </c>
    </row>
    <row r="45" spans="1:29" ht="15">
      <c r="A45" s="470"/>
      <c r="B45" s="2958" t="s">
        <v>3139</v>
      </c>
      <c r="C45" s="2961" t="s">
        <v>3184</v>
      </c>
      <c r="D45" s="435">
        <v>100</v>
      </c>
      <c r="E45" s="2961" t="s">
        <v>3140</v>
      </c>
      <c r="F45" s="461">
        <f>SUMIF(128:128,E45,129:129)-SUMIF(128:128,C45,129:129)+100</f>
        <v>100</v>
      </c>
      <c r="G45" s="2961" t="s">
        <v>3140</v>
      </c>
      <c r="H45" s="435">
        <f>SUMIF(128:128,G45,129:129)-SUMIF(128:128,C45,129:129)+100</f>
        <v>100</v>
      </c>
      <c r="I45" s="2961" t="s">
        <v>3140</v>
      </c>
      <c r="J45" s="435">
        <f>SUMIF(128:128,I45,129:129)-SUMIF(128:128,C45,129:129)+100</f>
        <v>100</v>
      </c>
      <c r="K45" s="2603"/>
      <c r="L45" s="1141"/>
      <c r="M45" s="1132"/>
      <c r="N45" s="1132"/>
      <c r="O45" s="1132"/>
      <c r="P45" s="3294"/>
      <c r="Q45" s="1810" t="str">
        <f t="shared" si="11"/>
        <v>建筑密度</v>
      </c>
      <c r="R45" s="772" t="s">
        <v>21</v>
      </c>
      <c r="S45" s="773">
        <f t="shared" si="12"/>
        <v>100</v>
      </c>
      <c r="T45" s="772" t="s">
        <v>21</v>
      </c>
      <c r="U45" s="773">
        <f t="shared" si="13"/>
        <v>100</v>
      </c>
      <c r="V45" s="772" t="s">
        <v>21</v>
      </c>
      <c r="W45" s="773">
        <f t="shared" si="14"/>
        <v>100</v>
      </c>
      <c r="X45" s="1813"/>
      <c r="Y45" s="3296"/>
      <c r="Z45" s="1814" t="str">
        <f t="shared" si="18"/>
        <v>建筑密度</v>
      </c>
      <c r="AA45" s="1811">
        <f t="shared" si="15"/>
        <v>1</v>
      </c>
      <c r="AB45" s="1811">
        <f t="shared" si="16"/>
        <v>1</v>
      </c>
      <c r="AC45" s="1811">
        <f t="shared" si="17"/>
        <v>1</v>
      </c>
    </row>
    <row r="46" spans="1:29" ht="15.75" thickBot="1">
      <c r="A46" s="476"/>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1"/>
      <c r="M46" s="1132"/>
      <c r="N46" s="1132"/>
      <c r="O46" s="1132"/>
      <c r="P46" s="3295"/>
      <c r="Q46" s="1810">
        <f t="shared" si="11"/>
        <v>111</v>
      </c>
      <c r="R46" s="772" t="s">
        <v>20</v>
      </c>
      <c r="S46" s="773">
        <f t="shared" si="12"/>
        <v>100</v>
      </c>
      <c r="T46" s="772" t="s">
        <v>20</v>
      </c>
      <c r="U46" s="773">
        <f t="shared" si="13"/>
        <v>100</v>
      </c>
      <c r="V46" s="772" t="s">
        <v>20</v>
      </c>
      <c r="W46" s="773">
        <f t="shared" si="14"/>
        <v>100</v>
      </c>
      <c r="X46" s="1813"/>
      <c r="Y46" s="3297"/>
      <c r="Z46" s="1814">
        <f t="shared" si="18"/>
        <v>111</v>
      </c>
      <c r="AA46" s="1811">
        <f t="shared" si="15"/>
        <v>1</v>
      </c>
      <c r="AB46" s="1811">
        <f t="shared" si="16"/>
        <v>1</v>
      </c>
      <c r="AC46" s="1811">
        <f t="shared" si="17"/>
        <v>1</v>
      </c>
    </row>
    <row r="47" spans="1:29" ht="15">
      <c r="A47" s="477" t="s">
        <v>2578</v>
      </c>
      <c r="B47" s="478"/>
      <c r="C47" s="1407" t="s">
        <v>19</v>
      </c>
      <c r="D47" s="1408"/>
      <c r="E47" s="1409">
        <v>37800</v>
      </c>
      <c r="F47" s="1410"/>
      <c r="G47" s="1411">
        <v>35000</v>
      </c>
      <c r="H47" s="1412"/>
      <c r="I47" s="1409">
        <v>35000</v>
      </c>
      <c r="J47" s="1412"/>
      <c r="K47" s="2623"/>
      <c r="L47" s="1144"/>
      <c r="M47" s="1145"/>
      <c r="N47" s="1132"/>
      <c r="O47" s="1145"/>
      <c r="P47" s="3298" t="str">
        <f>A47</f>
        <v>成交单价（元/平方米）</v>
      </c>
      <c r="Q47" s="3298"/>
      <c r="R47" s="3299">
        <f>E47</f>
        <v>37800</v>
      </c>
      <c r="S47" s="3299"/>
      <c r="T47" s="3299">
        <f>G47</f>
        <v>35000</v>
      </c>
      <c r="U47" s="3299"/>
      <c r="V47" s="3299">
        <f>I47</f>
        <v>35000</v>
      </c>
      <c r="W47" s="3299"/>
      <c r="X47" s="757"/>
      <c r="Y47" s="779"/>
      <c r="Z47" s="757"/>
      <c r="AA47" s="757"/>
      <c r="AB47" s="757"/>
      <c r="AC47" s="757"/>
    </row>
    <row r="48" spans="1:29" ht="15.75" thickBot="1">
      <c r="A48" s="484" t="s">
        <v>2579</v>
      </c>
      <c r="B48" s="485"/>
      <c r="C48" s="1413">
        <f>R49</f>
        <v>35046</v>
      </c>
      <c r="D48" s="1414"/>
      <c r="E48" s="1415">
        <f>R48</f>
        <v>37815</v>
      </c>
      <c r="F48" s="1415"/>
      <c r="G48" s="1413">
        <f>T48</f>
        <v>34341</v>
      </c>
      <c r="H48" s="1414"/>
      <c r="I48" s="1415">
        <f>V48</f>
        <v>32981</v>
      </c>
      <c r="J48" s="1414"/>
      <c r="K48" s="2624"/>
      <c r="L48" s="1144"/>
      <c r="M48" s="1145"/>
      <c r="N48" s="1145"/>
      <c r="O48" s="1145"/>
      <c r="P48" s="3298" t="str">
        <f>A48</f>
        <v>比较价值（元/平方米）</v>
      </c>
      <c r="Q48" s="3298"/>
      <c r="R48" s="3299">
        <f>IF(F1="售价",ROUND(PRODUCT(R47,AA7:AA46),0),ROUND(PRODUCT(R47,AA7:AA46),1))</f>
        <v>37815</v>
      </c>
      <c r="S48" s="3299"/>
      <c r="T48" s="3299">
        <f>IF(F1="售价",ROUND(PRODUCT(T47,AB7:AB46),0),ROUND(PRODUCT(T47,AB7:AB46),1))</f>
        <v>34341</v>
      </c>
      <c r="U48" s="3299"/>
      <c r="V48" s="3299">
        <f>IF(F1="售价",ROUND(PRODUCT(V47,AC7:AC46),0),ROUND(PRODUCT(V47,AC7:AC46),1))</f>
        <v>32981</v>
      </c>
      <c r="W48" s="3299"/>
      <c r="X48" s="757"/>
      <c r="Y48" s="757"/>
      <c r="Z48" s="757"/>
      <c r="AA48" s="757"/>
      <c r="AB48" s="757"/>
      <c r="AC48" s="757"/>
    </row>
    <row r="49" spans="1:29" ht="15.75" thickBot="1">
      <c r="A49" s="490" t="s">
        <v>2580</v>
      </c>
      <c r="B49" s="491"/>
      <c r="C49" s="1416">
        <f>R49</f>
        <v>35046</v>
      </c>
      <c r="D49" s="1417"/>
      <c r="E49" s="1417"/>
      <c r="F49" s="1417"/>
      <c r="G49" s="1417"/>
      <c r="H49" s="1417"/>
      <c r="I49" s="1417"/>
      <c r="J49" s="1417"/>
      <c r="K49" s="2625"/>
      <c r="L49" s="1144"/>
      <c r="M49" s="1145"/>
      <c r="N49" s="1145"/>
      <c r="O49" s="1145"/>
      <c r="P49" s="3300" t="str">
        <f>A49</f>
        <v>估价对象XX用房的比较价值（楼面单价，元/平方米）</v>
      </c>
      <c r="Q49" s="3301"/>
      <c r="R49" s="3302">
        <f>IF(F1="售价",ROUND(AVERAGE(R48:V48),0),ROUND(AVERAGE(R48:V48),1))</f>
        <v>35046</v>
      </c>
      <c r="S49" s="3302"/>
      <c r="T49" s="3302"/>
      <c r="U49" s="3302"/>
      <c r="V49" s="3302"/>
      <c r="W49" s="330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2581</v>
      </c>
      <c r="D52" s="496"/>
      <c r="E52" s="497">
        <f>IF(E47&lt;E48,E48/E47-1,E47/E48-1)</f>
        <v>3.9682539682539542E-4</v>
      </c>
      <c r="F52" s="498" t="str">
        <f>IF(OR(E52&gt;=0.3,E52&lt;=-0.3),"超过30%","")</f>
        <v/>
      </c>
      <c r="G52" s="497">
        <f>IF(G47&lt;G48,G48/G47-1,G47/G48-1)</f>
        <v>1.9189889636294755E-2</v>
      </c>
      <c r="H52" s="498" t="str">
        <f>IF(OR(G52&gt;=0.3,G52&lt;=-0.3),"超过30%","")</f>
        <v/>
      </c>
      <c r="I52" s="497">
        <f>IF(I47&lt;I48,I48/I47-1,I47/I48-1)</f>
        <v>6.1217064370395091E-2</v>
      </c>
      <c r="J52" s="498" t="str">
        <f>IF(OR(I52&gt;=0.3,I52&lt;=-0.3),"超过30%","")</f>
        <v/>
      </c>
      <c r="K52" s="1106"/>
      <c r="L52" s="1107"/>
      <c r="M52" s="1145"/>
      <c r="N52" s="1145"/>
      <c r="O52" s="1145"/>
    </row>
    <row r="53" spans="1:29" ht="13.5" customHeight="1">
      <c r="A53" s="1145"/>
      <c r="B53" s="1145"/>
      <c r="C53" s="495" t="s">
        <v>2582</v>
      </c>
      <c r="D53" s="499"/>
      <c r="E53" s="497">
        <f>IF(E48&lt;G48,G48/E48-1,E48/G48-1)</f>
        <v>0.10116187647418529</v>
      </c>
      <c r="F53" s="498" t="str">
        <f>IF(OR(E53&gt;=0.2,E53&lt;=-0.2),"超过20%","")</f>
        <v/>
      </c>
      <c r="G53" s="497">
        <f>IF(G48&lt;I48,I48/G48-1,G48/I48-1)</f>
        <v>4.1235863072678125E-2</v>
      </c>
      <c r="H53" s="498" t="str">
        <f>IF(OR(G53&gt;=0.2,G53&lt;=-0.2),"超过20%","")</f>
        <v/>
      </c>
      <c r="I53" s="497">
        <f>IF(I48&lt;E48,E48/I48-1,I48/E48-1)</f>
        <v>0.14656923683332823</v>
      </c>
      <c r="J53" s="498" t="str">
        <f>IF(OR(I53&gt;=0.2,I53&lt;=-0.2),"超过20%","")</f>
        <v/>
      </c>
      <c r="K53" s="1106"/>
      <c r="L53" s="1107"/>
      <c r="M53" s="1145"/>
      <c r="N53" s="1145"/>
      <c r="O53" s="1145"/>
    </row>
    <row r="54" spans="1:29" s="500" customFormat="1" ht="13.5" customHeight="1">
      <c r="A54" s="1146"/>
      <c r="B54" s="1146"/>
      <c r="C54" s="495" t="s">
        <v>2583</v>
      </c>
      <c r="D54" s="499"/>
      <c r="E54" s="497">
        <f>IF(E47&lt;G47,G47/E47-1,E47/G47-1)</f>
        <v>8.0000000000000071E-2</v>
      </c>
      <c r="F54" s="498" t="str">
        <f>IF(OR(E54&gt;=0.3,E54&lt;=-0.3),"超过30%","")</f>
        <v/>
      </c>
      <c r="G54" s="497">
        <f>IF(G47&lt;I47,I47/G47-1,G47/I47-1)</f>
        <v>0</v>
      </c>
      <c r="H54" s="498" t="str">
        <f>IF(OR(G54&gt;=0.3,G54&lt;=-0.3),"超过30%","")</f>
        <v/>
      </c>
      <c r="I54" s="497">
        <f>IF(I47&lt;E47,E47/I47-1,I47/E47-1)</f>
        <v>8.0000000000000071E-2</v>
      </c>
      <c r="J54" s="498" t="str">
        <f>IF(OR(I54&gt;=0.3,I54&lt;=-0.3),"超过30%","")</f>
        <v/>
      </c>
      <c r="K54" s="1149"/>
      <c r="L54" s="1150"/>
      <c r="M54" s="1146"/>
      <c r="N54" s="1146"/>
      <c r="O54" s="1146"/>
      <c r="P54" s="2627"/>
    </row>
    <row r="55" spans="1:29" s="500"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8"/>
      <c r="Q57" s="502"/>
    </row>
    <row r="58" spans="1:29" s="506" customFormat="1" ht="15">
      <c r="A58" s="503" t="s">
        <v>2585</v>
      </c>
      <c r="B58" s="504"/>
      <c r="C58" s="1576" t="str">
        <f>YEAR(C7)&amp;"-"&amp;MONTH(C7)</f>
        <v>2018-10</v>
      </c>
      <c r="D58" s="1575">
        <f>EDATE(C58,-1)</f>
        <v>43344</v>
      </c>
      <c r="E58" s="1575">
        <f>EDATE(D58,-1)</f>
        <v>43313</v>
      </c>
      <c r="F58" s="1575">
        <f t="shared" ref="F58:O58" si="19">EDATE(E58,-1)</f>
        <v>43282</v>
      </c>
      <c r="G58" s="1575">
        <f t="shared" si="19"/>
        <v>43252</v>
      </c>
      <c r="H58" s="1575">
        <f t="shared" si="19"/>
        <v>43221</v>
      </c>
      <c r="I58" s="1575">
        <f t="shared" si="19"/>
        <v>43191</v>
      </c>
      <c r="J58" s="1575">
        <f t="shared" si="19"/>
        <v>43160</v>
      </c>
      <c r="K58" s="1575">
        <f t="shared" si="19"/>
        <v>43132</v>
      </c>
      <c r="L58" s="1575">
        <f t="shared" si="19"/>
        <v>43101</v>
      </c>
      <c r="M58" s="1575">
        <f t="shared" si="19"/>
        <v>43070</v>
      </c>
      <c r="N58" s="1575">
        <f t="shared" si="19"/>
        <v>43040</v>
      </c>
      <c r="O58" s="1575">
        <f t="shared" si="19"/>
        <v>43009</v>
      </c>
      <c r="P58" s="1570"/>
    </row>
    <row r="59" spans="1:29" s="117" customFormat="1" ht="15">
      <c r="A59" s="507"/>
      <c r="B59" s="2629"/>
      <c r="C59" s="1573">
        <v>100</v>
      </c>
      <c r="D59" s="509">
        <f>C59</f>
        <v>100</v>
      </c>
      <c r="E59" s="510">
        <f>D59</f>
        <v>100</v>
      </c>
      <c r="F59" s="510">
        <v>100</v>
      </c>
      <c r="G59" s="510">
        <f>E59</f>
        <v>100</v>
      </c>
      <c r="H59" s="510">
        <v>100</v>
      </c>
      <c r="I59" s="510">
        <v>100</v>
      </c>
      <c r="J59" s="510">
        <v>100</v>
      </c>
      <c r="K59" s="510">
        <f>I59</f>
        <v>100</v>
      </c>
      <c r="L59" s="510">
        <v>100</v>
      </c>
      <c r="M59" s="511">
        <v>100</v>
      </c>
      <c r="N59" s="510">
        <v>100</v>
      </c>
      <c r="O59" s="511"/>
      <c r="P59" s="2630"/>
    </row>
    <row r="60" spans="1:29" s="117" customFormat="1" ht="15.75" thickBot="1">
      <c r="A60" s="513" t="s">
        <v>2586</v>
      </c>
      <c r="B60" s="514"/>
      <c r="C60" s="515"/>
      <c r="D60" s="516"/>
      <c r="E60" s="516"/>
      <c r="F60" s="516"/>
      <c r="G60" s="516"/>
      <c r="H60" s="516"/>
      <c r="I60" s="516"/>
      <c r="J60" s="516"/>
      <c r="K60" s="516"/>
      <c r="L60" s="516"/>
      <c r="M60" s="517"/>
      <c r="N60" s="516"/>
      <c r="O60" s="517"/>
      <c r="P60" s="2630"/>
      <c r="Q60" s="502"/>
    </row>
    <row r="61" spans="1:29" s="117" customFormat="1" ht="15">
      <c r="A61" s="519" t="s">
        <v>2587</v>
      </c>
      <c r="B61" s="508"/>
      <c r="C61" s="520" t="s">
        <v>2588</v>
      </c>
      <c r="D61" s="521"/>
      <c r="E61" s="521"/>
      <c r="F61" s="521"/>
      <c r="G61" s="521"/>
      <c r="H61" s="521"/>
      <c r="I61" s="521"/>
      <c r="J61" s="521"/>
      <c r="K61" s="521"/>
      <c r="L61" s="522"/>
      <c r="M61" s="523"/>
      <c r="N61" s="1152"/>
      <c r="O61" s="1152"/>
      <c r="P61" s="2631"/>
      <c r="Q61" s="502"/>
    </row>
    <row r="62" spans="1:29" s="117" customFormat="1" ht="15.75" thickBot="1">
      <c r="A62" s="519"/>
      <c r="B62" s="508"/>
      <c r="C62" s="509">
        <v>100</v>
      </c>
      <c r="D62" s="510"/>
      <c r="E62" s="510"/>
      <c r="F62" s="510"/>
      <c r="G62" s="510"/>
      <c r="H62" s="510"/>
      <c r="I62" s="510"/>
      <c r="J62" s="510"/>
      <c r="K62" s="510"/>
      <c r="L62" s="510"/>
      <c r="M62" s="512"/>
      <c r="N62" s="1152"/>
      <c r="O62" s="1152"/>
      <c r="P62" s="2630"/>
      <c r="Q62" s="502"/>
    </row>
    <row r="63" spans="1:29">
      <c r="A63" s="525" t="s">
        <v>2589</v>
      </c>
      <c r="B63" s="526" t="s">
        <v>2555</v>
      </c>
      <c r="C63" s="527" t="str">
        <f>C9</f>
        <v>住宅</v>
      </c>
      <c r="D63" s="528"/>
      <c r="E63" s="528"/>
      <c r="F63" s="528"/>
      <c r="G63" s="528"/>
      <c r="H63" s="528"/>
      <c r="I63" s="528"/>
      <c r="J63" s="528"/>
      <c r="K63" s="529"/>
      <c r="L63" s="530"/>
      <c r="M63" s="531"/>
      <c r="N63" s="1153"/>
      <c r="O63" s="1153"/>
      <c r="P63" s="2632"/>
      <c r="Q63" s="502"/>
    </row>
    <row r="64" spans="1:29" ht="15.75" thickBot="1">
      <c r="A64" s="532"/>
      <c r="B64" s="533"/>
      <c r="C64" s="534">
        <v>100</v>
      </c>
      <c r="D64" s="534"/>
      <c r="E64" s="534"/>
      <c r="F64" s="534"/>
      <c r="G64" s="534"/>
      <c r="H64" s="534"/>
      <c r="I64" s="534"/>
      <c r="J64" s="534"/>
      <c r="K64" s="534"/>
      <c r="L64" s="534"/>
      <c r="M64" s="535"/>
      <c r="N64" s="1154"/>
      <c r="O64" s="1154"/>
      <c r="P64" s="2632"/>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3"/>
      <c r="O65" s="1153"/>
      <c r="P65" s="263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2"/>
      <c r="Q66" s="502"/>
    </row>
    <row r="67" spans="1:17" ht="15.75" thickTop="1">
      <c r="A67" s="532"/>
      <c r="B67" s="544" t="s">
        <v>2559</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8" t="str">
        <f>M68&amp;"（含）"&amp;"-"&amp;P68</f>
        <v>（含）-</v>
      </c>
      <c r="N67" s="1154"/>
      <c r="O67" s="1154"/>
      <c r="P67" s="2632"/>
      <c r="Q67" s="502"/>
    </row>
    <row r="68" spans="1:17" ht="15">
      <c r="A68" s="532"/>
      <c r="B68" s="546"/>
      <c r="C68" s="547">
        <v>0</v>
      </c>
      <c r="D68" s="547">
        <v>1</v>
      </c>
      <c r="E68" s="547">
        <v>2</v>
      </c>
      <c r="F68" s="547">
        <v>3</v>
      </c>
      <c r="G68" s="547">
        <v>4</v>
      </c>
      <c r="H68" s="547"/>
      <c r="I68" s="547"/>
      <c r="J68" s="547"/>
      <c r="K68" s="548"/>
      <c r="L68" s="549"/>
      <c r="M68" s="550"/>
      <c r="N68" s="1153"/>
      <c r="O68" s="1153"/>
      <c r="P68" s="2632"/>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4"/>
      <c r="O69" s="1154"/>
      <c r="P69" s="2632"/>
      <c r="Q69" s="502"/>
    </row>
    <row r="70" spans="1:17" s="469" customFormat="1" ht="15.75" thickTop="1">
      <c r="A70" s="551"/>
      <c r="B70" s="536" t="str">
        <f>B12</f>
        <v>产权性质</v>
      </c>
      <c r="C70" s="2959" t="s">
        <v>3124</v>
      </c>
      <c r="D70" s="552"/>
      <c r="E70" s="552"/>
      <c r="F70" s="552"/>
      <c r="G70" s="552"/>
      <c r="H70" s="553"/>
      <c r="I70" s="553"/>
      <c r="J70" s="553"/>
      <c r="K70" s="553"/>
      <c r="L70" s="554"/>
      <c r="M70" s="555"/>
      <c r="N70" s="1155"/>
      <c r="O70" s="1155"/>
      <c r="P70" s="2633"/>
      <c r="Q70" s="557"/>
    </row>
    <row r="71" spans="1:17" s="469" customFormat="1" ht="15.75" thickBot="1">
      <c r="A71" s="551"/>
      <c r="B71" s="541"/>
      <c r="C71" s="558"/>
      <c r="D71" s="534"/>
      <c r="E71" s="534"/>
      <c r="F71" s="534"/>
      <c r="G71" s="534"/>
      <c r="H71" s="534"/>
      <c r="I71" s="534"/>
      <c r="J71" s="534"/>
      <c r="K71" s="534"/>
      <c r="L71" s="534"/>
      <c r="M71" s="535"/>
      <c r="N71" s="1154"/>
      <c r="O71" s="1154"/>
      <c r="P71" s="2633"/>
      <c r="Q71" s="557"/>
    </row>
    <row r="72" spans="1:17" s="469" customFormat="1" ht="15.75" thickTop="1">
      <c r="A72" s="551"/>
      <c r="B72" s="536">
        <f>B13</f>
        <v>111</v>
      </c>
      <c r="C72" s="552"/>
      <c r="D72" s="552"/>
      <c r="E72" s="552"/>
      <c r="F72" s="552"/>
      <c r="G72" s="552"/>
      <c r="H72" s="553"/>
      <c r="I72" s="553"/>
      <c r="J72" s="553"/>
      <c r="K72" s="553"/>
      <c r="L72" s="554"/>
      <c r="M72" s="555"/>
      <c r="N72" s="1155"/>
      <c r="O72" s="1155"/>
      <c r="P72" s="2634"/>
      <c r="Q72" s="559"/>
    </row>
    <row r="73" spans="1:17" s="469" customFormat="1" ht="15.75" thickBot="1">
      <c r="A73" s="551"/>
      <c r="B73" s="541"/>
      <c r="C73" s="558"/>
      <c r="D73" s="558"/>
      <c r="E73" s="558"/>
      <c r="F73" s="558"/>
      <c r="G73" s="558"/>
      <c r="H73" s="560"/>
      <c r="I73" s="560"/>
      <c r="J73" s="560"/>
      <c r="K73" s="560"/>
      <c r="L73" s="560"/>
      <c r="M73" s="561"/>
      <c r="N73" s="1155"/>
      <c r="O73" s="1155"/>
      <c r="P73" s="2633"/>
      <c r="Q73" s="557"/>
    </row>
    <row r="74" spans="1:17" s="469" customFormat="1" ht="15.75" thickTop="1">
      <c r="A74" s="551"/>
      <c r="B74" s="544">
        <f>B14</f>
        <v>111</v>
      </c>
      <c r="C74" s="552"/>
      <c r="D74" s="552"/>
      <c r="E74" s="552"/>
      <c r="F74" s="552"/>
      <c r="G74" s="521"/>
      <c r="H74" s="562"/>
      <c r="I74" s="562"/>
      <c r="J74" s="562"/>
      <c r="K74" s="562"/>
      <c r="L74" s="563"/>
      <c r="M74" s="564"/>
      <c r="N74" s="1155"/>
      <c r="O74" s="1155"/>
      <c r="P74" s="2635"/>
      <c r="Q74" s="557"/>
    </row>
    <row r="75" spans="1:17" s="469" customFormat="1" ht="15.75" thickBot="1">
      <c r="A75" s="566"/>
      <c r="B75" s="567"/>
      <c r="C75" s="568"/>
      <c r="D75" s="568"/>
      <c r="E75" s="568"/>
      <c r="F75" s="568"/>
      <c r="G75" s="568"/>
      <c r="H75" s="569"/>
      <c r="I75" s="569"/>
      <c r="J75" s="569"/>
      <c r="K75" s="569"/>
      <c r="L75" s="569"/>
      <c r="M75" s="570"/>
      <c r="N75" s="1155"/>
      <c r="O75" s="1155"/>
      <c r="P75" s="2633"/>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3"/>
      <c r="O76" s="1153"/>
      <c r="P76" s="263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2"/>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3"/>
      <c r="O78" s="1153"/>
      <c r="P78" s="2632"/>
      <c r="Q78" s="502"/>
    </row>
    <row r="79" spans="1:17" ht="15.75" thickBot="1">
      <c r="A79" s="532"/>
      <c r="B79" s="541"/>
      <c r="C79" s="542">
        <v>100</v>
      </c>
      <c r="D79" s="542">
        <f>C79-$K17</f>
        <v>99</v>
      </c>
      <c r="E79" s="542">
        <f>D79-$K17</f>
        <v>98</v>
      </c>
      <c r="F79" s="542">
        <f>E79-$K17</f>
        <v>97</v>
      </c>
      <c r="G79" s="542">
        <f>F79-$K17</f>
        <v>96</v>
      </c>
      <c r="H79" s="542"/>
      <c r="I79" s="542"/>
      <c r="J79" s="542"/>
      <c r="K79" s="542"/>
      <c r="L79" s="542"/>
      <c r="M79" s="543"/>
      <c r="N79" s="1154"/>
      <c r="O79" s="1154"/>
      <c r="P79" s="2632"/>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3"/>
      <c r="O80" s="1153"/>
      <c r="P80" s="263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4"/>
      <c r="O81" s="1154"/>
      <c r="P81" s="2632"/>
      <c r="Q81" s="502"/>
    </row>
    <row r="82" spans="1:17" ht="15.75" thickTop="1">
      <c r="A82" s="532"/>
      <c r="B82" s="544" t="s">
        <v>2099</v>
      </c>
      <c r="C82" s="537" t="s">
        <v>2605</v>
      </c>
      <c r="D82" s="537" t="s">
        <v>2606</v>
      </c>
      <c r="E82" s="537" t="s">
        <v>2607</v>
      </c>
      <c r="F82" s="537" t="s">
        <v>2608</v>
      </c>
      <c r="G82" s="537" t="s">
        <v>2609</v>
      </c>
      <c r="H82" s="537"/>
      <c r="I82" s="537"/>
      <c r="J82" s="537"/>
      <c r="K82" s="537"/>
      <c r="L82" s="537"/>
      <c r="M82" s="1383"/>
      <c r="N82" s="1154"/>
      <c r="O82" s="1154"/>
      <c r="P82" s="263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50"/>
      <c r="N83" s="1154"/>
      <c r="O83" s="1154"/>
      <c r="P83" s="2632"/>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3"/>
      <c r="O84" s="1153"/>
      <c r="P84" s="263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4"/>
      <c r="O85" s="1154"/>
      <c r="P85" s="2632"/>
      <c r="Q85" s="502"/>
    </row>
    <row r="86" spans="1:17" s="117" customFormat="1" ht="15.75" thickTop="1">
      <c r="A86" s="577"/>
      <c r="B86" s="536" t="s">
        <v>2611</v>
      </c>
      <c r="C86" s="2951" t="s">
        <v>3110</v>
      </c>
      <c r="D86" s="552"/>
      <c r="E86" s="552"/>
      <c r="F86" s="552"/>
      <c r="G86" s="552"/>
      <c r="H86" s="552"/>
      <c r="I86" s="552"/>
      <c r="J86" s="552"/>
      <c r="K86" s="552"/>
      <c r="L86" s="578"/>
      <c r="M86" s="579"/>
      <c r="N86" s="1152"/>
      <c r="O86" s="1152"/>
      <c r="P86" s="2632"/>
      <c r="Q86" s="502"/>
    </row>
    <row r="87" spans="1:17" s="117" customFormat="1" ht="15.75" thickBot="1">
      <c r="A87" s="577"/>
      <c r="B87" s="541"/>
      <c r="C87" s="580">
        <v>100</v>
      </c>
      <c r="D87" s="542" t="e">
        <f t="shared" ref="D87:M87" si="24">$C$87-($C$86-D86)*$K$25</f>
        <v>#VALUE!</v>
      </c>
      <c r="E87" s="542" t="e">
        <f t="shared" si="24"/>
        <v>#VALUE!</v>
      </c>
      <c r="F87" s="542" t="e">
        <f t="shared" si="24"/>
        <v>#VALUE!</v>
      </c>
      <c r="G87" s="542" t="e">
        <f t="shared" si="24"/>
        <v>#VALUE!</v>
      </c>
      <c r="H87" s="542" t="e">
        <f t="shared" si="24"/>
        <v>#VALUE!</v>
      </c>
      <c r="I87" s="542" t="e">
        <f t="shared" si="24"/>
        <v>#VALUE!</v>
      </c>
      <c r="J87" s="542" t="e">
        <f t="shared" si="24"/>
        <v>#VALUE!</v>
      </c>
      <c r="K87" s="542" t="e">
        <f t="shared" si="24"/>
        <v>#VALUE!</v>
      </c>
      <c r="L87" s="542" t="e">
        <f t="shared" si="24"/>
        <v>#VALUE!</v>
      </c>
      <c r="M87" s="542" t="e">
        <f t="shared" si="24"/>
        <v>#VALUE!</v>
      </c>
      <c r="N87" s="1154"/>
      <c r="O87" s="1154"/>
      <c r="P87" s="2632"/>
      <c r="Q87" s="502"/>
    </row>
    <row r="88" spans="1:17" s="117" customFormat="1" ht="15.75" thickTop="1">
      <c r="A88" s="577"/>
      <c r="B88" s="536" t="s">
        <v>2612</v>
      </c>
      <c r="C88" s="2951" t="s">
        <v>3112</v>
      </c>
      <c r="D88" s="552"/>
      <c r="E88" s="552"/>
      <c r="F88" s="2637"/>
      <c r="G88" s="552"/>
      <c r="H88" s="552"/>
      <c r="I88" s="552"/>
      <c r="J88" s="552"/>
      <c r="K88" s="552"/>
      <c r="L88" s="552"/>
      <c r="M88" s="579"/>
      <c r="N88" s="1152"/>
      <c r="O88" s="1152"/>
      <c r="P88" s="2632"/>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2"/>
      <c r="Q89" s="502"/>
    </row>
    <row r="90" spans="1:17" s="469" customFormat="1" ht="15.75" thickTop="1">
      <c r="A90" s="551"/>
      <c r="B90" s="536" t="str">
        <f>B27</f>
        <v>临街状态</v>
      </c>
      <c r="C90" s="2951" t="s">
        <v>3120</v>
      </c>
      <c r="D90" s="2951" t="s">
        <v>3122</v>
      </c>
      <c r="E90" s="2951" t="s">
        <v>3121</v>
      </c>
      <c r="F90" s="552"/>
      <c r="G90" s="552"/>
      <c r="H90" s="553"/>
      <c r="I90" s="553"/>
      <c r="J90" s="553"/>
      <c r="K90" s="553"/>
      <c r="L90" s="554"/>
      <c r="M90" s="555"/>
      <c r="N90" s="1155"/>
      <c r="O90" s="1155"/>
      <c r="P90" s="2633"/>
      <c r="Q90" s="557"/>
    </row>
    <row r="91" spans="1:17" s="469" customFormat="1" ht="15.75" thickBot="1">
      <c r="A91" s="551"/>
      <c r="B91" s="541"/>
      <c r="C91" s="558">
        <v>100</v>
      </c>
      <c r="D91" s="558">
        <v>102</v>
      </c>
      <c r="E91" s="558">
        <v>104</v>
      </c>
      <c r="F91" s="558"/>
      <c r="G91" s="558"/>
      <c r="H91" s="560"/>
      <c r="I91" s="560"/>
      <c r="J91" s="560"/>
      <c r="K91" s="560"/>
      <c r="L91" s="560"/>
      <c r="M91" s="561"/>
      <c r="N91" s="1155"/>
      <c r="O91" s="1155"/>
      <c r="P91" s="2633"/>
      <c r="Q91" s="557"/>
    </row>
    <row r="92" spans="1:17" ht="15.75" thickTop="1">
      <c r="A92" s="532"/>
      <c r="B92" s="536">
        <f>B28</f>
        <v>111</v>
      </c>
      <c r="C92" s="552"/>
      <c r="D92" s="552"/>
      <c r="E92" s="552"/>
      <c r="F92" s="552"/>
      <c r="G92" s="581"/>
      <c r="H92" s="581"/>
      <c r="I92" s="581"/>
      <c r="J92" s="581"/>
      <c r="K92" s="582"/>
      <c r="L92" s="583"/>
      <c r="M92" s="584"/>
      <c r="N92" s="1153"/>
      <c r="O92" s="1153"/>
      <c r="P92" s="2632"/>
      <c r="Q92" s="502"/>
    </row>
    <row r="93" spans="1:17" ht="15.75" thickBot="1">
      <c r="A93" s="532"/>
      <c r="B93" s="541"/>
      <c r="C93" s="558"/>
      <c r="D93" s="534"/>
      <c r="E93" s="534"/>
      <c r="F93" s="534"/>
      <c r="G93" s="534"/>
      <c r="H93" s="534"/>
      <c r="I93" s="534"/>
      <c r="J93" s="534"/>
      <c r="K93" s="534"/>
      <c r="L93" s="534"/>
      <c r="M93" s="535"/>
      <c r="N93" s="1154"/>
      <c r="O93" s="1154"/>
      <c r="P93" s="2632"/>
      <c r="Q93" s="502"/>
    </row>
    <row r="94" spans="1:17" ht="15.75" thickTop="1">
      <c r="A94" s="532"/>
      <c r="B94" s="536">
        <f>B29</f>
        <v>111</v>
      </c>
      <c r="C94" s="552"/>
      <c r="D94" s="552"/>
      <c r="E94" s="552"/>
      <c r="F94" s="552"/>
      <c r="G94" s="581"/>
      <c r="H94" s="581"/>
      <c r="I94" s="581"/>
      <c r="J94" s="581"/>
      <c r="K94" s="582"/>
      <c r="L94" s="583"/>
      <c r="M94" s="584"/>
      <c r="N94" s="1153"/>
      <c r="O94" s="1153"/>
      <c r="P94" s="2632"/>
      <c r="Q94" s="502"/>
    </row>
    <row r="95" spans="1:17" ht="15.75" thickBot="1">
      <c r="A95" s="532"/>
      <c r="B95" s="541"/>
      <c r="C95" s="558"/>
      <c r="D95" s="558"/>
      <c r="E95" s="558"/>
      <c r="F95" s="558"/>
      <c r="G95" s="534"/>
      <c r="H95" s="534"/>
      <c r="I95" s="534"/>
      <c r="J95" s="534"/>
      <c r="K95" s="534"/>
      <c r="L95" s="534"/>
      <c r="M95" s="535"/>
      <c r="N95" s="1154"/>
      <c r="O95" s="1154"/>
      <c r="P95" s="2632"/>
      <c r="Q95" s="502"/>
    </row>
    <row r="96" spans="1:17" ht="15.75" thickTop="1">
      <c r="A96" s="532"/>
      <c r="B96" s="536">
        <f>B30</f>
        <v>111</v>
      </c>
      <c r="C96" s="552"/>
      <c r="D96" s="552"/>
      <c r="E96" s="552"/>
      <c r="F96" s="552"/>
      <c r="G96" s="581"/>
      <c r="H96" s="581"/>
      <c r="I96" s="581"/>
      <c r="J96" s="581"/>
      <c r="K96" s="582"/>
      <c r="L96" s="583"/>
      <c r="M96" s="584"/>
      <c r="N96" s="1153"/>
      <c r="O96" s="1153"/>
      <c r="P96" s="2632"/>
      <c r="Q96" s="502"/>
    </row>
    <row r="97" spans="1:17" ht="15.75" thickBot="1">
      <c r="A97" s="532"/>
      <c r="B97" s="541"/>
      <c r="C97" s="568"/>
      <c r="D97" s="568"/>
      <c r="E97" s="568"/>
      <c r="F97" s="568"/>
      <c r="G97" s="534"/>
      <c r="H97" s="534"/>
      <c r="I97" s="534"/>
      <c r="J97" s="534"/>
      <c r="K97" s="534"/>
      <c r="L97" s="534"/>
      <c r="M97" s="535"/>
      <c r="N97" s="1154"/>
      <c r="O97" s="1154"/>
      <c r="P97" s="2632"/>
      <c r="Q97" s="502"/>
    </row>
    <row r="98" spans="1:17" ht="15.75" thickTop="1">
      <c r="A98" s="532"/>
      <c r="B98" s="544">
        <f>B31</f>
        <v>111</v>
      </c>
      <c r="C98" s="585"/>
      <c r="D98" s="585"/>
      <c r="E98" s="585"/>
      <c r="F98" s="585"/>
      <c r="G98" s="585"/>
      <c r="H98" s="585"/>
      <c r="I98" s="585"/>
      <c r="J98" s="585"/>
      <c r="K98" s="586"/>
      <c r="L98" s="587"/>
      <c r="M98" s="588"/>
      <c r="N98" s="1153"/>
      <c r="O98" s="1153"/>
      <c r="P98" s="2632"/>
      <c r="Q98" s="502"/>
    </row>
    <row r="99" spans="1:17" ht="15.75" thickBot="1">
      <c r="A99" s="2638"/>
      <c r="B99" s="567"/>
      <c r="C99" s="589"/>
      <c r="D99" s="589"/>
      <c r="E99" s="589"/>
      <c r="F99" s="589"/>
      <c r="G99" s="589"/>
      <c r="H99" s="589"/>
      <c r="I99" s="589"/>
      <c r="J99" s="589"/>
      <c r="K99" s="589"/>
      <c r="L99" s="589"/>
      <c r="M99" s="590"/>
      <c r="N99" s="1154"/>
      <c r="O99" s="1154"/>
      <c r="P99" s="2632"/>
      <c r="Q99" s="502"/>
    </row>
    <row r="100" spans="1:17">
      <c r="A100" s="525" t="s">
        <v>2564</v>
      </c>
      <c r="B100" s="526" t="s">
        <v>2613</v>
      </c>
      <c r="C100" s="2946" t="s">
        <v>3114</v>
      </c>
      <c r="D100" s="2946" t="s">
        <v>3116</v>
      </c>
      <c r="E100" s="528"/>
      <c r="F100" s="528"/>
      <c r="G100" s="528"/>
      <c r="H100" s="528"/>
      <c r="I100" s="528"/>
      <c r="J100" s="528"/>
      <c r="K100" s="529"/>
      <c r="L100" s="530"/>
      <c r="M100" s="531"/>
      <c r="N100" s="1153"/>
      <c r="O100" s="1153"/>
      <c r="P100" s="263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2"/>
      <c r="Q101" s="502"/>
    </row>
    <row r="102" spans="1:17" ht="15.75" thickTop="1">
      <c r="A102" s="532"/>
      <c r="B102" s="536" t="s">
        <v>2614</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2"/>
      <c r="Q102" s="502"/>
    </row>
    <row r="103" spans="1:17" s="469" customFormat="1">
      <c r="A103" s="591"/>
      <c r="B103" s="592"/>
      <c r="C103" s="593">
        <v>0</v>
      </c>
      <c r="D103" s="593">
        <v>100</v>
      </c>
      <c r="E103" s="593"/>
      <c r="F103" s="593"/>
      <c r="G103" s="593"/>
      <c r="H103" s="593"/>
      <c r="I103" s="593"/>
      <c r="J103" s="594"/>
      <c r="K103" s="594"/>
      <c r="L103" s="595"/>
      <c r="M103" s="596"/>
      <c r="N103" s="1155"/>
      <c r="O103" s="1155"/>
      <c r="P103" s="2633"/>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3"/>
      <c r="Q104" s="557"/>
    </row>
    <row r="105" spans="1:17" ht="15" thickTop="1">
      <c r="A105" s="597"/>
      <c r="B105" s="536" t="s">
        <v>2615</v>
      </c>
      <c r="C105" s="2951" t="s">
        <v>3118</v>
      </c>
      <c r="D105" s="552"/>
      <c r="E105" s="581"/>
      <c r="F105" s="581"/>
      <c r="G105" s="581"/>
      <c r="H105" s="581"/>
      <c r="I105" s="581"/>
      <c r="J105" s="581"/>
      <c r="K105" s="582"/>
      <c r="L105" s="583"/>
      <c r="M105" s="584"/>
      <c r="N105" s="1153"/>
      <c r="O105" s="1153"/>
      <c r="P105" s="263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2"/>
      <c r="Q106" s="502"/>
    </row>
    <row r="107" spans="1:17" ht="15" thickTop="1">
      <c r="A107" s="597"/>
      <c r="B107" s="536" t="s">
        <v>2616</v>
      </c>
      <c r="C107" s="581"/>
      <c r="D107" s="581"/>
      <c r="E107" s="581"/>
      <c r="F107" s="581"/>
      <c r="G107" s="581"/>
      <c r="H107" s="581"/>
      <c r="I107" s="581"/>
      <c r="J107" s="581"/>
      <c r="K107" s="582"/>
      <c r="L107" s="583"/>
      <c r="M107" s="584"/>
      <c r="N107" s="1153"/>
      <c r="O107" s="1153"/>
      <c r="P107" s="263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2"/>
      <c r="Q108" s="502"/>
    </row>
    <row r="109" spans="1:17" ht="15" thickTop="1">
      <c r="A109" s="597"/>
      <c r="B109" s="536" t="s">
        <v>2617</v>
      </c>
      <c r="C109" s="552"/>
      <c r="D109" s="552"/>
      <c r="E109" s="552"/>
      <c r="F109" s="581"/>
      <c r="G109" s="581"/>
      <c r="H109" s="581"/>
      <c r="I109" s="581"/>
      <c r="J109" s="581"/>
      <c r="K109" s="582"/>
      <c r="L109" s="583"/>
      <c r="M109" s="584"/>
      <c r="N109" s="1153"/>
      <c r="O109" s="1153"/>
      <c r="P109" s="263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2"/>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3"/>
      <c r="Q113" s="557"/>
    </row>
    <row r="114" spans="1:17" ht="27.75" thickTop="1">
      <c r="A114" s="597"/>
      <c r="B114" s="536" t="s">
        <v>2618</v>
      </c>
      <c r="C114" s="2951" t="s">
        <v>3127</v>
      </c>
      <c r="D114" s="552"/>
      <c r="E114" s="581"/>
      <c r="F114" s="581"/>
      <c r="G114" s="581"/>
      <c r="H114" s="581"/>
      <c r="I114" s="581"/>
      <c r="J114" s="581"/>
      <c r="K114" s="582"/>
      <c r="L114" s="583"/>
      <c r="M114" s="584"/>
      <c r="N114" s="1153"/>
      <c r="O114" s="1153"/>
      <c r="P114" s="263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2"/>
      <c r="Q115" s="502"/>
    </row>
    <row r="116" spans="1:17" ht="15" thickTop="1">
      <c r="A116" s="597"/>
      <c r="B116" s="536" t="s">
        <v>2619</v>
      </c>
      <c r="C116" s="2951" t="s">
        <v>3128</v>
      </c>
      <c r="D116" s="2951" t="s">
        <v>3129</v>
      </c>
      <c r="E116" s="2951" t="s">
        <v>3130</v>
      </c>
      <c r="F116" s="2951" t="s">
        <v>3131</v>
      </c>
      <c r="G116" s="2951" t="s">
        <v>3132</v>
      </c>
      <c r="H116" s="581"/>
      <c r="I116" s="581"/>
      <c r="J116" s="581"/>
      <c r="K116" s="582"/>
      <c r="L116" s="583"/>
      <c r="M116" s="584"/>
      <c r="N116" s="1153"/>
      <c r="O116" s="1153"/>
      <c r="P116" s="2632"/>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54"/>
      <c r="O117" s="1154"/>
      <c r="P117" s="2632"/>
      <c r="Q117" s="502"/>
    </row>
    <row r="118" spans="1:17" ht="15" thickTop="1">
      <c r="A118" s="597"/>
      <c r="B118" s="536" t="s">
        <v>2620</v>
      </c>
      <c r="C118" s="2952" t="s">
        <v>3134</v>
      </c>
      <c r="D118" s="581"/>
      <c r="E118" s="581"/>
      <c r="F118" s="581"/>
      <c r="G118" s="581"/>
      <c r="H118" s="581"/>
      <c r="I118" s="581"/>
      <c r="J118" s="581"/>
      <c r="K118" s="582"/>
      <c r="L118" s="583"/>
      <c r="M118" s="584"/>
      <c r="N118" s="1153"/>
      <c r="O118" s="1153"/>
      <c r="P118" s="263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2"/>
      <c r="Q119" s="502"/>
    </row>
    <row r="120" spans="1:17" s="469" customFormat="1" ht="28.5" thickTop="1">
      <c r="A120" s="591"/>
      <c r="B120" s="536" t="s">
        <v>2575</v>
      </c>
      <c r="C120" s="552"/>
      <c r="D120" s="552"/>
      <c r="E120" s="552"/>
      <c r="F120" s="552"/>
      <c r="G120" s="552"/>
      <c r="H120" s="552"/>
      <c r="I120" s="552"/>
      <c r="J120" s="552"/>
      <c r="K120" s="552"/>
      <c r="L120" s="578"/>
      <c r="M120" s="579"/>
      <c r="N120" s="1155"/>
      <c r="O120" s="1155"/>
      <c r="P120" s="2633"/>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3"/>
      <c r="Q121" s="557"/>
    </row>
    <row r="122" spans="1:17" ht="15" thickTop="1">
      <c r="A122" s="597"/>
      <c r="B122" s="536" t="s">
        <v>2621</v>
      </c>
      <c r="C122" s="2951" t="s">
        <v>3136</v>
      </c>
      <c r="D122" s="552"/>
      <c r="E122" s="552"/>
      <c r="F122" s="581"/>
      <c r="G122" s="581"/>
      <c r="H122" s="581"/>
      <c r="I122" s="581"/>
      <c r="J122" s="581"/>
      <c r="K122" s="582"/>
      <c r="L122" s="583"/>
      <c r="M122" s="584"/>
      <c r="N122" s="1153"/>
      <c r="O122" s="1153"/>
      <c r="P122" s="263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2"/>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3"/>
      <c r="O124" s="1153"/>
      <c r="P124" s="263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2"/>
      <c r="Q125" s="502"/>
    </row>
    <row r="126" spans="1:17" s="469" customFormat="1" ht="15" thickTop="1">
      <c r="A126" s="591"/>
      <c r="B126" s="536" t="str">
        <f>B44</f>
        <v>设施设备情况</v>
      </c>
      <c r="C126" s="552"/>
      <c r="D126" s="552"/>
      <c r="E126" s="552"/>
      <c r="F126" s="552"/>
      <c r="G126" s="552"/>
      <c r="H126" s="553"/>
      <c r="I126" s="553"/>
      <c r="J126" s="553"/>
      <c r="K126" s="553"/>
      <c r="L126" s="554"/>
      <c r="M126" s="555"/>
      <c r="N126" s="1155"/>
      <c r="O126" s="1155"/>
      <c r="P126" s="2633"/>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3"/>
      <c r="Q127" s="557"/>
    </row>
    <row r="128" spans="1:17" ht="15" thickTop="1">
      <c r="A128" s="597"/>
      <c r="B128" s="536" t="str">
        <f>B45</f>
        <v>建筑密度</v>
      </c>
      <c r="C128" s="552"/>
      <c r="D128" s="552"/>
      <c r="E128" s="552"/>
      <c r="F128" s="552"/>
      <c r="G128" s="581"/>
      <c r="H128" s="581"/>
      <c r="I128" s="581"/>
      <c r="J128" s="581"/>
      <c r="K128" s="582"/>
      <c r="L128" s="583"/>
      <c r="M128" s="584"/>
      <c r="N128" s="1153"/>
      <c r="O128" s="1153"/>
      <c r="P128" s="2632"/>
      <c r="Q128" s="502"/>
    </row>
    <row r="129" spans="1:17" ht="15.75" thickBot="1">
      <c r="A129" s="532"/>
      <c r="B129" s="541"/>
      <c r="C129" s="558"/>
      <c r="D129" s="558"/>
      <c r="E129" s="558"/>
      <c r="F129" s="558"/>
      <c r="G129" s="534"/>
      <c r="H129" s="534"/>
      <c r="I129" s="534"/>
      <c r="J129" s="534"/>
      <c r="K129" s="534"/>
      <c r="L129" s="534"/>
      <c r="M129" s="535"/>
      <c r="N129" s="1154"/>
      <c r="O129" s="1154"/>
      <c r="P129" s="2632"/>
      <c r="Q129" s="502"/>
    </row>
    <row r="130" spans="1:17" ht="15" thickTop="1">
      <c r="A130" s="597"/>
      <c r="B130" s="544">
        <f>B46</f>
        <v>111</v>
      </c>
      <c r="C130" s="552"/>
      <c r="D130" s="552"/>
      <c r="E130" s="552"/>
      <c r="F130" s="552"/>
      <c r="G130" s="585"/>
      <c r="H130" s="585"/>
      <c r="I130" s="585"/>
      <c r="J130" s="585"/>
      <c r="K130" s="521"/>
      <c r="L130" s="522"/>
      <c r="M130" s="588"/>
      <c r="N130" s="1153"/>
      <c r="O130" s="1153"/>
      <c r="P130" s="2632"/>
      <c r="Q130" s="502"/>
    </row>
    <row r="131" spans="1:17" ht="15.75" thickBot="1">
      <c r="A131" s="2638"/>
      <c r="B131" s="567"/>
      <c r="C131" s="568"/>
      <c r="D131" s="568"/>
      <c r="E131" s="568"/>
      <c r="F131" s="568"/>
      <c r="G131" s="589"/>
      <c r="H131" s="589"/>
      <c r="I131" s="589"/>
      <c r="J131" s="589"/>
      <c r="K131" s="589"/>
      <c r="L131" s="589"/>
      <c r="M131" s="590"/>
      <c r="N131" s="1154"/>
      <c r="O131" s="1154"/>
      <c r="P131" s="2632"/>
      <c r="Q131" s="502"/>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5">
        <v>6</v>
      </c>
      <c r="C139" s="1086">
        <v>96</v>
      </c>
      <c r="D139" s="2650" t="s">
        <v>2632</v>
      </c>
      <c r="E139" s="1087">
        <v>100</v>
      </c>
      <c r="F139" s="1088">
        <v>102.5</v>
      </c>
      <c r="G139" s="2650" t="s">
        <v>2632</v>
      </c>
      <c r="H139" s="1089">
        <v>105</v>
      </c>
      <c r="I139" s="2651" t="s">
        <v>2633</v>
      </c>
      <c r="J139" s="1086">
        <v>20</v>
      </c>
      <c r="K139" s="1090">
        <f>C145/(J139-2)</f>
        <v>4.0555555555555553E-3</v>
      </c>
    </row>
    <row r="140" spans="1:17" ht="15">
      <c r="B140" s="1091">
        <v>5</v>
      </c>
      <c r="C140" s="1092">
        <v>100</v>
      </c>
      <c r="D140" s="1092"/>
      <c r="E140" s="1093"/>
      <c r="F140" s="1094">
        <v>102</v>
      </c>
      <c r="G140" s="1092"/>
      <c r="H140" s="1095"/>
      <c r="I140" s="2652" t="s">
        <v>2634</v>
      </c>
      <c r="J140" s="315">
        <f>ROUNDUP((J139-1)/2,0)</f>
        <v>10</v>
      </c>
      <c r="K140" s="1096">
        <v>100</v>
      </c>
    </row>
    <row r="141" spans="1:17" ht="15">
      <c r="B141" s="1091">
        <v>4</v>
      </c>
      <c r="C141" s="1092">
        <v>102</v>
      </c>
      <c r="D141" s="1092"/>
      <c r="E141" s="1093"/>
      <c r="F141" s="1094">
        <v>101.5</v>
      </c>
      <c r="G141" s="1092"/>
      <c r="H141" s="1095"/>
      <c r="I141" s="2652" t="s">
        <v>2635</v>
      </c>
      <c r="J141" s="315">
        <v>1</v>
      </c>
      <c r="K141" s="1097">
        <f>ROUND(100+(J141-J140)*K139*100,1)</f>
        <v>96.4</v>
      </c>
    </row>
    <row r="142" spans="1:17" ht="15">
      <c r="B142" s="1091">
        <v>3</v>
      </c>
      <c r="C142" s="1092">
        <v>103</v>
      </c>
      <c r="D142" s="1092"/>
      <c r="E142" s="1093"/>
      <c r="F142" s="1094">
        <v>101</v>
      </c>
      <c r="G142" s="1092"/>
      <c r="H142" s="1095"/>
      <c r="I142" s="2652" t="s">
        <v>2636</v>
      </c>
      <c r="J142" s="315">
        <f>J139</f>
        <v>20</v>
      </c>
      <c r="K142" s="1098">
        <v>95</v>
      </c>
    </row>
    <row r="143" spans="1:17" ht="15">
      <c r="B143" s="1091">
        <v>2</v>
      </c>
      <c r="C143" s="1092">
        <v>100</v>
      </c>
      <c r="D143" s="1092"/>
      <c r="E143" s="1093"/>
      <c r="F143" s="1094">
        <v>100.5</v>
      </c>
      <c r="G143" s="1092"/>
      <c r="H143" s="1095"/>
      <c r="I143" s="2652" t="s">
        <v>2637</v>
      </c>
      <c r="J143" s="1092">
        <v>15</v>
      </c>
      <c r="K143" s="1097">
        <f>ROUND(100+(J143-J140)*K139*100,1)</f>
        <v>102</v>
      </c>
    </row>
    <row r="144" spans="1:17" ht="15">
      <c r="B144" s="1091">
        <v>1</v>
      </c>
      <c r="C144" s="1092">
        <v>98</v>
      </c>
      <c r="D144" s="2653" t="s">
        <v>2638</v>
      </c>
      <c r="E144" s="1093">
        <v>102</v>
      </c>
      <c r="F144" s="1099">
        <v>100</v>
      </c>
      <c r="G144" s="2653" t="s">
        <v>2638</v>
      </c>
      <c r="H144" s="1095">
        <v>105</v>
      </c>
      <c r="I144" s="2652" t="s">
        <v>2637</v>
      </c>
      <c r="J144" s="1092">
        <v>18</v>
      </c>
      <c r="K144" s="1097">
        <f>ROUND(100+(J144-J140)*K139*100,1)</f>
        <v>103.2</v>
      </c>
    </row>
    <row r="145" spans="2:11" ht="15.75" thickBot="1">
      <c r="B145" s="2654" t="s">
        <v>2639</v>
      </c>
      <c r="C145" s="1100">
        <f>ROUND(MAX(C139:C144)/MIN(C139:C144)-1,3)</f>
        <v>7.2999999999999995E-2</v>
      </c>
      <c r="D145" s="1101"/>
      <c r="E145" s="1101"/>
      <c r="F145" s="2655" t="s">
        <v>2640</v>
      </c>
      <c r="G145" s="2656"/>
      <c r="H145" s="2657"/>
      <c r="I145" s="2658" t="s">
        <v>2637</v>
      </c>
      <c r="J145" s="1102">
        <v>8</v>
      </c>
      <c r="K145" s="1103">
        <f>ROUND(100+(J145-J140)*K139*100,1)</f>
        <v>99.2</v>
      </c>
    </row>
    <row r="147" spans="2:11">
      <c r="B147" s="2639" t="s">
        <v>2641</v>
      </c>
    </row>
    <row r="148" spans="2:11">
      <c r="B148" s="2639" t="s">
        <v>2642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K7" sqref="K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7" t="s">
        <v>1150</v>
      </c>
      <c r="C1" s="3367"/>
      <c r="D1" s="3367"/>
      <c r="E1" s="3367"/>
      <c r="F1" s="3367"/>
      <c r="G1" s="3363" t="s">
        <v>1151</v>
      </c>
      <c r="H1" s="3363"/>
      <c r="I1" s="3363"/>
      <c r="J1" s="3363"/>
      <c r="K1" s="3363"/>
      <c r="L1" s="3363"/>
      <c r="N1" s="3363" t="s">
        <v>1152</v>
      </c>
      <c r="O1" s="3363"/>
      <c r="P1" s="3363"/>
      <c r="Q1" s="3363"/>
      <c r="R1" s="1446"/>
      <c r="S1" s="3363" t="s">
        <v>1153</v>
      </c>
      <c r="T1" s="3363"/>
      <c r="U1" s="3363"/>
      <c r="V1" s="3363"/>
      <c r="X1" s="3362" t="s">
        <v>1154</v>
      </c>
      <c r="Y1" s="3363"/>
      <c r="Z1" s="3363"/>
      <c r="AA1" s="3363"/>
      <c r="AB1" s="3363"/>
      <c r="AD1" s="3362" t="s">
        <v>1155</v>
      </c>
      <c r="AE1" s="3363"/>
      <c r="AF1" s="3363"/>
      <c r="AG1" s="3363"/>
      <c r="AH1" s="3363"/>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1" customFormat="1" ht="14.25">
      <c r="A3" s="2940" t="s">
        <v>3038</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3" customFormat="1" ht="14.25">
      <c r="B4" s="1454"/>
      <c r="C4" s="1454"/>
      <c r="D4" s="1455"/>
      <c r="E4" s="1455"/>
      <c r="F4" s="1454"/>
      <c r="G4" s="1456"/>
      <c r="H4" s="1457"/>
      <c r="I4" s="2925"/>
      <c r="J4" s="2925"/>
      <c r="K4" s="2925"/>
      <c r="L4" s="292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3045</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3">
        <v>2018</v>
      </c>
      <c r="H5" s="1730">
        <v>3</v>
      </c>
      <c r="I5" s="2926">
        <v>0</v>
      </c>
      <c r="J5" s="2926">
        <v>0</v>
      </c>
      <c r="K5" s="2926">
        <v>0</v>
      </c>
      <c r="L5" s="2926">
        <v>0</v>
      </c>
      <c r="N5" s="1467">
        <f>I5/100</f>
        <v>0</v>
      </c>
      <c r="O5" s="1467">
        <f t="shared" ref="O5" si="7">J5/100</f>
        <v>0</v>
      </c>
      <c r="P5" s="1467">
        <f t="shared" ref="P5" si="8">K5/100</f>
        <v>0</v>
      </c>
      <c r="Q5" s="1467">
        <f t="shared" ref="Q5" si="9">L5/100</f>
        <v>0</v>
      </c>
      <c r="R5" s="1732"/>
      <c r="S5" s="1733"/>
      <c r="T5" s="1732"/>
      <c r="U5" s="1732"/>
      <c r="V5" s="1732"/>
      <c r="W5" s="2930" t="s">
        <v>3039</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3046</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41"/>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6" customFormat="1" ht="13.5" thickBot="1">
      <c r="A7" s="1461" t="s">
        <v>3037</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41"/>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3034</v>
      </c>
      <c r="B8" s="1469">
        <v>439</v>
      </c>
      <c r="C8" s="1469">
        <v>327</v>
      </c>
      <c r="D8" s="1469">
        <f>C8</f>
        <v>327</v>
      </c>
      <c r="E8" s="1469">
        <v>627</v>
      </c>
      <c r="F8" s="1470">
        <v>283</v>
      </c>
      <c r="G8" s="2928">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3035</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4"/>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3"/>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4"/>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368">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65"/>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65"/>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66"/>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64">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65"/>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65"/>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66"/>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64">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65"/>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65"/>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66"/>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369">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70"/>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70"/>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71"/>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64">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65"/>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65"/>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66"/>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64">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65">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65">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66">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64">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65">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65">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66">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64">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65">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65">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66">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64">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65">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65">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66">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64">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65">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65">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66">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64">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65">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65">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66">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64">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65">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65">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66">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64">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65">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65">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66">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64">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65">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65">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66">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64">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65">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65">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66">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3"/>
    <col min="46" max="16384" width="9" style="139"/>
  </cols>
  <sheetData>
    <row r="1" spans="1:45" ht="14.25" customHeight="1" thickBot="1">
      <c r="A1" s="155"/>
      <c r="B1" s="1205" t="s">
        <v>3005</v>
      </c>
      <c r="C1" s="3373" t="s">
        <v>3006</v>
      </c>
      <c r="D1" s="3374"/>
      <c r="E1" s="3374"/>
      <c r="F1" s="3374"/>
      <c r="G1" s="3374"/>
      <c r="H1" s="3374"/>
      <c r="I1" s="3374"/>
      <c r="J1" s="3374"/>
      <c r="K1" s="3374"/>
      <c r="L1" s="3374"/>
      <c r="M1" s="3374"/>
      <c r="N1" s="3374"/>
      <c r="O1" s="3374"/>
      <c r="P1" s="3374"/>
      <c r="Q1" s="3374"/>
      <c r="R1" s="3374"/>
      <c r="S1" s="3375"/>
      <c r="T1" s="1205" t="s">
        <v>3007</v>
      </c>
    </row>
    <row r="2" spans="1:45" s="705" customFormat="1">
      <c r="A2" s="1206"/>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9" t="s">
        <v>3009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8" t="s">
        <v>3015</v>
      </c>
      <c r="B17" s="2919"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0" t="s">
        <v>3017</v>
      </c>
      <c r="E19" s="1792"/>
      <c r="F19" s="1792"/>
      <c r="G19" s="1792"/>
      <c r="H19" s="1281"/>
      <c r="I19" s="168"/>
      <c r="J19" s="168"/>
      <c r="K19" s="168"/>
      <c r="L19" s="168"/>
      <c r="M19" s="168"/>
      <c r="N19" s="168"/>
      <c r="O19" s="168"/>
      <c r="P19" s="168"/>
      <c r="Q19" s="168"/>
      <c r="R19" s="786"/>
      <c r="S19" s="138"/>
    </row>
    <row r="20" spans="1:45" ht="16.5" thickBot="1">
      <c r="A20" s="713" t="s">
        <v>3018</v>
      </c>
      <c r="B20" s="338" t="e">
        <f ca="1">IF(D20="——",S22,S22-F20)</f>
        <v>#REF!</v>
      </c>
      <c r="C20" s="168"/>
      <c r="D20" s="2921" t="s">
        <v>3019</v>
      </c>
      <c r="E20" s="1793"/>
      <c r="F20" s="1205" t="e">
        <f ca="1">SUMIF(INDIRECT("'"&amp;H20&amp;"'"&amp;"!A:A"),"承租人权益价值",INDIRECT("'"&amp;H20&amp;"'"&amp;"!c:c"))</f>
        <v>#REF!</v>
      </c>
      <c r="G20" s="1205" t="s">
        <v>3020</v>
      </c>
      <c r="H20" s="2922"/>
      <c r="I20" s="168"/>
      <c r="J20" s="168"/>
      <c r="K20" s="168"/>
      <c r="L20" s="168"/>
      <c r="M20" s="168"/>
      <c r="N20" s="168"/>
      <c r="O20" s="168"/>
      <c r="P20" s="168"/>
      <c r="Q20" s="168"/>
      <c r="R20" s="786"/>
      <c r="S20" s="138"/>
    </row>
    <row r="21" spans="1:45" ht="15.75">
      <c r="A21" s="713" t="s">
        <v>3021</v>
      </c>
      <c r="B21" s="338">
        <f>R22</f>
        <v>10000</v>
      </c>
      <c r="C21" s="168"/>
      <c r="D21" s="168"/>
      <c r="E21" s="168"/>
      <c r="F21" s="168"/>
      <c r="G21" s="168"/>
      <c r="H21" s="168"/>
      <c r="I21" s="168"/>
      <c r="J21" s="168"/>
      <c r="K21" s="168"/>
      <c r="L21" s="168"/>
      <c r="M21" s="168"/>
      <c r="N21" s="168"/>
      <c r="O21" s="168"/>
      <c r="P21" s="168"/>
      <c r="Q21" s="168"/>
      <c r="R21" s="786"/>
      <c r="S21" s="138"/>
    </row>
    <row r="22" spans="1:45">
      <c r="A22" s="361" t="s">
        <v>3022</v>
      </c>
      <c r="B22" s="24">
        <f>SUM(B24:B10000)</f>
        <v>100</v>
      </c>
      <c r="C22" s="3142" t="s">
        <v>33</v>
      </c>
      <c r="D22" s="3143"/>
      <c r="E22" s="3143"/>
      <c r="F22" s="3143"/>
      <c r="G22" s="3143"/>
      <c r="H22" s="3143"/>
      <c r="I22" s="3143"/>
      <c r="J22" s="3143"/>
      <c r="K22" s="3143"/>
      <c r="L22" s="3143"/>
      <c r="M22" s="3143"/>
      <c r="N22" s="3143"/>
      <c r="O22" s="3143"/>
      <c r="P22" s="3143"/>
      <c r="Q22" s="3372"/>
      <c r="R22" s="714">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6"/>
      <c r="C2" s="3046"/>
      <c r="D2" s="3046"/>
      <c r="E2" s="3046"/>
    </row>
    <row r="3" spans="1:5" ht="18">
      <c r="A3" s="3047" t="str">
        <f>IF(项目基本情况!B9="房地产市场价值","估价结果一览表（市场价值不需“结果表-1”）","估价结果一览表")</f>
        <v>估价结果一览表（市场价值不需“结果表-1”）</v>
      </c>
      <c r="B3" s="3047"/>
      <c r="C3" s="3047"/>
      <c r="D3" s="3047"/>
      <c r="E3" s="3047"/>
    </row>
    <row r="4" spans="1:5" ht="19.5" thickBot="1">
      <c r="A4" s="1961"/>
      <c r="B4" s="3045" t="s">
        <v>1630</v>
      </c>
      <c r="C4" s="3045"/>
      <c r="D4" s="3045"/>
      <c r="E4" s="1961"/>
    </row>
    <row r="5" spans="1:5" ht="16.5" thickTop="1">
      <c r="A5" s="1959"/>
      <c r="B5" s="3043" t="s">
        <v>1622</v>
      </c>
      <c r="C5" s="1962" t="s">
        <v>1623</v>
      </c>
      <c r="D5" s="1041" t="e">
        <f ca="1">结果表!H101</f>
        <v>#REF!</v>
      </c>
      <c r="E5" s="1959"/>
    </row>
    <row r="6" spans="1:5" ht="15.75">
      <c r="A6" s="1959"/>
      <c r="B6" s="3043"/>
      <c r="C6" s="1962" t="s">
        <v>1624</v>
      </c>
      <c r="D6" s="1041" t="e">
        <f ca="1">NUMBERSTRING(INT(D5*10000),2)&amp;"元整"</f>
        <v>#REF!</v>
      </c>
      <c r="E6" s="1959"/>
    </row>
    <row r="7" spans="1:5" ht="15.75">
      <c r="A7" s="1959"/>
      <c r="B7" s="3048"/>
      <c r="C7" s="1963" t="s">
        <v>1625</v>
      </c>
      <c r="D7" s="1042" t="e">
        <f ca="1">结果表!H102</f>
        <v>#REF!</v>
      </c>
      <c r="E7" s="1959"/>
    </row>
    <row r="8" spans="1:5" ht="15.75">
      <c r="A8" s="1959"/>
      <c r="B8" s="3049" t="str">
        <f>结果表!E103</f>
        <v>2.估价师知悉的法定优先受偿款</v>
      </c>
      <c r="C8" s="1964" t="s">
        <v>1626</v>
      </c>
      <c r="D8" s="1042">
        <f>结果表!H103</f>
        <v>0</v>
      </c>
      <c r="E8" s="1959"/>
    </row>
    <row r="9" spans="1:5" ht="15.75">
      <c r="A9" s="1959"/>
      <c r="B9" s="3051"/>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3042" t="str">
        <f>结果表!E107</f>
        <v>3.房地产抵押价值</v>
      </c>
      <c r="C13" s="1967" t="s">
        <v>1623</v>
      </c>
      <c r="D13" s="1044" t="e">
        <f ca="1">结果表!H107</f>
        <v>#REF!</v>
      </c>
      <c r="E13" s="1959"/>
    </row>
    <row r="14" spans="1:5" ht="15.75">
      <c r="A14" s="1959"/>
      <c r="B14" s="3043"/>
      <c r="C14" s="1962" t="s">
        <v>1624</v>
      </c>
      <c r="D14" s="1041" t="e">
        <f ca="1">NUMBERSTRING(INT(D13*10000),2)&amp;"元整"</f>
        <v>#REF!</v>
      </c>
      <c r="E14" s="1959"/>
    </row>
    <row r="15" spans="1:5" ht="15">
      <c r="A15" s="1959"/>
      <c r="B15" s="3048"/>
      <c r="C15" s="1963" t="s">
        <v>1634</v>
      </c>
      <c r="D15" s="1053" t="e">
        <f ca="1">结果表!H108</f>
        <v>#REF!</v>
      </c>
      <c r="E15" s="1959"/>
    </row>
    <row r="16" spans="1:5" ht="15">
      <c r="A16" s="1959"/>
      <c r="B16" s="3049" t="str">
        <f>结果表!E109</f>
        <v>——</v>
      </c>
      <c r="C16" s="1967" t="s">
        <v>1635</v>
      </c>
      <c r="D16" s="1968" t="str">
        <f>结果表!H109</f>
        <v>——</v>
      </c>
      <c r="E16" s="1959"/>
    </row>
    <row r="17" spans="1:5" ht="15.75">
      <c r="A17" s="1959"/>
      <c r="B17" s="3050"/>
      <c r="C17" s="1962" t="s">
        <v>1636</v>
      </c>
      <c r="D17" s="1041" t="e">
        <f>NUMBERSTRING(INT(D16*10000),2)&amp;"元整"</f>
        <v>#VALUE!</v>
      </c>
      <c r="E17" s="1959"/>
    </row>
    <row r="18" spans="1:5" ht="15">
      <c r="A18" s="1959"/>
      <c r="B18" s="3051"/>
      <c r="C18" s="1963" t="s">
        <v>1625</v>
      </c>
      <c r="D18" s="1053" t="str">
        <f>结果表!H110</f>
        <v>——</v>
      </c>
      <c r="E18" s="1959"/>
    </row>
    <row r="19" spans="1:5" ht="15.75">
      <c r="A19" s="1959"/>
      <c r="B19" s="3042" t="str">
        <f>结果表!E111</f>
        <v>——</v>
      </c>
      <c r="C19" s="1967" t="s">
        <v>1623</v>
      </c>
      <c r="D19" s="1042" t="str">
        <f>结果表!H111</f>
        <v>——</v>
      </c>
      <c r="E19" s="1959"/>
    </row>
    <row r="20" spans="1:5" ht="15.75">
      <c r="A20" s="1959"/>
      <c r="B20" s="3043"/>
      <c r="C20" s="1962" t="s">
        <v>1636</v>
      </c>
      <c r="D20" s="1041" t="e">
        <f>NUMBERSTRING(INT(D19*10000),2)&amp;"元整"</f>
        <v>#VALUE!</v>
      </c>
      <c r="E20" s="1959"/>
    </row>
    <row r="21" spans="1:5" ht="15.75" thickBot="1">
      <c r="A21" s="1959"/>
      <c r="B21" s="3044"/>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33476</v>
      </c>
      <c r="C2" s="2" t="s">
        <v>133</v>
      </c>
      <c r="D2" s="243"/>
      <c r="E2" s="243"/>
      <c r="F2" s="243"/>
      <c r="G2" s="243"/>
    </row>
    <row r="3" spans="1:7" s="244" customFormat="1" ht="18" customHeight="1" thickBot="1">
      <c r="A3" s="247" t="s">
        <v>85</v>
      </c>
      <c r="B3" s="248">
        <f ca="1">ROUND(B2*10000/'数据-汇总表'!E3,0)</f>
        <v>334760000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1</v>
      </c>
      <c r="E9" s="269">
        <f>'数据-取费表'!B27</f>
        <v>160</v>
      </c>
      <c r="F9" s="265"/>
      <c r="G9" s="270"/>
    </row>
    <row r="10" spans="1:7" s="258" customFormat="1" ht="13.5" customHeight="1">
      <c r="A10" s="951" t="s">
        <v>801</v>
      </c>
      <c r="B10" s="268" t="s">
        <v>94</v>
      </c>
      <c r="C10" s="269">
        <f>ROUND(D10*E10/10000,0)</f>
        <v>0</v>
      </c>
      <c r="D10" s="1033">
        <f>'数据-汇总表'!E6</f>
        <v>0</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0</v>
      </c>
      <c r="D19" s="1037">
        <f>'数据-汇总表'!E3</f>
        <v>1</v>
      </c>
      <c r="E19" s="255">
        <f>'数据-取费表'!B31</f>
        <v>0</v>
      </c>
      <c r="F19" s="275"/>
      <c r="G19" s="1" t="s">
        <v>1074</v>
      </c>
    </row>
    <row r="20" spans="1:7" s="258" customFormat="1" ht="13.5" customHeight="1">
      <c r="A20" s="949" t="s">
        <v>1057</v>
      </c>
      <c r="B20" s="254" t="s">
        <v>104</v>
      </c>
      <c r="C20" s="276">
        <f>ROUND((C5+C19)*F20,0)</f>
        <v>412</v>
      </c>
      <c r="D20" s="276"/>
      <c r="E20" s="276"/>
      <c r="F20" s="277">
        <f>'数据-取费表'!B37</f>
        <v>0.02</v>
      </c>
      <c r="G20" s="1290" t="s">
        <v>1068</v>
      </c>
    </row>
    <row r="21" spans="1:7" s="258" customFormat="1" ht="13.5" customHeight="1">
      <c r="A21" s="949" t="s">
        <v>1059</v>
      </c>
      <c r="B21" s="254" t="s">
        <v>105</v>
      </c>
      <c r="C21" s="279">
        <f>F21</f>
        <v>0.01</v>
      </c>
      <c r="D21" s="280" t="s">
        <v>126</v>
      </c>
      <c r="E21" s="276"/>
      <c r="F21" s="277">
        <f>'数据-取费表'!B38</f>
        <v>0.01</v>
      </c>
      <c r="G21" s="278" t="s">
        <v>106</v>
      </c>
    </row>
    <row r="22" spans="1:7" s="258" customFormat="1" ht="13.5" customHeight="1">
      <c r="A22" s="949" t="s">
        <v>786</v>
      </c>
      <c r="B22" s="254" t="s">
        <v>107</v>
      </c>
      <c r="C22" s="1355">
        <f ca="1">ROUND(SUM(C23:C25),0)</f>
        <v>2024</v>
      </c>
      <c r="D22" s="279">
        <f ca="1">C26</f>
        <v>5.0000000000000001E-4</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2004</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0</v>
      </c>
      <c r="D24" s="282"/>
      <c r="E24" s="282"/>
      <c r="F24" s="283"/>
      <c r="G24" s="284" t="s">
        <v>109</v>
      </c>
    </row>
    <row r="25" spans="1:7" s="258" customFormat="1" ht="24">
      <c r="A25" s="952" t="s">
        <v>793</v>
      </c>
      <c r="B25" s="259" t="s">
        <v>1058</v>
      </c>
      <c r="C25" s="1356">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5.0000000000000001E-4</v>
      </c>
      <c r="D26" s="282"/>
      <c r="E26" s="285"/>
      <c r="F26" s="283"/>
      <c r="G26" s="287"/>
    </row>
    <row r="27" spans="1:7" s="258" customFormat="1" ht="24.75">
      <c r="A27" s="949" t="s">
        <v>787</v>
      </c>
      <c r="B27" s="288" t="s">
        <v>112</v>
      </c>
      <c r="C27" s="289">
        <f>C28</f>
        <v>1682</v>
      </c>
      <c r="D27" s="279">
        <f>C29</f>
        <v>8.0000000000000004E-4</v>
      </c>
      <c r="E27" s="280" t="s">
        <v>126</v>
      </c>
      <c r="F27" s="290">
        <f>'数据-取费表'!Q16</f>
        <v>0.08</v>
      </c>
      <c r="G27" s="291" t="s">
        <v>1069</v>
      </c>
    </row>
    <row r="28" spans="1:7" s="258" customFormat="1" ht="13.5" customHeight="1">
      <c r="A28" s="952" t="s">
        <v>794</v>
      </c>
      <c r="B28" s="292" t="s">
        <v>1062</v>
      </c>
      <c r="C28" s="293">
        <f>ROUND((C5+C19+C20)*F27*'数据-取费表'!B21/'数据-取费表'!B20,0)</f>
        <v>1682</v>
      </c>
      <c r="D28" s="279"/>
      <c r="E28" s="280"/>
      <c r="F28" s="290"/>
      <c r="G28" s="291"/>
    </row>
    <row r="29" spans="1:7" s="258" customFormat="1" ht="13.5" customHeight="1">
      <c r="A29" s="952" t="s">
        <v>792</v>
      </c>
      <c r="B29" s="292" t="s">
        <v>1063</v>
      </c>
      <c r="C29" s="282">
        <f>ROUND(C21*F27*'数据-取费表'!B21/'数据-取费表'!B20,4)</f>
        <v>8.0000000000000004E-4</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26437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5725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5000</v>
      </c>
      <c r="D34" s="261"/>
      <c r="E34" s="264"/>
      <c r="F34" s="301">
        <f>IF('数据-取费表'!B24=0,1,'数据-取费表'!N16)</f>
        <v>1</v>
      </c>
      <c r="G34" s="263" t="s">
        <v>116</v>
      </c>
    </row>
    <row r="35" spans="1:7" ht="13.5" customHeight="1">
      <c r="A35" s="952" t="s">
        <v>796</v>
      </c>
      <c r="B35" s="259" t="s">
        <v>60</v>
      </c>
      <c r="C35" s="264">
        <f>ROUND(C34*F35,0)</f>
        <v>150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500</v>
      </c>
      <c r="D36" s="264"/>
      <c r="E36" s="264"/>
      <c r="F36" s="303">
        <f>'数据-取费表'!B34</f>
        <v>0.1</v>
      </c>
      <c r="G36" s="304" t="s">
        <v>62</v>
      </c>
    </row>
    <row r="37" spans="1:7" s="302" customFormat="1" ht="13.5" customHeight="1">
      <c r="A37" s="952" t="s">
        <v>798</v>
      </c>
      <c r="B37" s="259" t="s">
        <v>118</v>
      </c>
      <c r="C37" s="293">
        <f>ROUND(E37*D37*F34/10000,0)</f>
        <v>0</v>
      </c>
      <c r="D37" s="261">
        <f>'数据-汇总表'!E3</f>
        <v>1</v>
      </c>
      <c r="E37" s="293">
        <f>'数据-取费表'!B35</f>
        <v>200</v>
      </c>
      <c r="F37" s="303"/>
      <c r="G37" s="305" t="s">
        <v>119</v>
      </c>
    </row>
    <row r="38" spans="1:7" ht="13.5" customHeight="1">
      <c r="A38" s="952" t="s">
        <v>799</v>
      </c>
      <c r="B38" s="259" t="s">
        <v>63</v>
      </c>
      <c r="C38" s="264">
        <f>ROUND(C34*F38,0)</f>
        <v>75</v>
      </c>
      <c r="D38" s="264"/>
      <c r="E38" s="264"/>
      <c r="F38" s="303">
        <f>'数据-取费表'!B36</f>
        <v>1.4999999999999999E-2</v>
      </c>
      <c r="G38" s="263" t="s">
        <v>117</v>
      </c>
    </row>
    <row r="39" spans="1:7" s="258" customFormat="1" ht="13.5" customHeight="1">
      <c r="A39" s="949" t="s">
        <v>783</v>
      </c>
      <c r="B39" s="254" t="s">
        <v>104</v>
      </c>
      <c r="C39" s="276">
        <f>ROUND(C33*F20,0)</f>
        <v>115</v>
      </c>
      <c r="D39" s="276"/>
      <c r="E39" s="276"/>
      <c r="F39" s="277"/>
      <c r="G39" s="1290" t="s">
        <v>1071</v>
      </c>
    </row>
    <row r="40" spans="1:7" s="258" customFormat="1" ht="13.5" customHeight="1">
      <c r="A40" s="949" t="s">
        <v>784</v>
      </c>
      <c r="B40" s="254" t="s">
        <v>105</v>
      </c>
      <c r="C40" s="306">
        <f>F21</f>
        <v>0.01</v>
      </c>
      <c r="D40" s="280" t="s">
        <v>129</v>
      </c>
      <c r="E40" s="276"/>
      <c r="F40" s="277"/>
      <c r="G40" s="278" t="s">
        <v>120</v>
      </c>
    </row>
    <row r="41" spans="1:7" s="258" customFormat="1" ht="13.5" customHeight="1">
      <c r="A41" s="949" t="s">
        <v>785</v>
      </c>
      <c r="B41" s="254" t="s">
        <v>107</v>
      </c>
      <c r="C41" s="276">
        <f ca="1">ROUND(SUM(C42:C43),0)</f>
        <v>277</v>
      </c>
      <c r="D41" s="279">
        <f ca="1">C44</f>
        <v>5.0000000000000001E-4</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272</v>
      </c>
      <c r="D42" s="282"/>
      <c r="E42" s="282"/>
      <c r="F42" s="283"/>
      <c r="G42" s="3227" t="s">
        <v>121</v>
      </c>
    </row>
    <row r="43" spans="1:7" ht="13.5" customHeight="1">
      <c r="A43" s="952" t="s">
        <v>792</v>
      </c>
      <c r="B43" s="259" t="s">
        <v>1064</v>
      </c>
      <c r="C43" s="282">
        <f ca="1">ROUND(IF('数据-取费表'!B22&lt;=1,C39*F22*'数据-取费表'!B21/2,C39*(POWER((1+F22),'数据-取费表'!B21/2)-1)),0)</f>
        <v>5</v>
      </c>
      <c r="D43" s="282"/>
      <c r="E43" s="282"/>
      <c r="F43" s="283"/>
      <c r="G43" s="3228"/>
    </row>
    <row r="44" spans="1:7" ht="13.5" customHeight="1">
      <c r="A44" s="952" t="s">
        <v>793</v>
      </c>
      <c r="B44" s="259" t="s">
        <v>1066</v>
      </c>
      <c r="C44" s="282">
        <f ca="1">ROUND(IF('数据-取费表'!B22&lt;=1,C40*F22*'数据-取费表'!B21/2,C40*(POWER((1+F22),'数据-取费表'!B21/2)-1)),4)</f>
        <v>5.0000000000000001E-4</v>
      </c>
      <c r="D44" s="282"/>
      <c r="E44" s="282"/>
      <c r="F44" s="283"/>
      <c r="G44" s="3229"/>
    </row>
    <row r="45" spans="1:7" s="258" customFormat="1" ht="13.5" customHeight="1">
      <c r="A45" s="949" t="s">
        <v>786</v>
      </c>
      <c r="B45" s="288" t="s">
        <v>112</v>
      </c>
      <c r="C45" s="289">
        <f>C46</f>
        <v>467</v>
      </c>
      <c r="D45" s="279">
        <f>C47</f>
        <v>8.0000000000000004E-4</v>
      </c>
      <c r="E45" s="280" t="s">
        <v>129</v>
      </c>
      <c r="F45" s="290"/>
      <c r="G45" s="291" t="s">
        <v>1072</v>
      </c>
    </row>
    <row r="46" spans="1:7" s="258" customFormat="1" ht="13.5" customHeight="1">
      <c r="A46" s="952" t="s">
        <v>794</v>
      </c>
      <c r="B46" s="292" t="s">
        <v>1065</v>
      </c>
      <c r="C46" s="293">
        <f>ROUND((C33+C39)*F27,0)</f>
        <v>467</v>
      </c>
      <c r="D46" s="307"/>
      <c r="E46" s="280"/>
      <c r="F46" s="290"/>
      <c r="G46" s="291"/>
    </row>
    <row r="47" spans="1:7" s="258" customFormat="1" ht="13.5" customHeight="1">
      <c r="A47" s="952" t="s">
        <v>792</v>
      </c>
      <c r="B47" s="292" t="s">
        <v>1067</v>
      </c>
      <c r="C47" s="282">
        <f>ROUND(C40*F27,4)</f>
        <v>8.0000000000000004E-4</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7039</v>
      </c>
      <c r="D49" s="276"/>
      <c r="E49" s="276"/>
      <c r="F49" s="308"/>
      <c r="G49" s="278" t="s">
        <v>1073</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7039</v>
      </c>
      <c r="D51" s="276"/>
      <c r="E51" s="276"/>
      <c r="F51" s="308"/>
      <c r="G51" s="278" t="s">
        <v>64</v>
      </c>
    </row>
    <row r="52" spans="1:7" s="252" customFormat="1" ht="16.5" thickBot="1">
      <c r="A52" s="309" t="s">
        <v>65</v>
      </c>
      <c r="B52" s="310"/>
      <c r="C52" s="311">
        <f ca="1">C31+C51</f>
        <v>33476</v>
      </c>
      <c r="D52" s="310"/>
      <c r="E52" s="310"/>
      <c r="F52" s="310"/>
      <c r="G52" s="312"/>
    </row>
    <row r="55" spans="1:7" ht="15">
      <c r="B55" s="314" t="s">
        <v>66</v>
      </c>
      <c r="C55" s="315"/>
    </row>
    <row r="56" spans="1:7">
      <c r="B56" s="317" t="s">
        <v>67</v>
      </c>
      <c r="C56" s="318">
        <f ca="1">ROUND(C51/C52,3)</f>
        <v>0.21</v>
      </c>
    </row>
    <row r="57" spans="1:7">
      <c r="B57" s="317" t="s">
        <v>68</v>
      </c>
      <c r="C57" s="319">
        <f ca="1">1-C56</f>
        <v>0.79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76" t="s">
        <v>156</v>
      </c>
      <c r="B1" s="3376"/>
      <c r="C1" s="3376"/>
      <c r="D1" s="3376"/>
      <c r="E1" s="3376"/>
      <c r="F1" s="337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77" t="s">
        <v>169</v>
      </c>
      <c r="B2" s="3377"/>
      <c r="C2" s="3377"/>
      <c r="D2" s="3377"/>
      <c r="E2" s="3377"/>
      <c r="F2" s="337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7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7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76" t="s">
        <v>871</v>
      </c>
      <c r="B1" s="337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43397</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120" zoomScaleNormal="120" workbookViewId="0">
      <selection activeCell="E17" sqref="E17"/>
    </sheetView>
  </sheetViews>
  <sheetFormatPr defaultRowHeight="13.5"/>
  <cols>
    <col min="1" max="1" width="4.125" style="2965" customWidth="1"/>
    <col min="2" max="2" width="11.875" style="2965" customWidth="1"/>
    <col min="3" max="3" width="9" style="2965"/>
    <col min="4" max="4" width="7.75" style="2965" customWidth="1"/>
    <col min="5" max="5" width="8.625" style="2965" customWidth="1"/>
    <col min="6" max="6" width="6.125" style="2965" customWidth="1"/>
    <col min="7" max="7" width="5.125" style="2965" customWidth="1"/>
    <col min="8" max="8" width="5.375" style="2965" customWidth="1"/>
    <col min="9" max="9" width="5" style="2965" customWidth="1"/>
    <col min="10" max="10" width="17" style="2965" customWidth="1"/>
    <col min="11" max="16384" width="9" style="2965"/>
  </cols>
  <sheetData>
    <row r="1" spans="1:10" ht="31.5">
      <c r="A1" s="2966" t="s">
        <v>3145</v>
      </c>
      <c r="B1" s="2966" t="s">
        <v>3146</v>
      </c>
      <c r="C1" s="2966" t="s">
        <v>3147</v>
      </c>
      <c r="D1" s="2966" t="s">
        <v>3148</v>
      </c>
      <c r="E1" s="2966" t="s">
        <v>3149</v>
      </c>
      <c r="F1" s="2966" t="s">
        <v>3150</v>
      </c>
      <c r="G1" s="2966" t="s">
        <v>3151</v>
      </c>
      <c r="H1" s="2966" t="s">
        <v>3152</v>
      </c>
      <c r="I1" s="2966" t="s">
        <v>3153</v>
      </c>
      <c r="J1" s="2966" t="s">
        <v>3154</v>
      </c>
    </row>
    <row r="2" spans="1:10" ht="27" hidden="1" customHeight="1">
      <c r="A2" s="2966">
        <v>1</v>
      </c>
      <c r="B2" s="2966" t="s">
        <v>3227</v>
      </c>
      <c r="C2" s="2966" t="s">
        <v>3239</v>
      </c>
      <c r="D2" s="2966">
        <v>0.56999999999999995</v>
      </c>
      <c r="E2" s="2966" t="s">
        <v>3248</v>
      </c>
      <c r="F2" s="2966" t="s">
        <v>3248</v>
      </c>
      <c r="G2" s="2966" t="s">
        <v>3248</v>
      </c>
      <c r="H2" s="3382">
        <v>30</v>
      </c>
      <c r="I2" s="3382">
        <v>30</v>
      </c>
      <c r="J2" s="2966"/>
    </row>
    <row r="3" spans="1:10" ht="27" customHeight="1">
      <c r="A3" s="2966">
        <v>2</v>
      </c>
      <c r="B3" s="2966" t="s">
        <v>3228</v>
      </c>
      <c r="C3" s="2966" t="s">
        <v>3238</v>
      </c>
      <c r="D3" s="2966">
        <v>2.7</v>
      </c>
      <c r="E3" s="2966">
        <f>D3*F3</f>
        <v>6.75</v>
      </c>
      <c r="F3" s="2967">
        <v>2.5</v>
      </c>
      <c r="G3" s="2966">
        <v>60</v>
      </c>
      <c r="H3" s="3383"/>
      <c r="I3" s="3383"/>
      <c r="J3" s="2966"/>
    </row>
    <row r="4" spans="1:10">
      <c r="A4" s="2966">
        <v>3</v>
      </c>
      <c r="B4" s="2966" t="s">
        <v>3229</v>
      </c>
      <c r="C4" s="2966" t="s">
        <v>3238</v>
      </c>
      <c r="D4" s="2966">
        <v>4.8600000000000003</v>
      </c>
      <c r="E4" s="2966">
        <f t="shared" ref="E4:E9" si="0">D4*F4</f>
        <v>9.7200000000000006</v>
      </c>
      <c r="F4" s="2967">
        <v>2</v>
      </c>
      <c r="G4" s="2966">
        <v>45</v>
      </c>
      <c r="H4" s="3383"/>
      <c r="I4" s="3383"/>
      <c r="J4" s="2966"/>
    </row>
    <row r="5" spans="1:10" ht="27" hidden="1" customHeight="1">
      <c r="A5" s="2966">
        <v>4</v>
      </c>
      <c r="B5" s="2966" t="s">
        <v>3230</v>
      </c>
      <c r="C5" s="2966" t="s">
        <v>3240</v>
      </c>
      <c r="D5" s="2966">
        <v>1.71</v>
      </c>
      <c r="E5" s="2966">
        <f t="shared" si="0"/>
        <v>1.3680000000000001</v>
      </c>
      <c r="F5" s="2967">
        <v>0.8</v>
      </c>
      <c r="G5" s="2966">
        <v>20</v>
      </c>
      <c r="H5" s="3383"/>
      <c r="I5" s="3383"/>
      <c r="J5" s="2966"/>
    </row>
    <row r="6" spans="1:10" ht="27" hidden="1" customHeight="1">
      <c r="A6" s="2966">
        <v>5</v>
      </c>
      <c r="B6" s="2966" t="s">
        <v>3231</v>
      </c>
      <c r="C6" s="2966" t="s">
        <v>3241</v>
      </c>
      <c r="D6" s="2966">
        <v>1.08</v>
      </c>
      <c r="E6" s="2966" t="e">
        <f t="shared" si="0"/>
        <v>#VALUE!</v>
      </c>
      <c r="F6" s="2966" t="s">
        <v>3248</v>
      </c>
      <c r="G6" s="2966" t="s">
        <v>3248</v>
      </c>
      <c r="H6" s="3383"/>
      <c r="I6" s="3383"/>
      <c r="J6" s="2966"/>
    </row>
    <row r="7" spans="1:10" ht="27" hidden="1" customHeight="1">
      <c r="A7" s="2966">
        <v>6</v>
      </c>
      <c r="B7" s="2966" t="s">
        <v>3232</v>
      </c>
      <c r="C7" s="2966" t="s">
        <v>3242</v>
      </c>
      <c r="D7" s="2966">
        <v>0.51</v>
      </c>
      <c r="E7" s="2966">
        <f t="shared" si="0"/>
        <v>0.40800000000000003</v>
      </c>
      <c r="F7" s="2967">
        <v>0.8</v>
      </c>
      <c r="G7" s="2966">
        <v>12</v>
      </c>
      <c r="H7" s="3383"/>
      <c r="I7" s="3383"/>
      <c r="J7" s="2966"/>
    </row>
    <row r="8" spans="1:10" ht="27" hidden="1" customHeight="1">
      <c r="A8" s="2966">
        <v>7</v>
      </c>
      <c r="B8" s="2966" t="s">
        <v>3233</v>
      </c>
      <c r="C8" s="2966" t="s">
        <v>3243</v>
      </c>
      <c r="D8" s="2966">
        <v>0.1</v>
      </c>
      <c r="E8" s="2966" t="e">
        <f t="shared" si="0"/>
        <v>#VALUE!</v>
      </c>
      <c r="F8" s="2966" t="s">
        <v>3248</v>
      </c>
      <c r="G8" s="2966" t="s">
        <v>3248</v>
      </c>
      <c r="H8" s="3383"/>
      <c r="I8" s="3383"/>
      <c r="J8" s="2966"/>
    </row>
    <row r="9" spans="1:10" ht="27" customHeight="1">
      <c r="A9" s="2966">
        <v>8</v>
      </c>
      <c r="B9" s="2966" t="s">
        <v>3234</v>
      </c>
      <c r="C9" s="2966" t="s">
        <v>3238</v>
      </c>
      <c r="D9" s="2966">
        <v>2.59</v>
      </c>
      <c r="E9" s="2966">
        <f t="shared" si="0"/>
        <v>6.4749999999999996</v>
      </c>
      <c r="F9" s="2967">
        <v>2.5</v>
      </c>
      <c r="G9" s="2966">
        <v>60</v>
      </c>
      <c r="H9" s="3383"/>
      <c r="I9" s="3383"/>
      <c r="J9" s="2966"/>
    </row>
    <row r="10" spans="1:10" ht="21" hidden="1">
      <c r="A10" s="2966">
        <v>9</v>
      </c>
      <c r="B10" s="2966" t="s">
        <v>3235</v>
      </c>
      <c r="C10" s="2966" t="s">
        <v>3244</v>
      </c>
      <c r="D10" s="2966">
        <v>0.6</v>
      </c>
      <c r="E10" s="2966"/>
      <c r="F10" s="2967">
        <v>1</v>
      </c>
      <c r="G10" s="2966">
        <v>12</v>
      </c>
      <c r="H10" s="3383"/>
      <c r="I10" s="3383"/>
      <c r="J10" s="2966"/>
    </row>
    <row r="11" spans="1:10" ht="21" hidden="1">
      <c r="A11" s="2966">
        <v>10</v>
      </c>
      <c r="B11" s="2966" t="s">
        <v>3236</v>
      </c>
      <c r="C11" s="2966" t="s">
        <v>3245</v>
      </c>
      <c r="D11" s="2966">
        <v>0.2</v>
      </c>
      <c r="E11" s="2966"/>
      <c r="F11" s="2967">
        <v>0.4</v>
      </c>
      <c r="G11" s="2966">
        <v>12</v>
      </c>
      <c r="H11" s="3383"/>
      <c r="I11" s="3383"/>
      <c r="J11" s="2966"/>
    </row>
    <row r="12" spans="1:10" ht="27" hidden="1" customHeight="1">
      <c r="A12" s="2966">
        <v>11</v>
      </c>
      <c r="B12" s="2966" t="s">
        <v>3237</v>
      </c>
      <c r="C12" s="2966" t="s">
        <v>3246</v>
      </c>
      <c r="D12" s="2966">
        <v>0.2</v>
      </c>
      <c r="E12" s="2966"/>
      <c r="F12" s="2967">
        <v>1</v>
      </c>
      <c r="G12" s="2966">
        <v>12</v>
      </c>
      <c r="H12" s="3384"/>
      <c r="I12" s="3384"/>
      <c r="J12" s="2966"/>
    </row>
    <row r="13" spans="1:10" ht="27" hidden="1" customHeight="1">
      <c r="A13" s="2966">
        <v>12</v>
      </c>
      <c r="B13" s="3380" t="s">
        <v>3247</v>
      </c>
      <c r="C13" s="3381"/>
      <c r="D13" s="2966">
        <v>3.69</v>
      </c>
      <c r="E13" s="2966" t="s">
        <v>3248</v>
      </c>
      <c r="F13" s="2966" t="s">
        <v>3248</v>
      </c>
      <c r="G13" s="2966" t="s">
        <v>3248</v>
      </c>
      <c r="H13" s="3022"/>
      <c r="I13" s="3022"/>
      <c r="J13" s="2966"/>
    </row>
    <row r="14" spans="1:10">
      <c r="A14" s="3380" t="s">
        <v>3155</v>
      </c>
      <c r="B14" s="3381"/>
      <c r="C14" s="2966" t="s">
        <v>3144</v>
      </c>
      <c r="D14" s="2966">
        <f>D3+D4+D9</f>
        <v>10.15</v>
      </c>
      <c r="E14" s="2966">
        <f>E3+E4+E9</f>
        <v>22.945</v>
      </c>
      <c r="F14" s="2967">
        <f t="shared" ref="F14" si="1">E14/D14</f>
        <v>2.260591133004926</v>
      </c>
      <c r="G14" s="2966" t="s">
        <v>3144</v>
      </c>
      <c r="H14" s="2966" t="s">
        <v>3144</v>
      </c>
      <c r="I14" s="2966" t="s">
        <v>3144</v>
      </c>
      <c r="J14" s="2966" t="s">
        <v>3144</v>
      </c>
    </row>
  </sheetData>
  <mergeCells count="4">
    <mergeCell ref="A14:B14"/>
    <mergeCell ref="H2:H12"/>
    <mergeCell ref="I2:I12"/>
    <mergeCell ref="B13:C1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
  <sheetViews>
    <sheetView topLeftCell="A4" workbookViewId="0">
      <selection activeCell="B3" sqref="B3"/>
    </sheetView>
  </sheetViews>
  <sheetFormatPr defaultRowHeight="13.5"/>
  <cols>
    <col min="4" max="4" width="13.25" customWidth="1"/>
  </cols>
  <sheetData>
    <row r="1" spans="1:17" s="3" customFormat="1" ht="27">
      <c r="A1" s="3028" t="s">
        <v>3185</v>
      </c>
      <c r="B1" s="3028" t="s">
        <v>3186</v>
      </c>
      <c r="C1" s="3028" t="s">
        <v>3187</v>
      </c>
      <c r="D1" s="3028" t="s">
        <v>3188</v>
      </c>
      <c r="E1" s="3028" t="s">
        <v>3189</v>
      </c>
      <c r="F1" s="3028" t="s">
        <v>3190</v>
      </c>
      <c r="G1" s="3029" t="s">
        <v>3191</v>
      </c>
      <c r="H1" s="3029" t="s">
        <v>3192</v>
      </c>
      <c r="I1" s="3028" t="s">
        <v>3193</v>
      </c>
      <c r="J1" s="3030" t="s">
        <v>3194</v>
      </c>
      <c r="K1" s="3031" t="s">
        <v>3195</v>
      </c>
      <c r="L1" s="3028" t="s">
        <v>3196</v>
      </c>
      <c r="M1" s="3028" t="s">
        <v>3197</v>
      </c>
      <c r="N1" s="3028" t="s">
        <v>3198</v>
      </c>
      <c r="O1" s="3028" t="s">
        <v>3199</v>
      </c>
      <c r="P1" s="3028" t="s">
        <v>3200</v>
      </c>
      <c r="Q1" s="3028"/>
    </row>
    <row r="2" spans="1:17" s="3" customFormat="1" ht="162">
      <c r="A2" s="3028">
        <v>1</v>
      </c>
      <c r="B2" s="3034" t="s">
        <v>3221</v>
      </c>
      <c r="C2" s="3028" t="s">
        <v>3201</v>
      </c>
      <c r="D2" s="3032">
        <v>43042</v>
      </c>
      <c r="E2" s="3028">
        <v>84786.55</v>
      </c>
      <c r="F2" s="3028">
        <v>186530</v>
      </c>
      <c r="G2" s="3029">
        <f>F2/E2</f>
        <v>2.199995164327361</v>
      </c>
      <c r="H2" s="3029" t="s">
        <v>3202</v>
      </c>
      <c r="I2" s="3028">
        <v>535500</v>
      </c>
      <c r="J2" s="3030">
        <f>I2*10000/F2</f>
        <v>28708.518736932398</v>
      </c>
      <c r="K2" s="3031">
        <v>5.1000000000000004E-3</v>
      </c>
      <c r="L2" s="3028" t="s">
        <v>3203</v>
      </c>
      <c r="M2" s="3028" t="s">
        <v>3204</v>
      </c>
      <c r="N2" s="3028"/>
      <c r="O2" s="3028">
        <v>37800</v>
      </c>
      <c r="P2" s="3028" t="s">
        <v>3205</v>
      </c>
      <c r="Q2" s="3028"/>
    </row>
    <row r="3" spans="1:17" s="3" customFormat="1" ht="243">
      <c r="A3" s="3028">
        <v>2</v>
      </c>
      <c r="B3" s="3028" t="s">
        <v>3206</v>
      </c>
      <c r="C3" s="3028" t="s">
        <v>3201</v>
      </c>
      <c r="D3" s="3032">
        <v>42676</v>
      </c>
      <c r="E3" s="3028">
        <v>43356.75</v>
      </c>
      <c r="F3" s="3028">
        <v>91049</v>
      </c>
      <c r="G3" s="3029">
        <f t="shared" ref="G3:G4" si="0">F3/E3</f>
        <v>2.0999959637196053</v>
      </c>
      <c r="H3" s="3029" t="s">
        <v>3207</v>
      </c>
      <c r="I3" s="3028">
        <v>215000</v>
      </c>
      <c r="J3" s="3033">
        <f t="shared" ref="J3:J4" si="1">I3*10000/F3</f>
        <v>23613.658579446233</v>
      </c>
      <c r="K3" s="3031">
        <v>8.0399999999999999E-2</v>
      </c>
      <c r="L3" s="3028" t="s">
        <v>3208</v>
      </c>
      <c r="M3" s="3028" t="s">
        <v>3209</v>
      </c>
      <c r="N3" s="3028" t="s">
        <v>3210</v>
      </c>
      <c r="O3" s="3028">
        <v>35000</v>
      </c>
      <c r="P3" s="3028" t="s">
        <v>3211</v>
      </c>
      <c r="Q3" s="3028" t="s">
        <v>3212</v>
      </c>
    </row>
    <row r="4" spans="1:17" s="3" customFormat="1" ht="337.5">
      <c r="A4" s="3028">
        <v>3</v>
      </c>
      <c r="B4" s="3028" t="s">
        <v>3213</v>
      </c>
      <c r="C4" s="3028" t="s">
        <v>3214</v>
      </c>
      <c r="D4" s="3032">
        <v>42849</v>
      </c>
      <c r="E4" s="3028">
        <v>27130.69</v>
      </c>
      <c r="F4" s="3028">
        <v>43409</v>
      </c>
      <c r="G4" s="3029">
        <f t="shared" si="0"/>
        <v>1.5999961667027267</v>
      </c>
      <c r="H4" s="3029" t="s">
        <v>3215</v>
      </c>
      <c r="I4" s="3028">
        <v>123500</v>
      </c>
      <c r="J4" s="3033">
        <f t="shared" si="1"/>
        <v>28450.321361929553</v>
      </c>
      <c r="K4" s="3031">
        <v>0.45290000000000002</v>
      </c>
      <c r="L4" s="3028" t="s">
        <v>3216</v>
      </c>
      <c r="M4" s="3028" t="s">
        <v>3217</v>
      </c>
      <c r="N4" s="3028" t="s">
        <v>3218</v>
      </c>
      <c r="O4" s="3028">
        <v>35000</v>
      </c>
      <c r="P4" s="3028" t="s">
        <v>3219</v>
      </c>
      <c r="Q4" s="3028" t="s">
        <v>3220</v>
      </c>
    </row>
  </sheetData>
  <phoneticPr fontId="143"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52" t="str">
        <f>IF(项目基本情况!B9="房地产市场价值","估价结果一览表","结果表-2")</f>
        <v>估价结果一览表</v>
      </c>
      <c r="B1" s="3052"/>
      <c r="C1" s="3052"/>
      <c r="D1" s="3052"/>
      <c r="E1" s="3052"/>
      <c r="F1" s="3052"/>
      <c r="G1" s="3052"/>
      <c r="H1" s="3052"/>
      <c r="I1" s="3052"/>
    </row>
    <row r="2" spans="1:9" ht="30" customHeight="1" thickTop="1">
      <c r="A2" s="3053" t="s">
        <v>1641</v>
      </c>
      <c r="B2" s="3053" t="s">
        <v>1642</v>
      </c>
      <c r="C2" s="3053" t="s">
        <v>1643</v>
      </c>
      <c r="D2" s="3053" t="str">
        <f>结果表!D116</f>
        <v>出让国有建设用地使用权价值</v>
      </c>
      <c r="E2" s="3053"/>
      <c r="F2" s="3053" t="str">
        <f>结果表!F116</f>
        <v>在建建筑物价值</v>
      </c>
      <c r="G2" s="3053"/>
      <c r="H2" s="3053" t="str">
        <f>IF(项目基本情况!B9="房地产市场价值","房地产市场价值","房地产价值")</f>
        <v>房地产市场价值</v>
      </c>
      <c r="I2" s="3053"/>
    </row>
    <row r="3" spans="1:9" ht="15">
      <c r="A3" s="3054"/>
      <c r="B3" s="3054"/>
      <c r="C3" s="3054"/>
      <c r="D3" s="1045" t="s">
        <v>1638</v>
      </c>
      <c r="E3" s="1045" t="s">
        <v>1644</v>
      </c>
      <c r="F3" s="1045" t="s">
        <v>1638</v>
      </c>
      <c r="G3" s="1045" t="s">
        <v>1639</v>
      </c>
      <c r="H3" s="1045" t="s">
        <v>1638</v>
      </c>
      <c r="I3" s="1045" t="s">
        <v>1639</v>
      </c>
    </row>
    <row r="4" spans="1:9" ht="15">
      <c r="A4" s="1973" t="str">
        <f>项目基本情况!S2</f>
        <v>北京市房地产</v>
      </c>
      <c r="B4" s="1045">
        <f>项目基本情况!C17</f>
        <v>1</v>
      </c>
      <c r="C4" s="1045">
        <f>项目基本情况!C18</f>
        <v>0.44</v>
      </c>
      <c r="D4" s="1045" t="e">
        <f ca="1">结果表!D118</f>
        <v>#REF!</v>
      </c>
      <c r="E4" s="1045" t="e">
        <f ca="1">结果表!E118</f>
        <v>#REF!</v>
      </c>
      <c r="F4" s="1045" t="e">
        <f ca="1">结果表!F118</f>
        <v>#REF!</v>
      </c>
      <c r="G4" s="1045" t="e">
        <f ca="1">结果表!G118</f>
        <v>#REF!</v>
      </c>
      <c r="H4" s="1045" t="e">
        <f ca="1">结果表!H118</f>
        <v>#REF!</v>
      </c>
      <c r="I4" s="1045" t="e">
        <f ca="1">结果表!I118</f>
        <v>#REF!</v>
      </c>
    </row>
    <row r="5" spans="1:9" ht="30" customHeight="1">
      <c r="A5" s="3054" t="s">
        <v>1640</v>
      </c>
      <c r="B5" s="3054"/>
      <c r="C5" s="3054"/>
      <c r="D5" s="3055" t="e">
        <f ca="1">结果表!D119</f>
        <v>#REF!</v>
      </c>
      <c r="E5" s="3055"/>
      <c r="F5" s="3055" t="e">
        <f ca="1">结果表!F119</f>
        <v>#REF!</v>
      </c>
      <c r="G5" s="3055"/>
      <c r="H5" s="3055" t="e">
        <f ca="1">结果表!H119</f>
        <v>#REF!</v>
      </c>
      <c r="I5" s="3055"/>
    </row>
    <row r="6" spans="1:9" ht="15.75">
      <c r="A6" s="3056" t="str">
        <f>结果表!A120</f>
        <v/>
      </c>
      <c r="B6" s="3056"/>
      <c r="C6" s="3056"/>
      <c r="D6" s="3056">
        <f>结果表!D120</f>
        <v>0</v>
      </c>
      <c r="E6" s="3056"/>
      <c r="F6" s="3056"/>
      <c r="G6" s="3056"/>
      <c r="H6" s="3056"/>
      <c r="I6" s="3056"/>
    </row>
    <row r="7" spans="1:9" ht="15">
      <c r="A7" s="3054" t="s">
        <v>1640</v>
      </c>
      <c r="B7" s="3054"/>
      <c r="C7" s="3054"/>
      <c r="D7" s="3057" t="str">
        <f>结果表!D121</f>
        <v>零元整</v>
      </c>
      <c r="E7" s="3058"/>
      <c r="F7" s="3058"/>
      <c r="G7" s="3058"/>
      <c r="H7" s="3058"/>
      <c r="I7" s="3059"/>
    </row>
    <row r="8" spans="1:9" ht="15.75">
      <c r="A8" s="3056" t="str">
        <f>结果表!A122</f>
        <v/>
      </c>
      <c r="B8" s="3056"/>
      <c r="C8" s="3056"/>
      <c r="D8" s="3056" t="e">
        <f ca="1">结果表!D122</f>
        <v>#REF!</v>
      </c>
      <c r="E8" s="3056"/>
      <c r="F8" s="3056"/>
      <c r="G8" s="3056"/>
      <c r="H8" s="3056"/>
      <c r="I8" s="3056"/>
    </row>
    <row r="9" spans="1:9" ht="15">
      <c r="A9" s="3054" t="s">
        <v>1640</v>
      </c>
      <c r="B9" s="3054"/>
      <c r="C9" s="3054"/>
      <c r="D9" s="3055" t="e">
        <f ca="1">结果表!D123</f>
        <v>#REF!</v>
      </c>
      <c r="E9" s="3055"/>
      <c r="F9" s="3055"/>
      <c r="G9" s="3055"/>
      <c r="H9" s="3055"/>
      <c r="I9" s="3055"/>
    </row>
    <row r="10" spans="1:9" ht="15.75">
      <c r="A10" s="3056" t="str">
        <f>结果表!A124</f>
        <v/>
      </c>
      <c r="B10" s="3056"/>
      <c r="C10" s="3056"/>
      <c r="D10" s="3056" t="str">
        <f>结果表!D124</f>
        <v>——</v>
      </c>
      <c r="E10" s="3056"/>
      <c r="F10" s="3056"/>
      <c r="G10" s="3056"/>
      <c r="H10" s="3056"/>
      <c r="I10" s="3056"/>
    </row>
    <row r="11" spans="1:9" ht="15">
      <c r="A11" s="3054" t="s">
        <v>1640</v>
      </c>
      <c r="B11" s="3054"/>
      <c r="C11" s="3054"/>
      <c r="D11" s="3055" t="e">
        <f>结果表!D125</f>
        <v>#VALUE!</v>
      </c>
      <c r="E11" s="3055"/>
      <c r="F11" s="3055"/>
      <c r="G11" s="3055"/>
      <c r="H11" s="3055"/>
      <c r="I11" s="3055"/>
    </row>
    <row r="12" spans="1:9" ht="15.75">
      <c r="A12" s="3056" t="str">
        <f>结果表!A126</f>
        <v/>
      </c>
      <c r="B12" s="3056"/>
      <c r="C12" s="3056"/>
      <c r="D12" s="3056" t="str">
        <f>结果表!D126</f>
        <v>——</v>
      </c>
      <c r="E12" s="3056"/>
      <c r="F12" s="3056"/>
      <c r="G12" s="3056"/>
      <c r="H12" s="3056"/>
      <c r="I12" s="3056"/>
    </row>
    <row r="13" spans="1:9" ht="15.75" thickBot="1">
      <c r="A13" s="3060" t="s">
        <v>1640</v>
      </c>
      <c r="B13" s="3060"/>
      <c r="C13" s="3060"/>
      <c r="D13" s="3061" t="e">
        <f>结果表!D127</f>
        <v>#VALUE!</v>
      </c>
      <c r="E13" s="3061"/>
      <c r="F13" s="3061"/>
      <c r="G13" s="3061"/>
      <c r="H13" s="3061"/>
      <c r="I13" s="3061"/>
    </row>
    <row r="14" spans="1:9" ht="15" thickTop="1">
      <c r="A14" s="3062" t="s">
        <v>1645</v>
      </c>
      <c r="B14" s="3062"/>
      <c r="C14" s="3062"/>
      <c r="D14" s="3062"/>
      <c r="E14" s="3062"/>
      <c r="F14" s="3062"/>
      <c r="G14" s="3062"/>
      <c r="H14" s="3062"/>
      <c r="I14" s="3062"/>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63" t="s">
        <v>1662</v>
      </c>
      <c r="B1" s="3063"/>
      <c r="C1" s="3063"/>
      <c r="D1" s="3063"/>
    </row>
    <row r="2" spans="1:4" ht="18">
      <c r="A2" s="3064" t="s">
        <v>1646</v>
      </c>
      <c r="B2" s="3064"/>
      <c r="C2" s="3064"/>
      <c r="D2" s="3064"/>
    </row>
    <row r="3" spans="1:4" ht="18.75">
      <c r="A3" s="1977" t="s">
        <v>1647</v>
      </c>
      <c r="B3" s="1977" t="s">
        <v>1648</v>
      </c>
      <c r="C3" s="1977" t="s">
        <v>1649</v>
      </c>
      <c r="D3" s="1977" t="s">
        <v>1650</v>
      </c>
    </row>
    <row r="4" spans="1:4" ht="56.25" customHeight="1">
      <c r="A4" s="1978" t="str">
        <f>项目基本情况!B4</f>
        <v>叶凌</v>
      </c>
      <c r="B4" s="1979">
        <f ca="1">项目基本情况!C4</f>
        <v>1119970111</v>
      </c>
      <c r="C4" s="1980"/>
      <c r="D4" s="1981" t="s">
        <v>1651</v>
      </c>
    </row>
    <row r="5" spans="1:4" ht="56.25" customHeight="1">
      <c r="A5" s="1978" t="str">
        <f>项目基本情况!D4</f>
        <v>陈颖</v>
      </c>
      <c r="B5" s="1979">
        <f ca="1">项目基本情况!E4</f>
        <v>1120060040</v>
      </c>
      <c r="C5" s="1982"/>
      <c r="D5" s="1981" t="s">
        <v>1651</v>
      </c>
    </row>
    <row r="6" spans="1:4" ht="18">
      <c r="A6" s="3064" t="s">
        <v>1652</v>
      </c>
      <c r="B6" s="3064"/>
      <c r="C6" s="3064"/>
      <c r="D6" s="3064"/>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065" t="s">
        <v>1655</v>
      </c>
      <c r="B11" s="3066"/>
      <c r="C11" s="3066"/>
      <c r="D11" s="3066"/>
    </row>
    <row r="12" spans="1:4" ht="15.75">
      <c r="A12" s="30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7"/>
      <c r="C12" s="3067"/>
      <c r="D12" s="3067"/>
    </row>
    <row r="13" spans="1:4" ht="30" customHeight="1">
      <c r="A13" s="3066" t="str">
        <f>IF(项目基本情况!B8="抵押","3.抵押双方在办理抵押登记手续时，应使用本公司出具的正式《房地产评估报告》，特提醒报告使用者注意。","——")</f>
        <v>——</v>
      </c>
      <c r="B13" s="3067"/>
      <c r="C13" s="3067"/>
      <c r="D13" s="3067"/>
    </row>
    <row r="14" spans="1:4" ht="15.75" customHeight="1">
      <c r="A14" s="3066" t="str">
        <f>IF(项目基本情况!B8="抵押","4.本次评估估价师所知悉的法定优先受偿款情况说明如下：","——")</f>
        <v>——</v>
      </c>
      <c r="B14" s="3067"/>
      <c r="C14" s="3067"/>
      <c r="D14" s="3067"/>
    </row>
    <row r="15" spans="1:4" ht="42" customHeight="1">
      <c r="A15" s="3066" t="str">
        <f>IF(项目基本情况!B8="抵押","（1）"&amp;CONCATENATE(项目基本情况!L20,项目基本情况!L21,项目基本情况!L22),"——")</f>
        <v>——</v>
      </c>
      <c r="B15" s="3066"/>
      <c r="C15" s="3066"/>
      <c r="D15" s="3066"/>
    </row>
    <row r="16" spans="1:4" ht="30" customHeight="1">
      <c r="A16" s="3069" t="s">
        <v>1656</v>
      </c>
      <c r="B16" s="3069"/>
      <c r="C16" s="3069"/>
      <c r="D16" s="3069"/>
    </row>
    <row r="17" spans="1:4" ht="144" customHeight="1">
      <c r="A17" s="3069" t="s">
        <v>1657</v>
      </c>
      <c r="B17" s="3069"/>
      <c r="C17" s="3069"/>
      <c r="D17" s="3069"/>
    </row>
    <row r="18" spans="1:4" ht="15.75" customHeight="1">
      <c r="A18" s="3066" t="str">
        <f>IF(项目基本情况!B8="抵押",结果表!K120,"——")</f>
        <v>——</v>
      </c>
      <c r="B18" s="3066"/>
      <c r="C18" s="3066"/>
      <c r="D18" s="3066"/>
    </row>
    <row r="19" spans="1:4" ht="46.5" customHeight="1">
      <c r="A19" s="30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6"/>
      <c r="C19" s="3066"/>
      <c r="D19" s="3066"/>
    </row>
    <row r="20" spans="1:4" ht="57.75" customHeight="1">
      <c r="A20" s="30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6"/>
      <c r="C20" s="3066"/>
      <c r="D20" s="3066"/>
    </row>
    <row r="21" spans="1:4" ht="57.75" customHeight="1">
      <c r="A21" s="30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0"/>
      <c r="C21" s="3070"/>
      <c r="D21" s="3070"/>
    </row>
    <row r="22" spans="1:4" ht="18.75" customHeight="1">
      <c r="A22" s="3071" t="s">
        <v>1658</v>
      </c>
      <c r="B22" s="3071"/>
      <c r="C22" s="3071"/>
      <c r="D22" s="3071"/>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68">
        <v>42551</v>
      </c>
      <c r="D31" s="30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77" t="s">
        <v>1669</v>
      </c>
      <c r="B15" s="3072" t="s">
        <v>136</v>
      </c>
      <c r="C15" s="3073"/>
    </row>
    <row r="16" spans="1:7" ht="13.5">
      <c r="A16" s="3078"/>
      <c r="B16" s="3072" t="s">
        <v>69</v>
      </c>
      <c r="C16" s="3073"/>
    </row>
    <row r="17" spans="1:3" ht="13.5">
      <c r="A17" s="3078"/>
      <c r="B17" s="3075" t="s">
        <v>1670</v>
      </c>
      <c r="C17" s="2000" t="s">
        <v>1669</v>
      </c>
    </row>
    <row r="18" spans="1:3" ht="13.5">
      <c r="A18" s="3078"/>
      <c r="B18" s="3075"/>
      <c r="C18" s="2000" t="s">
        <v>1671</v>
      </c>
    </row>
    <row r="19" spans="1:3" ht="13.5">
      <c r="A19" s="3078"/>
      <c r="B19" s="3075"/>
      <c r="C19" s="2000" t="s">
        <v>1672</v>
      </c>
    </row>
    <row r="20" spans="1:3" ht="13.5">
      <c r="A20" s="3079"/>
      <c r="B20" s="3074" t="s">
        <v>1673</v>
      </c>
      <c r="C20" s="3073"/>
    </row>
    <row r="21" spans="1:3" ht="13.5">
      <c r="A21" s="2001" t="s">
        <v>1674</v>
      </c>
      <c r="B21" s="2002"/>
      <c r="C21" s="2003"/>
    </row>
    <row r="22" spans="1:3" ht="13.5">
      <c r="A22" s="3076" t="s">
        <v>1675</v>
      </c>
      <c r="B22" s="3074" t="s">
        <v>1676</v>
      </c>
      <c r="C22" s="3073"/>
    </row>
    <row r="23" spans="1:3" ht="13.5">
      <c r="A23" s="3076"/>
      <c r="B23" s="3074" t="s">
        <v>1677</v>
      </c>
      <c r="C23" s="3073"/>
    </row>
    <row r="24" spans="1:3" ht="13.5">
      <c r="A24" s="3076"/>
      <c r="B24" s="3074" t="s">
        <v>1678</v>
      </c>
      <c r="C24" s="3073"/>
    </row>
    <row r="25" spans="1:3" ht="13.5">
      <c r="A25" s="3076"/>
      <c r="B25" s="3075" t="s">
        <v>1679</v>
      </c>
      <c r="C25" s="2000" t="s">
        <v>1680</v>
      </c>
    </row>
    <row r="26" spans="1:3" ht="13.5">
      <c r="A26" s="3076"/>
      <c r="B26" s="3075"/>
      <c r="C26" s="2000" t="s">
        <v>1681</v>
      </c>
    </row>
    <row r="27" spans="1:3" ht="13.5">
      <c r="A27" s="3076"/>
      <c r="B27" s="3075"/>
      <c r="C27" s="2000" t="s">
        <v>1682</v>
      </c>
    </row>
    <row r="28" spans="1:3" ht="13.5">
      <c r="A28" s="3076"/>
      <c r="B28" s="3075"/>
      <c r="C28" s="2000" t="s">
        <v>1683</v>
      </c>
    </row>
    <row r="29" spans="1:3" ht="13.5">
      <c r="A29" s="3076"/>
      <c r="B29" s="3075"/>
      <c r="C29" s="2000" t="s">
        <v>1684</v>
      </c>
    </row>
    <row r="30" spans="1:3" ht="13.5">
      <c r="A30" s="3076"/>
      <c r="B30" s="3075"/>
      <c r="C30" s="2000" t="s">
        <v>1685</v>
      </c>
    </row>
    <row r="31" spans="1:3" ht="13.5">
      <c r="A31" s="3076"/>
      <c r="B31" s="3075"/>
      <c r="C31" s="2000" t="s">
        <v>1686</v>
      </c>
    </row>
    <row r="32" spans="1:3" ht="13.5">
      <c r="A32" s="3076"/>
      <c r="B32" s="3075"/>
      <c r="C32" s="2000" t="s">
        <v>1687</v>
      </c>
    </row>
    <row r="33" spans="1:3" ht="13.5">
      <c r="A33" s="3076"/>
      <c r="B33" s="3075"/>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43398</v>
      </c>
      <c r="C2" s="1020" t="s">
        <v>826</v>
      </c>
      <c r="D2" s="1020"/>
    </row>
    <row r="3" spans="1:6" ht="24" customHeight="1">
      <c r="A3" s="1021" t="s">
        <v>827</v>
      </c>
      <c r="B3" s="1022" t="s">
        <v>828</v>
      </c>
      <c r="C3" s="2348" t="s">
        <v>829</v>
      </c>
      <c r="D3" s="2351" t="s">
        <v>830</v>
      </c>
      <c r="E3" s="1023" t="s">
        <v>831</v>
      </c>
      <c r="F3" s="1022" t="s">
        <v>829</v>
      </c>
    </row>
    <row r="4" spans="1:6" ht="24" customHeight="1">
      <c r="A4" s="1702" t="s">
        <v>832</v>
      </c>
      <c r="B4" s="1023">
        <f ca="1">IF(C4&lt;B2,"已过期",1119970066)</f>
        <v>1119970066</v>
      </c>
      <c r="C4" s="2349">
        <v>43849</v>
      </c>
      <c r="D4" s="2352" t="s">
        <v>832</v>
      </c>
      <c r="E4" s="1023">
        <f ca="1">IF(F4&lt;B2,"已过期",96010014)</f>
        <v>96010014</v>
      </c>
      <c r="F4" s="1031">
        <v>47118</v>
      </c>
    </row>
    <row r="5" spans="1:6" ht="24" customHeight="1">
      <c r="A5" s="1702" t="s">
        <v>833</v>
      </c>
      <c r="B5" s="1023">
        <f ca="1">IF(C5&lt;B2,"已过期",1119970074)</f>
        <v>1119970074</v>
      </c>
      <c r="C5" s="2349">
        <v>43849</v>
      </c>
      <c r="D5" s="2352" t="s">
        <v>833</v>
      </c>
      <c r="E5" s="1023">
        <f ca="1">IF(F5&lt;B2,"已过期",2002110027)</f>
        <v>2002110027</v>
      </c>
      <c r="F5" s="1031">
        <v>46752</v>
      </c>
    </row>
    <row r="6" spans="1:6" ht="24" customHeight="1">
      <c r="A6" s="1702" t="s">
        <v>834</v>
      </c>
      <c r="B6" s="1023">
        <f ca="1">IF(C6&lt;B2,"已过期",1119970111)</f>
        <v>1119970111</v>
      </c>
      <c r="C6" s="2349">
        <v>43849</v>
      </c>
      <c r="D6" s="2352" t="s">
        <v>834</v>
      </c>
      <c r="E6" s="1023">
        <f ca="1">IF(F6&lt;B2,"已过期",94010078)</f>
        <v>94010078</v>
      </c>
      <c r="F6" s="1031">
        <v>46387</v>
      </c>
    </row>
    <row r="7" spans="1:6" ht="24" customHeight="1">
      <c r="A7" s="1702" t="s">
        <v>835</v>
      </c>
      <c r="B7" s="1023" t="str">
        <f ca="1">IF(C7&lt;B2,"已过期",1120050019)</f>
        <v>已过期</v>
      </c>
      <c r="C7" s="2349">
        <v>43359</v>
      </c>
      <c r="D7" s="2352" t="s">
        <v>835</v>
      </c>
      <c r="E7" s="1023">
        <f ca="1">IF(F7&lt;B2,"已过期",2002110030)</f>
        <v>2002110030</v>
      </c>
      <c r="F7" s="1031">
        <v>46387</v>
      </c>
    </row>
    <row r="8" spans="1:6" ht="24" customHeight="1">
      <c r="A8" s="1702" t="s">
        <v>836</v>
      </c>
      <c r="B8" s="1023">
        <f ca="1">IF(C8&lt;B2,"已过期",1120000080)</f>
        <v>1120000080</v>
      </c>
      <c r="C8" s="2349">
        <v>43849</v>
      </c>
      <c r="D8" s="2352" t="s">
        <v>836</v>
      </c>
      <c r="E8" s="1023">
        <f ca="1">IF(F8&lt;B2,"已过期",2000110082)</f>
        <v>2000110082</v>
      </c>
      <c r="F8" s="1031">
        <v>46387</v>
      </c>
    </row>
    <row r="9" spans="1:6" ht="24" customHeight="1">
      <c r="A9" s="1702" t="s">
        <v>837</v>
      </c>
      <c r="B9" s="1023">
        <f ca="1">IF(C9&lt;B2,"已过期",1419970001)</f>
        <v>1419970001</v>
      </c>
      <c r="C9" s="2349">
        <v>43867</v>
      </c>
      <c r="D9" s="2352" t="s">
        <v>837</v>
      </c>
      <c r="E9" s="1023">
        <f ca="1">IF(F9&lt;B2,"已过期",2002110125)</f>
        <v>2002110125</v>
      </c>
      <c r="F9" s="1031">
        <v>47118</v>
      </c>
    </row>
    <row r="10" spans="1:6" ht="24" customHeight="1">
      <c r="A10" s="1702" t="s">
        <v>838</v>
      </c>
      <c r="B10" s="1023">
        <f ca="1">IF(C10&lt;B2,"已过期",1120060040)</f>
        <v>1120060040</v>
      </c>
      <c r="C10" s="2349">
        <v>43483</v>
      </c>
      <c r="D10" s="2352" t="s">
        <v>838</v>
      </c>
      <c r="E10" s="1023">
        <f ca="1">IF(F10&lt;B2,"已过期",2004110096)</f>
        <v>2004110096</v>
      </c>
      <c r="F10" s="1031">
        <v>47118</v>
      </c>
    </row>
    <row r="11" spans="1:6" ht="24" customHeight="1">
      <c r="A11" s="1702" t="s">
        <v>839</v>
      </c>
      <c r="B11" s="1023">
        <f ca="1">IF(C11&lt;B2,"已过期",1120100036)</f>
        <v>1120100036</v>
      </c>
      <c r="C11" s="2349">
        <v>43622</v>
      </c>
      <c r="D11" s="2352" t="s">
        <v>839</v>
      </c>
      <c r="E11" s="1023">
        <f ca="1">IF(F11&lt;B2,"已过期",2010110070)</f>
        <v>2010110070</v>
      </c>
      <c r="F11" s="1031">
        <v>47907</v>
      </c>
    </row>
    <row r="12" spans="1:6" ht="24" customHeight="1">
      <c r="A12" s="1702" t="s">
        <v>3044</v>
      </c>
      <c r="B12" s="1023">
        <v>1120110054</v>
      </c>
      <c r="C12" s="2942">
        <v>43937</v>
      </c>
      <c r="D12" s="1702" t="s">
        <v>3044</v>
      </c>
      <c r="E12" s="1023">
        <v>2008110060</v>
      </c>
      <c r="F12" s="1031">
        <v>47177</v>
      </c>
    </row>
    <row r="13" spans="1:6" ht="24" customHeight="1">
      <c r="A13" s="1702" t="s">
        <v>840</v>
      </c>
      <c r="B13" s="1023">
        <f ca="1">IF(C13&lt;B2,"已过期",1120070131)</f>
        <v>1120070131</v>
      </c>
      <c r="C13" s="2349">
        <v>43814</v>
      </c>
      <c r="D13" s="2352" t="s">
        <v>840</v>
      </c>
      <c r="E13" s="1023">
        <v>2014110011</v>
      </c>
      <c r="F13" s="1031">
        <v>49302</v>
      </c>
    </row>
    <row r="14" spans="1:6" ht="24" customHeight="1">
      <c r="A14" s="1702" t="s">
        <v>841</v>
      </c>
      <c r="B14" s="1023">
        <f ca="1">IF(C14&lt;B2,"已过期",1120130020)</f>
        <v>1120130020</v>
      </c>
      <c r="C14" s="2349">
        <v>43622</v>
      </c>
      <c r="D14" s="2352"/>
      <c r="E14" s="1023"/>
      <c r="F14" s="1023"/>
    </row>
    <row r="15" spans="1:6" ht="24" customHeight="1">
      <c r="A15" s="1703" t="s">
        <v>1149</v>
      </c>
      <c r="B15" s="1023">
        <v>1120070085</v>
      </c>
      <c r="C15" s="2349">
        <v>43814</v>
      </c>
      <c r="D15" s="2353" t="s">
        <v>1149</v>
      </c>
      <c r="E15" s="1023">
        <v>2004110128</v>
      </c>
      <c r="F15" s="1024">
        <v>47118</v>
      </c>
    </row>
    <row r="16" spans="1:6" ht="24" customHeight="1">
      <c r="A16" s="1702" t="s">
        <v>842</v>
      </c>
      <c r="B16" s="1023">
        <f ca="1">IF(C16&lt;B2,"已过期",1120140022)</f>
        <v>1120140022</v>
      </c>
      <c r="C16" s="2349">
        <v>44029</v>
      </c>
      <c r="D16" s="2352" t="s">
        <v>842</v>
      </c>
      <c r="E16" s="1023">
        <f ca="1">IF(F16&lt;B2,"已过期",2008110059)</f>
        <v>2008110059</v>
      </c>
      <c r="F16" s="1031">
        <v>47177</v>
      </c>
    </row>
    <row r="17" spans="1:7" ht="24" customHeight="1">
      <c r="A17" s="1702"/>
      <c r="B17" s="1023"/>
      <c r="C17" s="2349"/>
      <c r="D17" s="2352"/>
      <c r="E17" s="1023"/>
      <c r="F17" s="1031"/>
    </row>
    <row r="18" spans="1:7" ht="24" customHeight="1">
      <c r="A18" s="1702"/>
      <c r="B18" s="1023"/>
      <c r="C18" s="2349"/>
      <c r="D18" s="2352"/>
      <c r="E18" s="1023"/>
      <c r="F18" s="1031"/>
    </row>
    <row r="19" spans="1:7" ht="24" customHeight="1">
      <c r="A19" s="1702"/>
      <c r="B19" s="1023"/>
      <c r="C19" s="2349"/>
      <c r="D19" s="2352"/>
      <c r="E19" s="1023"/>
      <c r="F19" s="1023"/>
    </row>
    <row r="20" spans="1:7" ht="24" customHeight="1">
      <c r="A20" s="1702"/>
      <c r="B20" s="1023"/>
      <c r="C20" s="2349"/>
      <c r="D20" s="2352"/>
      <c r="E20" s="1023"/>
      <c r="F20" s="1023"/>
    </row>
    <row r="21" spans="1:7" ht="24" customHeight="1">
      <c r="A21" s="1702"/>
      <c r="B21" s="1023"/>
      <c r="C21" s="2349"/>
      <c r="D21" s="2352" t="s">
        <v>843</v>
      </c>
      <c r="E21" s="1023">
        <f ca="1">IF(F21&lt;B2,"已过期",2011110090)</f>
        <v>2011110090</v>
      </c>
      <c r="F21" s="1031">
        <v>48302</v>
      </c>
    </row>
    <row r="22" spans="1:7" ht="24" customHeight="1">
      <c r="A22" s="1702" t="s">
        <v>844</v>
      </c>
      <c r="B22" s="1023">
        <f ca="1">IF(C22&lt;B2,"已过期",1120020033)</f>
        <v>1120020033</v>
      </c>
      <c r="C22" s="2942">
        <v>44339</v>
      </c>
      <c r="D22" s="2352" t="s">
        <v>844</v>
      </c>
      <c r="E22" s="1023">
        <f ca="1">IF(F22&lt;B2,"已过期",2000110137)</f>
        <v>2000110137</v>
      </c>
      <c r="F22" s="1031">
        <v>46387</v>
      </c>
    </row>
    <row r="23" spans="1:7" ht="24" customHeight="1">
      <c r="A23" s="1702" t="s">
        <v>845</v>
      </c>
      <c r="B23" s="1023">
        <f ca="1">IF(C23&lt;B2,"已过期",1120130048)</f>
        <v>1120130048</v>
      </c>
      <c r="C23" s="2349">
        <v>43686</v>
      </c>
      <c r="D23" s="2352"/>
      <c r="E23" s="1023"/>
      <c r="F23" s="1023"/>
    </row>
    <row r="24" spans="1:7" s="1025" customFormat="1" ht="24" customHeight="1">
      <c r="A24" s="1703" t="s">
        <v>1333</v>
      </c>
      <c r="B24" s="1703" t="s">
        <v>1333</v>
      </c>
      <c r="C24" s="2350" t="s">
        <v>1333</v>
      </c>
      <c r="D24" s="2353" t="s">
        <v>1333</v>
      </c>
      <c r="E24" s="1703" t="s">
        <v>1333</v>
      </c>
      <c r="F24" s="1703" t="s">
        <v>1333</v>
      </c>
    </row>
    <row r="25" spans="1:7" ht="24" customHeight="1">
      <c r="A25" s="3080" t="s">
        <v>846</v>
      </c>
      <c r="B25" s="3080"/>
      <c r="C25" s="3080"/>
      <c r="D25" s="3080"/>
      <c r="E25" s="3080"/>
      <c r="F25" s="3080"/>
      <c r="G25" s="3080"/>
    </row>
    <row r="26" spans="1:7" s="1026" customFormat="1" ht="24" customHeight="1">
      <c r="A26" s="3081" t="s">
        <v>847</v>
      </c>
      <c r="B26" s="3081"/>
      <c r="C26" s="3082"/>
      <c r="D26" s="3083" t="s">
        <v>848</v>
      </c>
      <c r="E26" s="3081"/>
      <c r="F26" s="3081"/>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比较法-住宅</vt:lpstr>
      <vt:lpstr>地价</vt:lpstr>
      <vt:lpstr>典型户型修正</vt:lpstr>
      <vt:lpstr>成本法（废）</vt:lpstr>
      <vt:lpstr>区片价</vt:lpstr>
      <vt:lpstr>因素修正幅度</vt:lpstr>
      <vt:lpstr>存贷款利率</vt:lpstr>
      <vt:lpstr>区片价（范围）</vt:lpstr>
      <vt:lpstr>面积汇总</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2018-10-25T10:01:21Z</dcterms:modified>
</cp:coreProperties>
</file>