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93上德中心项目\"/>
    </mc:Choice>
  </mc:AlternateContent>
  <xr:revisionPtr revIDLastSave="0" documentId="13_ncr:1_{27EDD799-A99C-4F13-93E4-C5980BB8ED65}" xr6:coauthVersionLast="47" xr6:coauthVersionMax="47" xr10:uidLastSave="{00000000-0000-0000-0000-000000000000}"/>
  <bookViews>
    <workbookView xWindow="-110" yWindow="-110" windowWidth="19420" windowHeight="10420" tabRatio="899" firstSheet="13"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及拆分价值"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15"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典型户型修正" sheetId="31" state="hidden" r:id="rId43"/>
    <sheet name="结果表车" sheetId="84" state="hidden" r:id="rId44"/>
    <sheet name="成本法车" sheetId="83" state="hidden" r:id="rId45"/>
    <sheet name="收益法办" sheetId="87"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4">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3">结果表车!$A$1:$I$127</definedName>
    <definedName name="_xlnm.Print_Area" localSheetId="27">收益法!$A$1:$F$43,收益法!$H$3:$M$29,收益法!$A$46:$F$71,收益法!$I$46:$N$65</definedName>
    <definedName name="_xlnm.Print_Area" localSheetId="26">'收益法（汇总）'!$A$1:$F$13</definedName>
    <definedName name="_xlnm.Print_Area" localSheetId="45">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5" i="79" l="1"/>
  <c r="F17" i="79"/>
  <c r="G17" i="79"/>
  <c r="F15" i="79"/>
  <c r="G16" i="79"/>
  <c r="D20" i="79"/>
  <c r="E40" i="9"/>
  <c r="D30" i="9"/>
  <c r="D27" i="9"/>
  <c r="AL8" i="1"/>
  <c r="AL9" i="1" s="1"/>
  <c r="Q72" i="87"/>
  <c r="Q59" i="87"/>
  <c r="K59" i="87"/>
  <c r="P74" i="87" s="1"/>
  <c r="F59" i="87"/>
  <c r="Q58" i="87"/>
  <c r="J52"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Q9" i="1"/>
  <c r="L9" i="1"/>
  <c r="F38" i="85"/>
  <c r="E37" i="85"/>
  <c r="F36" i="85"/>
  <c r="F35" i="85"/>
  <c r="F21" i="85"/>
  <c r="F40" i="85" s="1"/>
  <c r="C21" i="85"/>
  <c r="F20" i="85"/>
  <c r="F39" i="85" s="1"/>
  <c r="C19" i="85"/>
  <c r="E10" i="85"/>
  <c r="E9" i="85"/>
  <c r="F7" i="85"/>
  <c r="N6" i="1"/>
  <c r="AD6" i="1" s="1"/>
  <c r="D16" i="79"/>
  <c r="F38" i="87"/>
  <c r="E2" i="85"/>
  <c r="F66" i="87" l="1"/>
  <c r="P61" i="87"/>
  <c r="C40" i="85"/>
  <c r="E97" i="80"/>
  <c r="E96" i="80"/>
  <c r="E95" i="80"/>
  <c r="A32" i="74"/>
  <c r="D36" i="74"/>
  <c r="D37" i="74" s="1"/>
  <c r="A36" i="74"/>
  <c r="A34" i="74"/>
  <c r="G37" i="34"/>
  <c r="F42" i="87"/>
  <c r="F16" i="87"/>
  <c r="F13" i="87"/>
  <c r="F6" i="87"/>
  <c r="M28" i="87"/>
  <c r="M27" i="87"/>
  <c r="M24" i="87"/>
  <c r="F26" i="87"/>
  <c r="F40" i="87"/>
  <c r="M6" i="87"/>
  <c r="L47" i="87"/>
  <c r="M8" i="87"/>
  <c r="L48" i="87"/>
  <c r="F37" i="87"/>
  <c r="F9" i="87"/>
  <c r="M23" i="87"/>
  <c r="F8" i="87"/>
  <c r="F36" i="87"/>
  <c r="M22" i="87"/>
  <c r="J15" i="87"/>
  <c r="C76" i="87"/>
  <c r="M26" i="87"/>
  <c r="M9" i="87"/>
  <c r="N59" i="87" l="1"/>
  <c r="L58" i="87"/>
  <c r="M59" i="87"/>
  <c r="L59" i="87"/>
  <c r="C27" i="87"/>
  <c r="F68" i="87"/>
  <c r="F64" i="87"/>
  <c r="L57" i="87"/>
  <c r="L56" i="87"/>
  <c r="I54" i="87"/>
  <c r="J53" i="87"/>
  <c r="L60" i="87"/>
  <c r="J57" i="87"/>
  <c r="J55" i="87" s="1"/>
  <c r="J58" i="87" s="1"/>
  <c r="Q50" i="87" s="1"/>
  <c r="Q71" i="87"/>
  <c r="F65" i="87"/>
  <c r="F51" i="87"/>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Q57" i="87" l="1"/>
  <c r="Q66" i="87"/>
  <c r="Q52" i="87"/>
  <c r="F1" i="87"/>
  <c r="Q61" i="87"/>
  <c r="Q74" i="87"/>
  <c r="Q73" i="87"/>
  <c r="Q60" i="87"/>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C40" i="83"/>
  <c r="F38" i="83"/>
  <c r="E37" i="83"/>
  <c r="F36" i="83"/>
  <c r="F35" i="83"/>
  <c r="F21" i="83"/>
  <c r="F40" i="83" s="1"/>
  <c r="C21" i="83"/>
  <c r="F20" i="83"/>
  <c r="F39" i="83" s="1"/>
  <c r="E10" i="83"/>
  <c r="E9" i="83"/>
  <c r="F7" i="83"/>
  <c r="G14" i="79"/>
  <c r="G13" i="79"/>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Y9" i="1" s="1"/>
  <c r="N8" i="1"/>
  <c r="Y8" i="1" s="1"/>
  <c r="O18" i="3"/>
  <c r="G21" i="6" s="1"/>
  <c r="K18" i="3"/>
  <c r="I17" i="3"/>
  <c r="C34" i="34"/>
  <c r="E92" i="80"/>
  <c r="E68" i="80"/>
  <c r="E41" i="80"/>
  <c r="J8" i="79"/>
  <c r="I8" i="79"/>
  <c r="H8" i="79"/>
  <c r="F8" i="79"/>
  <c r="E8" i="79"/>
  <c r="G7" i="79"/>
  <c r="C7" i="79"/>
  <c r="G6" i="79"/>
  <c r="D6" i="79"/>
  <c r="C6" i="79" s="1"/>
  <c r="G5" i="79"/>
  <c r="D5" i="79"/>
  <c r="G4" i="79"/>
  <c r="D4" i="79"/>
  <c r="G3" i="79"/>
  <c r="D3" i="79"/>
  <c r="C3" i="79" s="1"/>
  <c r="E2" i="83"/>
  <c r="H109" i="82" l="1"/>
  <c r="D124" i="82" s="1"/>
  <c r="D125" i="82" s="1"/>
  <c r="E93" i="80"/>
  <c r="E98" i="80" s="1"/>
  <c r="C18" i="84"/>
  <c r="D18" i="84" s="1"/>
  <c r="G8" i="79"/>
  <c r="G15" i="79"/>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D3" i="4"/>
  <c r="J52" i="15"/>
  <c r="C36" i="77"/>
  <c r="C34" i="77"/>
  <c r="D70" i="39"/>
  <c r="E70" i="39" s="1"/>
  <c r="F70" i="39" s="1"/>
  <c r="G70" i="39" s="1"/>
  <c r="H70" i="39" s="1"/>
  <c r="I70" i="39" s="1"/>
  <c r="J70" i="39" s="1"/>
  <c r="K70" i="39" s="1"/>
  <c r="L70" i="39" s="1"/>
  <c r="M70" i="39" s="1"/>
  <c r="N70" i="39" s="1"/>
  <c r="O70" i="39" s="1"/>
  <c r="B21" i="1"/>
  <c r="B7" i="4"/>
  <c r="G14" i="73"/>
  <c r="F14" i="73"/>
  <c r="E14" i="73"/>
  <c r="C8" i="79" l="1"/>
  <c r="D124" i="84"/>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L14" i="3" s="1"/>
  <c r="BN15" i="3"/>
  <c r="BN16" i="3"/>
  <c r="BN17" i="3"/>
  <c r="BP13" i="3"/>
  <c r="BP14" i="3"/>
  <c r="BP15" i="3"/>
  <c r="BP16" i="3"/>
  <c r="BP17" i="3"/>
  <c r="BL17" i="3" s="1"/>
  <c r="E20" i="6"/>
  <c r="E21" i="6"/>
  <c r="M18" i="84" s="1"/>
  <c r="B118" i="84" s="1"/>
  <c r="K8" i="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G16" i="3" s="1"/>
  <c r="J23" i="79" s="1"/>
  <c r="AC16" i="3"/>
  <c r="H17" i="3"/>
  <c r="G17" i="3" s="1"/>
  <c r="J24" i="79" s="1"/>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5" i="3"/>
  <c r="J22" i="79" s="1"/>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U36" i="40"/>
  <c r="F81" i="43"/>
  <c r="H84" i="43" s="1"/>
  <c r="H113" i="43"/>
  <c r="F48" i="43"/>
  <c r="H54" i="43" s="1"/>
  <c r="F70" i="43"/>
  <c r="H70" i="43" s="1"/>
  <c r="M11" i="43"/>
  <c r="J17" i="43"/>
  <c r="F6" i="1"/>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F34" i="15"/>
  <c r="F62" i="15" s="1"/>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S37" i="21"/>
  <c r="J23" i="21"/>
  <c r="F85" i="21"/>
  <c r="G85" i="21" s="1"/>
  <c r="H23" i="21"/>
  <c r="AB23" i="21" s="1"/>
  <c r="AP7" i="1"/>
  <c r="AC33" i="21"/>
  <c r="W33" i="21"/>
  <c r="W32" i="21"/>
  <c r="AC32" i="21"/>
  <c r="AB9" i="21"/>
  <c r="U9" i="21"/>
  <c r="AC9" i="21"/>
  <c r="U32"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B12" i="76"/>
  <c r="E13" i="76"/>
  <c r="AO11" i="1"/>
  <c r="E11" i="76"/>
  <c r="D2" i="36"/>
  <c r="F7" i="73"/>
  <c r="F6" i="73"/>
  <c r="D3" i="73"/>
  <c r="F4" i="73"/>
  <c r="B9" i="76"/>
  <c r="E12" i="76"/>
  <c r="B8" i="76"/>
  <c r="D2" i="21"/>
  <c r="AO10" i="1"/>
  <c r="D2" i="37"/>
  <c r="E8" i="76"/>
  <c r="D6" i="73"/>
  <c r="B13" i="76"/>
  <c r="E2" i="69"/>
  <c r="D2" i="33"/>
  <c r="D2" i="35"/>
  <c r="B11" i="76"/>
  <c r="E10" i="76"/>
  <c r="B7" i="76"/>
  <c r="D7" i="73"/>
  <c r="E9" i="76"/>
  <c r="B10" i="76"/>
  <c r="D2" i="34"/>
  <c r="F5" i="73"/>
  <c r="AO13" i="1"/>
  <c r="E7" i="76"/>
  <c r="D5" i="73"/>
  <c r="E2" i="68"/>
  <c r="F20" i="31"/>
  <c r="AO12" i="1"/>
  <c r="F3" i="73"/>
  <c r="D4" i="73"/>
  <c r="G18" i="3" l="1"/>
  <c r="J25" i="79" s="1"/>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J21" i="79" s="1"/>
  <c r="J26" i="79" s="1"/>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F22" i="6"/>
  <c r="E22" i="6" s="1"/>
  <c r="K9" i="1" s="1"/>
  <c r="G26" i="12"/>
  <c r="G41" i="69"/>
  <c r="G41" i="83"/>
  <c r="G22" i="83"/>
  <c r="G22" i="69"/>
  <c r="F11" i="12"/>
  <c r="C23" i="12" s="1"/>
  <c r="F34" i="83"/>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S2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G1" i="15"/>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F7" i="87"/>
  <c r="F43" i="87"/>
  <c r="M29" i="87"/>
  <c r="D9" i="85"/>
  <c r="F26" i="15"/>
  <c r="F7" i="15"/>
  <c r="F40" i="15"/>
  <c r="M9" i="15"/>
  <c r="F36" i="15"/>
  <c r="F38" i="15"/>
  <c r="M23" i="15"/>
  <c r="M28" i="15"/>
  <c r="M6" i="15"/>
  <c r="F13" i="15"/>
  <c r="C36" i="85"/>
  <c r="M8" i="67"/>
  <c r="L47" i="15"/>
  <c r="F43" i="15"/>
  <c r="M29" i="15"/>
  <c r="M28" i="67"/>
  <c r="C76" i="15"/>
  <c r="M8" i="15"/>
  <c r="F8" i="15"/>
  <c r="F37" i="15"/>
  <c r="F16" i="15"/>
  <c r="F6" i="15"/>
  <c r="M24" i="15"/>
  <c r="F40" i="67"/>
  <c r="F9" i="15"/>
  <c r="M9" i="67"/>
  <c r="M22" i="15"/>
  <c r="J15" i="15"/>
  <c r="L48" i="15"/>
  <c r="M26" i="15"/>
  <c r="F42" i="15"/>
  <c r="F27" i="85"/>
  <c r="G1" i="73"/>
  <c r="AZ18" i="3" l="1"/>
  <c r="E44" i="87"/>
  <c r="F71" i="87"/>
  <c r="C6" i="87"/>
  <c r="F50" i="87"/>
  <c r="C49" i="87" s="1"/>
  <c r="M7" i="87"/>
  <c r="J6" i="87" s="1"/>
  <c r="J18" i="87" s="1"/>
  <c r="M9" i="1"/>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E18" i="31"/>
  <c r="Q97" i="31" s="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F32" i="15"/>
  <c r="F60" i="15" s="1"/>
  <c r="D68" i="9"/>
  <c r="F53" i="9"/>
  <c r="F54" i="9"/>
  <c r="F28" i="15"/>
  <c r="C28" i="15" s="1"/>
  <c r="F52" i="9"/>
  <c r="M18" i="15"/>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Q71" i="15"/>
  <c r="F68" i="15"/>
  <c r="F64" i="15"/>
  <c r="L59" i="15"/>
  <c r="Q74" i="15" s="1"/>
  <c r="N59" i="15"/>
  <c r="L58" i="15"/>
  <c r="Q73" i="15" s="1"/>
  <c r="M59" i="15"/>
  <c r="M7" i="15"/>
  <c r="J6" i="15" s="1"/>
  <c r="F50" i="15"/>
  <c r="C27" i="15"/>
  <c r="F66" i="15"/>
  <c r="C6" i="15"/>
  <c r="F51" i="15"/>
  <c r="F65" i="15"/>
  <c r="F71" i="15"/>
  <c r="J53" i="15"/>
  <c r="L56" i="15" s="1"/>
  <c r="J57" i="15"/>
  <c r="J55" i="15" s="1"/>
  <c r="I54" i="15"/>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B40" i="1"/>
  <c r="F24" i="87"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C36" i="68"/>
  <c r="D9" i="68"/>
  <c r="C16" i="87"/>
  <c r="M26" i="81"/>
  <c r="M6" i="81"/>
  <c r="F40" i="81"/>
  <c r="M8" i="81"/>
  <c r="M22" i="81"/>
  <c r="M6" i="67"/>
  <c r="M23" i="81"/>
  <c r="F37" i="81"/>
  <c r="F43" i="81"/>
  <c r="C76" i="81"/>
  <c r="F8" i="67"/>
  <c r="F6" i="81"/>
  <c r="M29" i="81"/>
  <c r="F9" i="67"/>
  <c r="F26" i="67"/>
  <c r="M27" i="67"/>
  <c r="C76" i="67"/>
  <c r="F8" i="81"/>
  <c r="F42" i="67"/>
  <c r="J15" i="67"/>
  <c r="F9" i="81"/>
  <c r="F27" i="83"/>
  <c r="M9" i="81"/>
  <c r="F36" i="81"/>
  <c r="M24" i="81"/>
  <c r="M22" i="67"/>
  <c r="F16" i="67"/>
  <c r="M27" i="81"/>
  <c r="L47" i="67"/>
  <c r="L47" i="81"/>
  <c r="F43" i="67"/>
  <c r="M23" i="67"/>
  <c r="C36" i="83"/>
  <c r="F13" i="81"/>
  <c r="F38" i="81"/>
  <c r="L48" i="67"/>
  <c r="D9" i="83"/>
  <c r="F7" i="81"/>
  <c r="M26" i="67"/>
  <c r="L48" i="81"/>
  <c r="M24" i="67"/>
  <c r="F13" i="67"/>
  <c r="F7" i="67"/>
  <c r="M29" i="67"/>
  <c r="F37" i="67"/>
  <c r="J15" i="81"/>
  <c r="M28" i="81"/>
  <c r="F16" i="81"/>
  <c r="F36" i="67"/>
  <c r="F38" i="67"/>
  <c r="F6" i="67"/>
  <c r="C16" i="15"/>
  <c r="F26" i="81"/>
  <c r="F42" i="81"/>
  <c r="J10" i="87" l="1"/>
  <c r="J5" i="87" s="1"/>
  <c r="J26" i="87" s="1"/>
  <c r="O9" i="1"/>
  <c r="P9" i="1" s="1"/>
  <c r="C32" i="87"/>
  <c r="C33" i="87"/>
  <c r="AB19" i="39"/>
  <c r="U19" i="39"/>
  <c r="AC19" i="39"/>
  <c r="W19" i="39"/>
  <c r="C24" i="87"/>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C32" i="15"/>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J18" i="15"/>
  <c r="C48" i="69"/>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2" i="68"/>
  <c r="F24" i="15"/>
  <c r="C24" i="15" s="1"/>
  <c r="AE7" i="1"/>
  <c r="F27" i="68"/>
  <c r="C16" i="81"/>
  <c r="AE9" i="1"/>
  <c r="AE6" i="1"/>
  <c r="C16" i="67"/>
  <c r="J24" i="87" l="1"/>
  <c r="F1" i="67"/>
  <c r="J18" i="67"/>
  <c r="C10" i="67"/>
  <c r="C5" i="67" s="1"/>
  <c r="C38" i="87"/>
  <c r="Q74" i="67"/>
  <c r="C66" i="87"/>
  <c r="C60" i="87"/>
  <c r="J59" i="87"/>
  <c r="J60" i="87" s="1"/>
  <c r="Q73" i="67"/>
  <c r="C49" i="67"/>
  <c r="C48" i="67" s="1"/>
  <c r="C60" i="67" s="1"/>
  <c r="C24" i="85"/>
  <c r="F41" i="85"/>
  <c r="C26" i="85"/>
  <c r="D22" i="85" s="1"/>
  <c r="K23" i="6"/>
  <c r="M23" i="6" s="1"/>
  <c r="I23" i="6" s="1"/>
  <c r="S23" i="6" s="1"/>
  <c r="E31" i="6"/>
  <c r="K21" i="6"/>
  <c r="M21" i="6" s="1"/>
  <c r="I21" i="6"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Q52" i="81"/>
  <c r="F1" i="81"/>
  <c r="C33" i="43"/>
  <c r="G33" i="43" s="1"/>
  <c r="I33" i="43" s="1"/>
  <c r="C27" i="43" s="1"/>
  <c r="C37" i="43"/>
  <c r="G37" i="43" s="1"/>
  <c r="I37" i="43" s="1"/>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0" i="6"/>
  <c r="I20" i="6" s="1"/>
  <c r="S7" i="1"/>
  <c r="E36" i="36"/>
  <c r="AC10" i="40"/>
  <c r="J24" i="67"/>
  <c r="J24" i="15"/>
  <c r="C48" i="15"/>
  <c r="C60" i="15" s="1"/>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67"/>
  <c r="F41" i="67"/>
  <c r="AE8" i="1"/>
  <c r="M27" i="15"/>
  <c r="F41" i="15"/>
  <c r="C17" i="15"/>
  <c r="C17" i="67"/>
  <c r="S8" i="1" l="1"/>
  <c r="T8" i="1" s="1"/>
  <c r="E37" i="43"/>
  <c r="G38" i="43"/>
  <c r="I38" i="43" s="1"/>
  <c r="G36" i="43"/>
  <c r="I36" i="43" s="1"/>
  <c r="Q48" i="87"/>
  <c r="L46" i="87"/>
  <c r="E33" i="43"/>
  <c r="C26" i="43" s="1"/>
  <c r="G35" i="43"/>
  <c r="I35" i="43" s="1"/>
  <c r="S9" i="1"/>
  <c r="T6" i="1"/>
  <c r="G34" i="43"/>
  <c r="I34" i="43" s="1"/>
  <c r="C66" i="81"/>
  <c r="C60" i="81"/>
  <c r="J26" i="81"/>
  <c r="J24" i="81"/>
  <c r="C18" i="67"/>
  <c r="C15" i="67"/>
  <c r="B14" i="74"/>
  <c r="B1" i="74" s="1"/>
  <c r="AQ6" i="1"/>
  <c r="E7" i="70"/>
  <c r="U11" i="34"/>
  <c r="AB11" i="34"/>
  <c r="S20" i="6"/>
  <c r="L18" i="82"/>
  <c r="D113" i="43"/>
  <c r="AC11" i="34"/>
  <c r="V49" i="34" s="1"/>
  <c r="I49" i="34" s="1"/>
  <c r="W11" i="34"/>
  <c r="B5" i="77"/>
  <c r="D14" i="77" s="1"/>
  <c r="C38" i="39"/>
  <c r="S21" i="6"/>
  <c r="L18" i="84"/>
  <c r="M19" i="6"/>
  <c r="I19" i="6" s="1"/>
  <c r="AR6" i="1"/>
  <c r="E6" i="70"/>
  <c r="F69" i="67"/>
  <c r="J29" i="67"/>
  <c r="F69" i="15"/>
  <c r="K27" i="6"/>
  <c r="AQ7" i="1"/>
  <c r="T7" i="1"/>
  <c r="AR7" i="1"/>
  <c r="E6" i="3"/>
  <c r="C66" i="67"/>
  <c r="C66" i="15"/>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D10" i="83"/>
  <c r="C17" i="81"/>
  <c r="C17" i="87"/>
  <c r="D10" i="85"/>
  <c r="F41" i="87"/>
  <c r="F41" i="81"/>
  <c r="C14" i="15"/>
  <c r="C14" i="81"/>
  <c r="E6" i="76"/>
  <c r="C34" i="83"/>
  <c r="D19" i="83" l="1"/>
  <c r="D37" i="83" s="1"/>
  <c r="C37" i="83" s="1"/>
  <c r="C10" i="83"/>
  <c r="C8" i="83" s="1"/>
  <c r="AQ8" i="1"/>
  <c r="E8" i="70"/>
  <c r="AR8" i="1"/>
  <c r="AQ9" i="1"/>
  <c r="F69" i="87"/>
  <c r="J29" i="87"/>
  <c r="D19" i="85"/>
  <c r="D37" i="85" s="1"/>
  <c r="C37" i="85" s="1"/>
  <c r="C10" i="85"/>
  <c r="C8" i="85" s="1"/>
  <c r="AR9" i="1"/>
  <c r="T9" i="1"/>
  <c r="E9" i="70"/>
  <c r="E2" i="70" s="1"/>
  <c r="S16" i="1"/>
  <c r="F69" i="81"/>
  <c r="J29" i="81"/>
  <c r="E2" i="76"/>
  <c r="B2" i="43"/>
  <c r="C15" i="15"/>
  <c r="C18" i="15"/>
  <c r="C19" i="67"/>
  <c r="C20" i="67" s="1"/>
  <c r="C26" i="67" s="1"/>
  <c r="C35" i="83"/>
  <c r="C38" i="83"/>
  <c r="B32" i="74"/>
  <c r="C8" i="74"/>
  <c r="C7" i="74"/>
  <c r="C19" i="83"/>
  <c r="C24"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C14" i="87"/>
  <c r="M21" i="67"/>
  <c r="B6" i="76"/>
  <c r="C34" i="85"/>
  <c r="M21" i="87"/>
  <c r="F35" i="67"/>
  <c r="F35" i="81"/>
  <c r="F35" i="87"/>
  <c r="M21" i="81"/>
  <c r="C15" i="87" l="1"/>
  <c r="C18" i="87"/>
  <c r="F63" i="87"/>
  <c r="C62" i="87" s="1"/>
  <c r="C34" i="87"/>
  <c r="C31" i="87" s="1"/>
  <c r="J20" i="87"/>
  <c r="C35" i="85"/>
  <c r="C38" i="85"/>
  <c r="B2" i="76"/>
  <c r="B3" i="76" s="1"/>
  <c r="B3" i="43"/>
  <c r="C19" i="15"/>
  <c r="C20" i="15" s="1"/>
  <c r="C26" i="15" s="1"/>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15"/>
  <c r="F35" i="15"/>
  <c r="C19" i="87" l="1"/>
  <c r="C20" i="87" s="1"/>
  <c r="C26" i="87" s="1"/>
  <c r="C33" i="85"/>
  <c r="C39" i="85" s="1"/>
  <c r="C43" i="85" s="1"/>
  <c r="H37" i="34"/>
  <c r="C23" i="15"/>
  <c r="C29" i="15" s="1"/>
  <c r="Q49" i="15"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C33" i="15"/>
  <c r="J19" i="15"/>
  <c r="C34" i="15"/>
  <c r="F63" i="15"/>
  <c r="C62" i="15" s="1"/>
  <c r="J20" i="15"/>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23" i="87" l="1"/>
  <c r="C29" i="87" s="1"/>
  <c r="C13" i="87" s="1"/>
  <c r="C42" i="85"/>
  <c r="C41" i="85" s="1"/>
  <c r="C46" i="85"/>
  <c r="C45" i="85" s="1"/>
  <c r="C36" i="15"/>
  <c r="C57" i="15"/>
  <c r="C61" i="15" s="1"/>
  <c r="C59" i="15" s="1"/>
  <c r="J14" i="15"/>
  <c r="J13" i="15" s="1"/>
  <c r="J23" i="15" s="1"/>
  <c r="C13" i="15"/>
  <c r="C56" i="15" s="1"/>
  <c r="C65" i="15" s="1"/>
  <c r="J59" i="15"/>
  <c r="J60" i="15" s="1"/>
  <c r="L46" i="15" s="1"/>
  <c r="D2" i="77" s="1"/>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J17" i="15"/>
  <c r="L57" i="67"/>
  <c r="L60" i="67" s="1"/>
  <c r="C31" i="15"/>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49" i="87" l="1"/>
  <c r="C36" i="87"/>
  <c r="J14" i="87"/>
  <c r="J19" i="87"/>
  <c r="J17" i="87" s="1"/>
  <c r="C57" i="87"/>
  <c r="C61" i="87" s="1"/>
  <c r="C59" i="87" s="1"/>
  <c r="J22" i="87"/>
  <c r="J13" i="87"/>
  <c r="J23" i="87" s="1"/>
  <c r="C37" i="87"/>
  <c r="C56" i="87"/>
  <c r="C65" i="87" s="1"/>
  <c r="C75" i="87"/>
  <c r="Q70" i="87"/>
  <c r="C49" i="85"/>
  <c r="C51" i="85" s="1"/>
  <c r="J22" i="15"/>
  <c r="J16" i="15" s="1"/>
  <c r="J25" i="15" s="1"/>
  <c r="J26" i="15" s="1"/>
  <c r="J29" i="15" s="1"/>
  <c r="C64" i="15"/>
  <c r="C58" i="15" s="1"/>
  <c r="C67" i="15" s="1"/>
  <c r="C68" i="15" s="1"/>
  <c r="C71" i="15" s="1"/>
  <c r="C37" i="15"/>
  <c r="C30" i="15" s="1"/>
  <c r="C39" i="15" s="1"/>
  <c r="C43" i="15" s="1"/>
  <c r="C75" i="15"/>
  <c r="Q70" i="15"/>
  <c r="Q48" i="15"/>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C64" i="87" l="1"/>
  <c r="C58" i="87" s="1"/>
  <c r="C67" i="87" s="1"/>
  <c r="C68" i="87" s="1"/>
  <c r="C71" i="87" s="1"/>
  <c r="J16" i="87"/>
  <c r="J25" i="87" s="1"/>
  <c r="C30" i="87"/>
  <c r="C39" i="87" s="1"/>
  <c r="Q69" i="87" s="1"/>
  <c r="Q68" i="87" s="1"/>
  <c r="Q67" i="67"/>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Q69" i="15"/>
  <c r="Q68" i="15" s="1"/>
  <c r="B2" i="15"/>
  <c r="Q47" i="15"/>
  <c r="Q53" i="15" s="1"/>
  <c r="C83" i="15"/>
  <c r="C82" i="15" s="1"/>
  <c r="C80" i="15"/>
  <c r="C79" i="15" s="1"/>
  <c r="Q56" i="15"/>
  <c r="Q62" i="15" s="1"/>
  <c r="Q65" i="15"/>
  <c r="Q75" i="15" s="1"/>
  <c r="C46" i="15"/>
  <c r="C57" i="69"/>
  <c r="C56" i="69" s="1"/>
  <c r="B2" i="69"/>
  <c r="B3" i="69" s="1"/>
  <c r="C49" i="68"/>
  <c r="M67" i="39"/>
  <c r="L69" i="39"/>
  <c r="C7" i="71"/>
  <c r="D8" i="71"/>
  <c r="C56" i="11"/>
  <c r="C57" i="11" s="1"/>
  <c r="C39" i="35"/>
  <c r="B2" i="35" s="1"/>
  <c r="B3" i="35" s="1"/>
  <c r="C38" i="35"/>
  <c r="N63" i="40"/>
  <c r="M65" i="40"/>
  <c r="E43" i="35"/>
  <c r="F43" i="35" s="1"/>
  <c r="E42" i="35"/>
  <c r="F42" i="35" s="1"/>
  <c r="I43" i="35"/>
  <c r="J43" i="35" s="1"/>
  <c r="L51" i="87"/>
  <c r="AO7" i="1"/>
  <c r="AO6" i="1"/>
  <c r="L51" i="15"/>
  <c r="C80" i="87" l="1"/>
  <c r="C79" i="87" s="1"/>
  <c r="C40" i="87"/>
  <c r="F44" i="87" s="1"/>
  <c r="Q67" i="87"/>
  <c r="B3" i="67"/>
  <c r="B2" i="81"/>
  <c r="B3" i="81" s="1"/>
  <c r="Q67" i="15"/>
  <c r="C46" i="81"/>
  <c r="C83" i="81"/>
  <c r="C82" i="81" s="1"/>
  <c r="Q65" i="81"/>
  <c r="Q75" i="81" s="1"/>
  <c r="Q56" i="81"/>
  <c r="Q62" i="81" s="1"/>
  <c r="Q47" i="81"/>
  <c r="Q53" i="81" s="1"/>
  <c r="C43" i="81"/>
  <c r="B6" i="70"/>
  <c r="D23" i="79" s="1"/>
  <c r="B3" i="15"/>
  <c r="B7" i="70"/>
  <c r="C51" i="68"/>
  <c r="D13" i="77"/>
  <c r="D12" i="77" s="1"/>
  <c r="D11" i="77" s="1"/>
  <c r="M69" i="39"/>
  <c r="N67" i="39"/>
  <c r="D7" i="71"/>
  <c r="C6" i="71"/>
  <c r="O63" i="40"/>
  <c r="O65" i="40" s="1"/>
  <c r="N65" i="40"/>
  <c r="AO8" i="1"/>
  <c r="Q56" i="87" l="1"/>
  <c r="Q62" i="87" s="1"/>
  <c r="C43" i="87"/>
  <c r="B2" i="87"/>
  <c r="Q47" i="87"/>
  <c r="Q53" i="87" s="1"/>
  <c r="Q65" i="87"/>
  <c r="Q75" i="87" s="1"/>
  <c r="C83" i="87"/>
  <c r="C82" i="87" s="1"/>
  <c r="C46" i="87"/>
  <c r="B8" i="70"/>
  <c r="D25" i="79" s="1"/>
  <c r="E11" i="77"/>
  <c r="E7" i="77" s="1"/>
  <c r="C27" i="77" s="1"/>
  <c r="D7" i="77"/>
  <c r="C26" i="77" s="1"/>
  <c r="C32" i="77" s="1"/>
  <c r="C38" i="77" s="1"/>
  <c r="C39" i="77" s="1"/>
  <c r="C40" i="77" s="1"/>
  <c r="B2" i="77" s="1"/>
  <c r="O67" i="39"/>
  <c r="O69" i="39" s="1"/>
  <c r="N69" i="39"/>
  <c r="F7" i="39"/>
  <c r="C5" i="71"/>
  <c r="D6" i="71"/>
  <c r="J7" i="40"/>
  <c r="F7" i="40"/>
  <c r="H7" i="40"/>
  <c r="AO9" i="1"/>
  <c r="D19" i="82"/>
  <c r="D19" i="84"/>
  <c r="B9" i="70" l="1"/>
  <c r="D24" i="79" s="1"/>
  <c r="B3" i="87"/>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84"/>
  <c r="D20" i="82"/>
  <c r="B2" i="70" l="1"/>
  <c r="B3" i="70" s="1"/>
  <c r="D26" i="79"/>
  <c r="D103" i="84"/>
  <c r="D103" i="82"/>
  <c r="W7" i="39"/>
  <c r="AC7" i="39"/>
  <c r="V47" i="39" s="1"/>
  <c r="I47" i="39" s="1"/>
  <c r="U7" i="39"/>
  <c r="AB7" i="39"/>
  <c r="T47" i="39" s="1"/>
  <c r="G47" i="39" s="1"/>
  <c r="E47" i="39"/>
  <c r="I46" i="40"/>
  <c r="J46" i="40" s="1"/>
  <c r="R43" i="40"/>
  <c r="E42" i="40"/>
  <c r="G47" i="40"/>
  <c r="H47" i="40" s="1"/>
  <c r="G46" i="40"/>
  <c r="H46" i="40" s="1"/>
  <c r="D19" i="9"/>
  <c r="D20" i="9"/>
  <c r="D21" i="9" l="1"/>
  <c r="D102" i="9"/>
  <c r="D103" i="9"/>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82"/>
  <c r="C19" i="84"/>
  <c r="B3" i="85"/>
  <c r="C19" i="9"/>
  <c r="G19" i="84" l="1"/>
  <c r="K22" i="84" s="1"/>
  <c r="C21" i="84"/>
  <c r="C102" i="84"/>
  <c r="D22" i="84"/>
  <c r="G19" i="82"/>
  <c r="C102" i="82"/>
  <c r="C21" i="82"/>
  <c r="D22" i="82"/>
  <c r="C102" i="9"/>
  <c r="G19" i="9"/>
  <c r="D22" i="9"/>
  <c r="C21" i="9"/>
  <c r="C57" i="68"/>
  <c r="C56" i="68" s="1"/>
  <c r="B3" i="68"/>
  <c r="C20" i="9"/>
  <c r="D35" i="9"/>
  <c r="D35" i="84"/>
  <c r="C20" i="82"/>
  <c r="D35" i="82"/>
  <c r="D34" i="9"/>
  <c r="C20" i="84"/>
  <c r="D34" i="82"/>
  <c r="D34" i="84"/>
  <c r="G21" i="9" l="1"/>
  <c r="D19" i="79"/>
  <c r="C103" i="84"/>
  <c r="G20" i="84"/>
  <c r="C32" i="84"/>
  <c r="G21" i="84"/>
  <c r="G20" i="82"/>
  <c r="R24" i="31" s="1"/>
  <c r="C103" i="82"/>
  <c r="C32" i="82"/>
  <c r="G21" i="82"/>
  <c r="C103" i="9"/>
  <c r="G20" i="9"/>
  <c r="E23" i="79" l="1"/>
  <c r="F23" i="79" s="1"/>
  <c r="E24" i="79"/>
  <c r="F24" i="79" s="1"/>
  <c r="E25" i="79"/>
  <c r="F25" i="79" s="1"/>
  <c r="R34" i="3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F118" i="9" s="1"/>
  <c r="I17" i="79"/>
  <c r="I12" i="79" s="1"/>
  <c r="H118" i="84"/>
  <c r="C35" i="84"/>
  <c r="F118" i="84" s="1"/>
  <c r="H118" i="82"/>
  <c r="C35" i="82"/>
  <c r="F118" i="82" s="1"/>
  <c r="K24" i="79" l="1"/>
  <c r="L24" i="79" s="1"/>
  <c r="K22" i="79"/>
  <c r="L22" i="79" s="1"/>
  <c r="K21" i="79"/>
  <c r="L21" i="79" s="1"/>
  <c r="F26" i="79"/>
  <c r="E26" i="79"/>
  <c r="C34" i="9"/>
  <c r="F16" i="74"/>
  <c r="E16" i="74"/>
  <c r="S22" i="31"/>
  <c r="G118" i="84"/>
  <c r="F119" i="84"/>
  <c r="C34" i="84"/>
  <c r="D118" i="84" s="1"/>
  <c r="D119" i="84" s="1"/>
  <c r="I118" i="84"/>
  <c r="H101" i="84"/>
  <c r="C104" i="84"/>
  <c r="H119" i="84"/>
  <c r="G118" i="82"/>
  <c r="F119" i="82"/>
  <c r="C34" i="82"/>
  <c r="D118" i="82" s="1"/>
  <c r="D119" i="82" s="1"/>
  <c r="I118" i="82"/>
  <c r="H119" i="82"/>
  <c r="H101" i="82"/>
  <c r="C104" i="82"/>
  <c r="K25" i="79" l="1"/>
  <c r="L25" i="79" s="1"/>
  <c r="K23" i="79"/>
  <c r="L23" i="79" s="1"/>
  <c r="F15" i="74"/>
  <c r="E15" i="74"/>
  <c r="R22" i="31"/>
  <c r="B20" i="31"/>
  <c r="B21" i="31" s="1"/>
  <c r="H107" i="84"/>
  <c r="D45" i="84"/>
  <c r="M48" i="84"/>
  <c r="H102" i="84"/>
  <c r="E118" i="84"/>
  <c r="C105" i="84"/>
  <c r="H107" i="82"/>
  <c r="M48" i="82"/>
  <c r="D45" i="82"/>
  <c r="H102" i="82"/>
  <c r="E118" i="82"/>
  <c r="C105" i="82"/>
  <c r="K26" i="79" l="1"/>
  <c r="L26" i="79"/>
  <c r="G118" i="9"/>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118" i="9" l="1"/>
  <c r="H118" i="9" s="1"/>
  <c r="I118" i="9" s="1"/>
  <c r="F4" i="52"/>
  <c r="B51" i="72" s="1"/>
  <c r="F32" i="74"/>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G32" i="74" l="1"/>
  <c r="F33" i="74"/>
  <c r="D4" i="52"/>
  <c r="B47" i="72" s="1"/>
  <c r="D119" i="9"/>
  <c r="D5" i="52" s="1"/>
  <c r="B49" i="72" s="1"/>
  <c r="C80" i="84"/>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H101" i="9"/>
  <c r="C104" i="9" l="1"/>
  <c r="D14" i="74"/>
  <c r="H4" i="52"/>
  <c r="H119" i="9"/>
  <c r="H5" i="52" s="1"/>
  <c r="D45" i="9"/>
  <c r="C64" i="9" s="1"/>
  <c r="C63" i="9" s="1"/>
  <c r="C67" i="9" s="1"/>
  <c r="M48" i="9"/>
  <c r="D5" i="53"/>
  <c r="H107" i="9"/>
  <c r="C93" i="9" l="1"/>
  <c r="C86" i="9" s="1"/>
  <c r="I4" i="52"/>
  <c r="E118" i="9"/>
  <c r="E4" i="52" s="1"/>
  <c r="B48" i="72" s="1"/>
  <c r="C105" i="9"/>
  <c r="H102" i="9"/>
  <c r="D7" i="53" s="1"/>
  <c r="B21" i="72" s="1"/>
  <c r="E14" i="74"/>
  <c r="F14" i="74"/>
  <c r="B5" i="74"/>
  <c r="D13" i="53"/>
  <c r="H108" i="9"/>
  <c r="D15" i="53" s="1"/>
  <c r="B31" i="72" s="1"/>
  <c r="D122" i="9"/>
  <c r="M49" i="9"/>
  <c r="B20" i="72"/>
  <c r="D6" i="53"/>
  <c r="B22" i="72" s="1"/>
  <c r="D55" i="9"/>
  <c r="M53" i="9" s="1"/>
  <c r="C85" i="9"/>
  <c r="C72" i="9"/>
  <c r="C78" i="9"/>
  <c r="C73" i="9" s="1"/>
  <c r="D53" i="9"/>
  <c r="D52" i="9"/>
  <c r="C68" i="9"/>
  <c r="D54" i="9" s="1"/>
  <c r="D59" i="9"/>
  <c r="M55" i="9" s="1"/>
  <c r="C95" i="9" l="1"/>
  <c r="C96" i="9" s="1"/>
  <c r="E96" i="9" s="1"/>
  <c r="E97" i="9" s="1"/>
  <c r="C79" i="9"/>
  <c r="C5" i="74"/>
  <c r="H32" i="74"/>
  <c r="D5" i="74"/>
  <c r="L63" i="9"/>
  <c r="M63" i="9" s="1"/>
  <c r="L64" i="9"/>
  <c r="M64" i="9" s="1"/>
  <c r="L65" i="9"/>
  <c r="M65" i="9" s="1"/>
  <c r="L67" i="9"/>
  <c r="M67" i="9" s="1"/>
  <c r="L66" i="9"/>
  <c r="M66" i="9" s="1"/>
  <c r="L68" i="9"/>
  <c r="M68" i="9" s="1"/>
  <c r="G14" i="74"/>
  <c r="B6" i="74" s="1"/>
  <c r="D8" i="52"/>
  <c r="D123" i="9"/>
  <c r="D9" i="52" s="1"/>
  <c r="D14" i="53"/>
  <c r="B32" i="72" s="1"/>
  <c r="B30" i="72"/>
  <c r="C97" i="9" l="1"/>
  <c r="D58" i="9" s="1"/>
  <c r="D56" i="9" s="1"/>
  <c r="M54" i="9" s="1"/>
  <c r="N57" i="9" s="1"/>
  <c r="N59" i="9" s="1"/>
  <c r="N60" i="9" s="1"/>
  <c r="C80" i="9"/>
  <c r="E80" i="9" s="1"/>
  <c r="E81" i="9" s="1"/>
  <c r="D32" i="74"/>
  <c r="D33" i="74" s="1"/>
  <c r="H33" i="74"/>
  <c r="I32" i="74"/>
  <c r="E32" i="74" s="1"/>
  <c r="D34" i="74"/>
  <c r="D35" i="74" s="1"/>
  <c r="C6" i="74"/>
  <c r="D6" i="74"/>
  <c r="M69" i="9"/>
  <c r="N69" i="9" s="1"/>
  <c r="P57" i="9" l="1"/>
  <c r="N58"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04D4D63-D799-4BE9-AE18-D9ED772E117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1E6803-D24D-480C-98AF-EFAEC239939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412FD4E-0582-477D-98A4-D4F0B6CE901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E181C36-CA4F-4461-AE4E-7E25FDB8F1C2}">
      <text>
        <r>
          <rPr>
            <sz val="11"/>
            <color indexed="81"/>
            <rFont val="宋体"/>
            <family val="3"/>
            <charset val="134"/>
          </rPr>
          <t>在建项目均选择“是”</t>
        </r>
      </text>
    </comment>
    <comment ref="F59" authorId="1" shapeId="0" xr:uid="{E2C548AB-58D5-44B5-B385-84E3495A4C8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E3447F1-B36D-4D86-B515-8F84141A0DAC}">
      <text>
        <r>
          <rPr>
            <sz val="10"/>
            <color indexed="81"/>
            <rFont val="宋体"/>
            <family val="3"/>
            <charset val="134"/>
          </rPr>
          <t xml:space="preserve">在建
</t>
        </r>
      </text>
    </comment>
    <comment ref="N59" authorId="0" shapeId="0" xr:uid="{4F884CB3-2DB0-4510-9152-829B07ADE05A}">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<sst xmlns="http://schemas.openxmlformats.org/spreadsheetml/2006/main" count="11018" uniqueCount="3674">
  <si>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</si>
  <si>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</si>
  <si>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</si>
  <si>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</si>
  <si>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</si>
  <si>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</si>
  <si>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</si>
  <si>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</si>
  <si>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</si>
  <si>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</si>
  <si>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</si>
  <si>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</si>
  <si>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</si>
  <si>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</si>
  <si>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</si>
  <si>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</si>
  <si>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</si>
  <si>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</si>
  <si>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</si>
  <si>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</si>
  <si>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</si>
  <si>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</si>
  <si>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</si>
  <si>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</si>
  <si>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</si>
  <si>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</si>
  <si>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</si>
  <si>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</si>
  <si>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</si>
  <si>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</si>
  <si>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</si>
  <si>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</si>
  <si>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</si>
  <si>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</si>
  <si>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</si>
  <si>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</si>
  <si>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</si>
  <si>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</si>
  <si>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</si>
  <si>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</si>
  <si>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</si>
  <si>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</si>
  <si>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</si>
  <si>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</si>
  <si>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</si>
  <si>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</si>
  <si>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</si>
  <si>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</si>
  <si>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</si>
  <si>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</si>
  <si>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</si>
  <si>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</si>
  <si>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</si>
  <si>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</si>
  <si>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</si>
  <si>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</si>
  <si>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</si>
  <si>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</si>
  <si>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</si>
  <si>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</si>
  <si>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</si>
  <si>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</si>
  <si>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</si>
  <si>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</si>
  <si>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</si>
  <si>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</si>
  <si>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</si>
  <si>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</si>
  <si>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</si>
  <si>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</si>
  <si>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</si>
  <si>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</si>
  <si>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</si>
  <si>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</si>
  <si>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</si>
  <si>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</si>
  <si>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</si>
  <si>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</si>
  <si>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</si>
  <si>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</si>
  <si>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</si>
  <si>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</si>
  <si>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</si>
  <si>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</si>
  <si>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</si>
  <si>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</si>
  <si>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</si>
  <si>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</si>
  <si>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</si>
  <si>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</si>
  <si>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</si>
  <si>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</si>
  <si>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</si>
  <si>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</si>
  <si>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</si>
  <si>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</si>
  <si>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</si>
  <si>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</si>
  <si>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</si>
  <si>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</si>
  <si>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</si>
  <si>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</si>
  <si>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</si>
  <si>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</si>
  <si>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</si>
  <si>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</si>
  <si>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</si>
  <si>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</si>
  <si>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</si>
  <si>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</si>
  <si>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</si>
  <si>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</si>
  <si>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</si>
  <si>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</si>
  <si>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</si>
  <si>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</si>
  <si>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</si>
  <si>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</si>
  <si>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</si>
  <si>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</si>
  <si>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</si>
  <si>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</si>
  <si>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</si>
  <si>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</si>
  <si>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</si>
  <si>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</si>
  <si>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</si>
  <si>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</si>
  <si>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</si>
  <si>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</si>
  <si>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</si>
  <si>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</si>
  <si>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</si>
  <si>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</si>
  <si>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</si>
  <si>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</si>
  <si>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</si>
  <si>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</si>
  <si>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</si>
  <si>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</si>
  <si>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</si>
  <si>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</si>
  <si>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</si>
  <si>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</si>
  <si>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</si>
  <si>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</si>
  <si>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</si>
  <si>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</si>
  <si>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</si>
  <si>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</si>
  <si>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</si>
  <si>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</si>
  <si>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</si>
  <si>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</si>
  <si>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</si>
  <si>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</si>
  <si>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</si>
  <si>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</si>
  <si>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</si>
  <si>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</si>
  <si>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</si>
  <si>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</si>
  <si>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</si>
  <si>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</si>
  <si>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</si>
  <si>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</si>
  <si>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</si>
  <si>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</si>
  <si>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</si>
  <si>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</si>
  <si>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</si>
  <si>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</si>
  <si>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</si>
  <si>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</si>
  <si>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</si>
  <si>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</si>
  <si>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</si>
  <si>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</si>
  <si>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</si>
  <si>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</si>
  <si>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</si>
  <si>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</si>
  <si>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</si>
  <si>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</si>
  <si>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</si>
  <si>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</si>
  <si>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</si>
  <si>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</si>
  <si>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</si>
  <si>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</si>
  <si>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</si>
  <si>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</si>
  <si>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</si>
  <si>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</si>
  <si>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</si>
  <si>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</si>
  <si>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</si>
  <si>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</si>
  <si>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</si>
  <si>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</si>
  <si>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</si>
  <si>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</si>
  <si>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</si>
  <si>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</si>
  <si>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</si>
  <si>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</si>
  <si>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</si>
  <si>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</si>
  <si>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</si>
  <si>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</si>
  <si>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</si>
  <si>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</si>
  <si>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</si>
  <si>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</si>
  <si>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</si>
  <si>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</si>
  <si>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</si>
  <si>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</si>
  <si>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</si>
  <si>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</si>
  <si>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</si>
  <si>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</si>
  <si>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</si>
  <si>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</si>
  <si>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</si>
  <si>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</si>
  <si>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</si>
  <si>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</si>
  <si>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</si>
  <si>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</si>
  <si>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</si>
  <si>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</si>
  <si>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</si>
  <si>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</si>
  <si>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</si>
  <si>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</si>
  <si>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</si>
  <si>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</si>
  <si>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</si>
  <si>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</si>
  <si>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</si>
  <si>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</si>
  <si>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</si>
  <si>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</si>
  <si>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</si>
  <si>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</si>
  <si>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</si>
  <si>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</si>
  <si>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</si>
  <si>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</si>
  <si>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</si>
  <si>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</si>
  <si>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</si>
  <si>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</si>
  <si>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</si>
  <si>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</si>
  <si>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</si>
  <si>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</si>
  <si>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</si>
  <si>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</si>
  <si>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</si>
  <si>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</si>
  <si>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</si>
  <si>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</si>
  <si>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</si>
  <si>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</si>
  <si>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</si>
  <si>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</si>
  <si>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</si>
  <si>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</si>
  <si>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</si>
  <si>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</si>
  <si>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</si>
  <si>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</si>
  <si>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</si>
  <si>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</si>
  <si>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</si>
  <si>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</si>
  <si>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</si>
  <si>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</si>
  <si>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</si>
  <si>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</si>
  <si>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</si>
  <si>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</si>
  <si>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</si>
  <si>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</si>
  <si>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</si>
  <si>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</si>
  <si>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</si>
  <si>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</si>
  <si>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</si>
  <si>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</si>
  <si>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</si>
  <si>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</si>
  <si>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</si>
  <si>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</si>
  <si>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</si>
  <si>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</si>
  <si>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</si>
  <si>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</si>
  <si>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</si>
  <si>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</si>
  <si>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</si>
  <si>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</si>
  <si>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</si>
  <si>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</si>
  <si>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</si>
  <si>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</si>
  <si>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</si>
  <si>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</si>
  <si>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</si>
  <si>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</si>
  <si>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</si>
  <si>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</si>
  <si>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</si>
  <si>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</si>
  <si>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</si>
  <si>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</si>
  <si>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</si>
  <si>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</si>
  <si>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</si>
  <si>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</si>
  <si>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</si>
  <si>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</si>
  <si>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</si>
  <si>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</si>
  <si>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</si>
  <si>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</si>
  <si>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</si>
  <si>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</si>
  <si>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</si>
  <si>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</si>
  <si>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</si>
  <si>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</si>
  <si>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</si>
  <si>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</si>
  <si>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</si>
  <si>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</si>
  <si>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</si>
  <si>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</si>
  <si>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</si>
  <si>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</si>
  <si>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</si>
  <si>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</si>
  <si>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</si>
  <si>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</si>
  <si>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</si>
  <si>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</si>
  <si>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</si>
  <si>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</si>
  <si>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</si>
  <si>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</si>
  <si>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</si>
  <si>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</si>
  <si>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</si>
  <si>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</si>
  <si>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</si>
  <si>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</si>
  <si>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</si>
  <si>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</si>
  <si>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</si>
  <si>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</si>
  <si>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</si>
  <si>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</si>
  <si>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</si>
  <si>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</si>
  <si>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</si>
  <si>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</si>
  <si>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</si>
  <si>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</si>
  <si>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</si>
  <si>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</si>
  <si>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</si>
  <si>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</si>
  <si>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</si>
  <si>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</si>
  <si>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</si>
  <si>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</si>
  <si>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</si>
  <si>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</si>
  <si>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</si>
  <si>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</si>
  <si>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</si>
  <si>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</si>
  <si>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</si>
  <si>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</si>
  <si>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</si>
  <si>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</si>
  <si>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</si>
  <si>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</si>
  <si>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</si>
  <si>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</si>
  <si>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</si>
  <si>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</si>
  <si>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</si>
  <si>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</si>
  <si>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</si>
  <si>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</si>
  <si>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</si>
  <si>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</si>
  <si>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</si>
  <si>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</si>
  <si>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</si>
  <si>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</si>
  <si>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</si>
  <si>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</si>
  <si>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</si>
  <si>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</si>
  <si>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</si>
  <si>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</si>
  <si>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</si>
  <si>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</si>
  <si>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</si>
  <si>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</si>
  <si>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</si>
  <si>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</si>
  <si>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</si>
  <si>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</si>
  <si>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</si>
  <si>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</si>
  <si>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</si>
  <si>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</si>
  <si>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</si>
  <si>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</si>
  <si>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</si>
  <si>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</si>
  <si>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</si>
  <si>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</si>
  <si>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</si>
  <si>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</si>
  <si>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</si>
  <si>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</si>
  <si>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</si>
  <si>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</si>
  <si>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</si>
  <si>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</si>
  <si>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</si>
  <si>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</si>
  <si>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</si>
  <si>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</si>
  <si>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</si>
  <si>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</si>
  <si>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</si>
  <si>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</si>
  <si>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</si>
  <si>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</si>
  <si>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</si>
  <si>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</si>
  <si>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</si>
  <si>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</si>
  <si>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</si>
  <si>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</si>
  <si>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</si>
  <si>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</si>
  <si>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</si>
  <si>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</si>
  <si>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</si>
  <si>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</si>
  <si>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</si>
  <si>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</si>
  <si>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</si>
  <si>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</si>
  <si>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</si>
  <si>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</si>
  <si>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</si>
  <si>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</si>
  <si>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</si>
  <si>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</si>
  <si>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</si>
  <si>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</si>
  <si>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</si>
  <si>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</si>
  <si>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</si>
  <si>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</si>
  <si>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</si>
  <si>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</si>
  <si>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</si>
  <si>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</si>
  <si>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</si>
  <si>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</si>
  <si>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</si>
  <si>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</si>
  <si>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</si>
  <si>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</si>
  <si>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</si>
  <si>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</si>
  <si>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</si>
  <si>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</si>
  <si>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</si>
  <si>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</si>
  <si>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</si>
  <si>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</si>
  <si>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</si>
  <si>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</si>
  <si>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</si>
  <si>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</si>
  <si>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</si>
  <si>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</si>
  <si>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</si>
  <si>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</si>
  <si>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</si>
  <si>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</si>
  <si>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</si>
  <si>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</si>
  <si>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</si>
  <si>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</si>
  <si>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</si>
  <si>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</si>
  <si>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</si>
  <si>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</si>
  <si>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</si>
  <si>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</si>
  <si>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</si>
  <si>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</si>
  <si>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</si>
  <si>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</si>
  <si>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</si>
  <si>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</si>
  <si>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</si>
  <si>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</si>
  <si>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</si>
  <si>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</si>
  <si>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</si>
  <si>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</si>
  <si>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</si>
  <si>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</si>
  <si>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</si>
  <si>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</si>
  <si>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</si>
  <si>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</si>
  <si>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</si>
  <si>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</si>
  <si>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</si>
  <si>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</si>
  <si>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</si>
  <si>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</si>
  <si>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</si>
  <si>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</si>
  <si>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</si>
  <si>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</si>
  <si>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</si>
  <si>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</si>
  <si>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</si>
  <si>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</si>
  <si>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</si>
  <si>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</si>
  <si>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</si>
  <si>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</si>
  <si>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</si>
  <si>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</si>
  <si>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</si>
  <si>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</si>
  <si>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</si>
  <si>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</si>
  <si>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</si>
  <si>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</si>
  <si>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</si>
  <si>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</si>
  <si>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</si>
  <si>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</si>
  <si>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</si>
  <si>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</si>
  <si>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</si>
  <si>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</si>
  <si>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</si>
  <si>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</si>
  <si>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</si>
  <si>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</si>
  <si>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</si>
  <si>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</si>
  <si>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</si>
  <si>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</si>
  <si>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</si>
  <si>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区域土地利用方向</t>
    <phoneticPr fontId="48" type="noConversion"/>
  </si>
  <si>
    <r>
      <rPr>
        <sz val="10"/>
        <color indexed="8"/>
        <rFont val="宋体"/>
        <family val="3"/>
        <charset val="134"/>
      </rPr>
      <t>修正系数</t>
    </r>
    <phoneticPr fontId="81"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</si>
  <si>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</si>
  <si>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</si>
  <si>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</si>
  <si>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</si>
  <si>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</si>
  <si>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</si>
  <si>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</si>
  <si>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</si>
  <si>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</si>
  <si>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</si>
  <si>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</si>
  <si>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</si>
  <si>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</si>
  <si>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</si>
  <si>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</si>
  <si>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</si>
  <si>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</si>
  <si>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</si>
  <si>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</si>
  <si>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</si>
  <si>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</si>
  <si>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</si>
  <si>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</si>
  <si>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</si>
  <si>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</si>
  <si>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</si>
  <si>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</si>
  <si>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</si>
  <si>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</si>
  <si>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</si>
  <si>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</si>
  <si>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</si>
  <si>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</si>
  <si>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</si>
  <si>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</si>
  <si>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</si>
  <si>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</si>
  <si>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</si>
  <si>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</si>
  <si>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</si>
  <si>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</si>
  <si>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</si>
  <si>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</si>
  <si>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</si>
  <si>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</si>
  <si>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</si>
  <si>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</si>
  <si>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</si>
  <si>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</si>
  <si>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</si>
  <si>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</si>
  <si>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1" type="noConversion"/>
  </si>
  <si>
    <t>2.</t>
    <phoneticPr fontId="81" type="noConversion"/>
  </si>
  <si>
    <t>3.</t>
    <phoneticPr fontId="81" type="noConversion"/>
  </si>
  <si>
    <t>4.</t>
    <phoneticPr fontId="6" type="noConversion"/>
  </si>
  <si>
    <t>5.</t>
    <phoneticPr fontId="6" type="noConversion"/>
  </si>
  <si>
    <t>6.</t>
    <phoneticPr fontId="6" type="noConversion"/>
  </si>
  <si>
    <t>7.</t>
    <phoneticPr fontId="6" type="noConversion"/>
  </si>
  <si>
    <t>十一级</t>
  </si>
  <si>
    <t>十二级</t>
  </si>
  <si>
    <t>一级</t>
    <phoneticPr fontId="81" type="noConversion"/>
  </si>
  <si>
    <t>Ⅰ—01</t>
    <phoneticPr fontId="6"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</si>
  <si>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</si>
  <si>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</si>
  <si>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</si>
  <si>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</si>
  <si>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</si>
  <si>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</si>
  <si>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</si>
  <si>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</si>
  <si>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</si>
  <si>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</si>
  <si>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</si>
  <si>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</si>
  <si>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</si>
  <si>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</si>
  <si>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</si>
  <si>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</si>
  <si>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</si>
  <si>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</si>
  <si>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9" type="noConversion"/>
  </si>
  <si>
    <t>XX</t>
  </si>
  <si>
    <t>附表：</t>
    <phoneticPr fontId="97"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</si>
  <si>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</si>
  <si>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</si>
  <si>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</si>
  <si>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</si>
  <si>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</si>
  <si>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</si>
  <si>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</si>
  <si>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</si>
  <si>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</si>
  <si>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</si>
  <si>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</si>
  <si>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</si>
  <si>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</si>
  <si>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</si>
  <si>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</si>
  <si>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</si>
  <si>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</si>
  <si>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</si>
  <si>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</si>
  <si>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</si>
  <si>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</si>
  <si>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</si>
  <si>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</si>
  <si>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</si>
  <si>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</si>
  <si>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</si>
  <si>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</si>
  <si>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</si>
  <si>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</si>
  <si>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</si>
  <si>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</si>
  <si>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</si>
  <si>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</si>
  <si>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</si>
  <si>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</si>
  <si>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</si>
  <si>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</si>
  <si>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</si>
  <si>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</si>
  <si>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</si>
  <si>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</si>
  <si>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</si>
  <si>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</si>
  <si>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</si>
  <si>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</si>
  <si>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</si>
  <si>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</si>
  <si>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</si>
  <si>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</si>
  <si>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</si>
  <si>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</si>
  <si>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</si>
  <si>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</si>
  <si>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</si>
  <si>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</si>
  <si>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</si>
  <si>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</si>
  <si>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</si>
  <si>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</si>
  <si>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</si>
  <si>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</si>
  <si>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</si>
  <si>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</si>
  <si>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</si>
  <si>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</si>
  <si>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</si>
  <si>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</si>
  <si>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</si>
  <si>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</si>
  <si>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</si>
  <si>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</si>
  <si>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</si>
  <si>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</si>
  <si>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</si>
  <si>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</si>
  <si>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</si>
  <si>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</si>
  <si>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</si>
  <si>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</si>
  <si>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</si>
  <si>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</si>
  <si>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</si>
  <si>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</si>
  <si>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</si>
  <si>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</si>
  <si>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</si>
  <si>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</si>
  <si>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</si>
  <si>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</si>
  <si>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</si>
  <si>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</si>
  <si>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</si>
  <si>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</si>
  <si>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</si>
  <si>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</si>
  <si>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</si>
  <si>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</si>
  <si>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</si>
  <si>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</si>
  <si>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</si>
  <si>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</si>
  <si>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</si>
  <si>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</si>
  <si>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</si>
  <si>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</si>
  <si>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</si>
  <si>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</si>
  <si>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</si>
  <si>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</si>
  <si>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</si>
  <si>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</si>
  <si>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</si>
  <si>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</si>
  <si>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</si>
  <si>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</si>
  <si>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</si>
  <si>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</si>
  <si>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</si>
  <si>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</si>
  <si>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</si>
  <si>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</si>
  <si>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</si>
  <si>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</si>
  <si>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</si>
  <si>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</si>
  <si>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</si>
  <si>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</si>
  <si>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</si>
  <si>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</si>
  <si>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</si>
  <si>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</si>
  <si>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</si>
  <si>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</si>
  <si>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</si>
  <si>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</si>
  <si>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</si>
  <si>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</si>
  <si>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</si>
  <si>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</si>
  <si>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</si>
  <si>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</si>
  <si>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</si>
  <si>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</si>
  <si>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</si>
  <si>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</si>
  <si>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</si>
  <si>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</si>
  <si>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</si>
  <si>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</si>
  <si>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</si>
  <si>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</si>
  <si>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</si>
  <si>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</si>
  <si>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</si>
  <si>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</si>
  <si>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</si>
  <si>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</si>
  <si>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</si>
  <si>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</si>
  <si>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</si>
  <si>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</si>
  <si>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</si>
  <si>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</si>
  <si>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</si>
  <si>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</si>
  <si>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</si>
  <si>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</si>
  <si>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</si>
  <si>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</si>
  <si>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</si>
  <si>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</si>
  <si>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</si>
  <si>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</si>
  <si>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</si>
  <si>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</si>
  <si>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</si>
  <si>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</si>
  <si>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</si>
  <si>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</si>
  <si>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</si>
  <si>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</si>
  <si>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</si>
  <si>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</si>
  <si>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</si>
  <si>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</si>
  <si>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</si>
  <si>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</si>
  <si>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</si>
  <si>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</si>
  <si>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</si>
  <si>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</si>
  <si>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</si>
  <si>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</si>
  <si>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</si>
  <si>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</si>
  <si>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</si>
  <si>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</si>
  <si>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</si>
  <si>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</si>
  <si>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</si>
  <si>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</si>
  <si>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</si>
  <si>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</si>
  <si>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</si>
  <si>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</si>
  <si>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</si>
  <si>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</si>
  <si>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</si>
  <si>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</si>
  <si>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</si>
  <si>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</si>
  <si>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</si>
  <si>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</si>
  <si>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</si>
  <si>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</si>
  <si>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</si>
  <si>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</si>
  <si>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</si>
  <si>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</si>
  <si>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</si>
  <si>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</si>
  <si>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</si>
  <si>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</si>
  <si>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</si>
  <si>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</si>
  <si>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</si>
  <si>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</si>
  <si>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</si>
  <si>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</si>
  <si>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</si>
  <si>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</si>
  <si>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</si>
  <si>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</si>
  <si>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</si>
  <si>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</si>
  <si>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</si>
  <si>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</si>
  <si>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</si>
  <si>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</si>
  <si>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</si>
  <si>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</si>
  <si>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</si>
  <si>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</si>
  <si>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</si>
  <si>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</si>
  <si>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</si>
  <si>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</si>
  <si>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</si>
  <si>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</si>
  <si>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</si>
  <si>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</si>
  <si>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</si>
  <si>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</si>
  <si>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</si>
  <si>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</si>
  <si>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</si>
  <si>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</si>
  <si>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</si>
  <si>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</si>
  <si>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</si>
  <si>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</si>
  <si>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</si>
  <si>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</si>
  <si>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</si>
  <si>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</si>
  <si>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</si>
  <si>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</si>
  <si>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</si>
  <si>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</si>
  <si>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</si>
  <si>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</si>
  <si>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</si>
  <si>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</si>
  <si>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</si>
  <si>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</si>
  <si>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</si>
  <si>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</si>
  <si>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</si>
  <si>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</si>
  <si>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</si>
  <si>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</si>
  <si>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</si>
  <si>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</si>
  <si>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</si>
  <si>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</si>
  <si>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</si>
  <si>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</si>
  <si>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</si>
  <si>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</si>
  <si>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</si>
  <si>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</si>
  <si>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</si>
  <si>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</si>
  <si>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</si>
  <si>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</si>
  <si>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</si>
  <si>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</si>
  <si>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</si>
  <si>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</si>
  <si>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</si>
  <si>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</si>
  <si>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</si>
  <si>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</si>
  <si>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</si>
  <si>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</si>
  <si>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</si>
  <si>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</si>
  <si>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</si>
  <si>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</si>
  <si>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</si>
  <si>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</si>
  <si>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</si>
  <si>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</si>
  <si>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</si>
  <si>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</si>
  <si>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</si>
  <si>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</si>
  <si>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</si>
  <si>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</si>
  <si>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</si>
  <si>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</si>
  <si>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</si>
  <si>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</si>
  <si>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</si>
  <si>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</si>
  <si>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</si>
  <si>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</si>
  <si>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</si>
  <si>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</si>
  <si>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</si>
  <si>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</si>
  <si>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</si>
  <si>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</si>
  <si>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</si>
  <si>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</si>
  <si>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</si>
  <si>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</si>
  <si>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</si>
  <si>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</si>
  <si>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</si>
  <si>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</si>
  <si>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</si>
  <si>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</si>
  <si>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</si>
  <si>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</si>
  <si>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</si>
  <si>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</si>
  <si>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</si>
  <si>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</si>
  <si>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</si>
  <si>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</si>
  <si>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</si>
  <si>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</si>
  <si>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</si>
  <si>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</si>
  <si>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</si>
  <si>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</si>
  <si>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</si>
  <si>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</si>
  <si>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</si>
  <si>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</si>
  <si>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</si>
  <si>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</si>
  <si>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</si>
  <si>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</si>
  <si>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</si>
  <si>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6" type="noConversion"/>
  </si>
  <si>
    <t>开发期</t>
    <phoneticPr fontId="143" type="noConversion"/>
  </si>
  <si>
    <t>贷款利率</t>
    <phoneticPr fontId="6" type="noConversion"/>
  </si>
  <si>
    <t>贷款利率</t>
    <phoneticPr fontId="143" type="noConversion"/>
  </si>
  <si>
    <t>存款利率</t>
    <phoneticPr fontId="143"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</si>
  <si>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</si>
  <si>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</si>
  <si>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</si>
  <si>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</si>
  <si>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</si>
  <si>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</si>
  <si>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</si>
  <si>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</si>
  <si>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</si>
  <si>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</si>
  <si>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</si>
  <si>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</si>
  <si>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</si>
  <si>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</si>
  <si>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</si>
  <si>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</si>
  <si>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</si>
  <si>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</si>
  <si>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</si>
  <si>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</si>
  <si>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</si>
  <si>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</si>
  <si>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</si>
  <si>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</si>
  <si>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</si>
  <si>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</si>
  <si>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</si>
  <si>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</si>
  <si>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</si>
  <si>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</si>
  <si>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</si>
  <si>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</si>
  <si>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</si>
  <si>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</si>
  <si>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</si>
  <si>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</si>
  <si>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</si>
  <si>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</si>
  <si>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</si>
  <si>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</si>
  <si>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</si>
  <si>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</si>
  <si>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</si>
  <si>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</si>
  <si>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</si>
  <si>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</si>
  <si>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</si>
  <si>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</si>
  <si>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</si>
  <si>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</si>
  <si>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</si>
  <si>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</si>
  <si>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</si>
  <si>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</si>
  <si>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</si>
  <si>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</si>
  <si>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</si>
  <si>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</si>
  <si>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</si>
  <si>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</si>
  <si>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</si>
  <si>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</si>
  <si>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</si>
  <si>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</si>
  <si>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</si>
  <si>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</si>
  <si>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</si>
  <si>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</si>
  <si>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</si>
  <si>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</si>
  <si>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</si>
  <si>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</si>
  <si>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</si>
  <si>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</si>
  <si>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</si>
  <si>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</si>
  <si>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</si>
  <si>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</si>
  <si>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</si>
  <si>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</si>
  <si>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</si>
  <si>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</si>
  <si>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</si>
  <si>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</si>
  <si>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</si>
  <si>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</si>
  <si>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</si>
  <si>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</si>
  <si>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</si>
  <si>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</si>
  <si>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</si>
  <si>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</si>
  <si>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</si>
  <si>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</si>
  <si>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</si>
  <si>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</si>
  <si>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</si>
  <si>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</si>
  <si>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</si>
  <si>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</si>
  <si>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</si>
  <si>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</si>
  <si>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</si>
  <si>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</si>
  <si>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</si>
  <si>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</si>
  <si>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</si>
  <si>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</si>
  <si>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</si>
  <si>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</si>
  <si>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</si>
  <si>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</si>
  <si>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</si>
  <si>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</si>
  <si>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</si>
  <si>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</si>
  <si>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</si>
  <si>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</si>
  <si>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</si>
  <si>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</si>
  <si>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</si>
  <si>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</si>
  <si>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</si>
  <si>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</si>
  <si>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</si>
  <si>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</si>
  <si>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</si>
  <si>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</si>
  <si>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</si>
  <si>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</si>
  <si>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</si>
  <si>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</si>
  <si>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</si>
  <si>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</si>
  <si>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</si>
  <si>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</si>
  <si>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</si>
  <si>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</si>
  <si>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</si>
  <si>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</si>
  <si>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</si>
  <si>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</si>
  <si>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</si>
  <si>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</si>
  <si>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</si>
  <si>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</si>
  <si>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</si>
  <si>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</si>
  <si>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</si>
  <si>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</si>
  <si>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</si>
  <si>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</si>
  <si>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</si>
  <si>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</si>
  <si>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</si>
  <si>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</si>
  <si>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</si>
  <si>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</si>
  <si>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</si>
  <si>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</si>
  <si>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</si>
  <si>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</si>
  <si>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</si>
  <si>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</si>
  <si>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</si>
  <si>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</si>
  <si>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</si>
  <si>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</si>
  <si>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</si>
  <si>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</si>
  <si>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</si>
  <si>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</si>
  <si>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</si>
  <si>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</si>
  <si>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</si>
  <si>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</si>
  <si>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</si>
  <si>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</si>
  <si>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</si>
  <si>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</si>
  <si>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</si>
  <si>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</si>
  <si>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</si>
  <si>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</si>
  <si>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</si>
  <si>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</si>
  <si>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</si>
  <si>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</si>
  <si>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</si>
  <si>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</si>
  <si>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</si>
  <si>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</si>
  <si>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</si>
  <si>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</si>
  <si>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</si>
  <si>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</si>
  <si>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</si>
  <si>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</si>
  <si>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</si>
  <si>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</si>
  <si>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</si>
  <si>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</si>
  <si>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</si>
  <si>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</si>
  <si>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</si>
  <si>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</si>
  <si>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</si>
  <si>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</si>
  <si>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</si>
  <si>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</si>
  <si>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</si>
  <si>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</si>
  <si>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</si>
  <si>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</si>
  <si>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</si>
  <si>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</si>
  <si>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</si>
  <si>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</si>
  <si>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</si>
  <si>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</si>
  <si>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</si>
  <si>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</si>
  <si>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</si>
  <si>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</si>
  <si>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</si>
  <si>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</si>
  <si>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</si>
  <si>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</si>
  <si>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</si>
  <si>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</si>
  <si>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</si>
  <si>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</si>
  <si>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</si>
  <si>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</si>
  <si>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</si>
  <si>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</si>
  <si>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</si>
  <si>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</si>
  <si>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</si>
  <si>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</si>
  <si>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</si>
  <si>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</si>
  <si>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</si>
  <si>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</si>
  <si>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</si>
  <si>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</si>
  <si>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</si>
  <si>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</si>
  <si>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</si>
  <si>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</si>
  <si>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</si>
  <si>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</si>
  <si>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</si>
  <si>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</si>
  <si>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</si>
  <si>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</si>
  <si>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</si>
  <si>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</si>
  <si>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</si>
  <si>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</si>
  <si>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</si>
  <si>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</si>
  <si>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</si>
  <si>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</si>
  <si>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</si>
  <si>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</si>
  <si>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</si>
  <si>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</si>
  <si>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</si>
  <si>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</si>
  <si>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</si>
  <si>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</si>
  <si>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</si>
  <si>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</si>
  <si>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</si>
  <si>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</si>
  <si>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</si>
  <si>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</si>
  <si>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</si>
  <si>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</si>
  <si>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</si>
  <si>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</si>
  <si>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</si>
  <si>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</si>
  <si>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</si>
  <si>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</si>
  <si>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</si>
  <si>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</si>
  <si>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</si>
  <si>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</si>
  <si>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</si>
  <si>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</si>
  <si>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</si>
  <si>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</si>
  <si>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</si>
  <si>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</si>
  <si>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</si>
  <si>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</si>
  <si>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</si>
  <si>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</si>
  <si>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</si>
  <si>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</si>
  <si>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</si>
  <si>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</si>
  <si>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</si>
  <si>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</si>
  <si>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</si>
  <si>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</si>
  <si>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</si>
  <si>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</si>
  <si>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</si>
  <si>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</si>
  <si>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</si>
  <si>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</si>
  <si>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</si>
  <si>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</si>
  <si>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</si>
  <si>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</si>
  <si>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</si>
  <si>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</si>
  <si>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</si>
  <si>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</si>
  <si>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</si>
  <si>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</si>
  <si>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</si>
  <si>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</si>
  <si>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</si>
  <si>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</si>
  <si>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</si>
  <si>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</si>
  <si>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</si>
  <si>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</si>
  <si>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</si>
  <si>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</si>
  <si>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</si>
  <si>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</si>
  <si>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</si>
  <si>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</si>
  <si>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</si>
  <si>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</si>
  <si>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</si>
  <si>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</si>
  <si>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</si>
  <si>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</si>
  <si>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</si>
  <si>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</si>
  <si>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</si>
  <si>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</si>
  <si>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</si>
  <si>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</si>
  <si>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</si>
  <si>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</si>
  <si>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</si>
  <si>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</si>
  <si>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</si>
  <si>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</si>
  <si>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</si>
  <si>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</si>
  <si>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</si>
  <si>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</si>
  <si>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</si>
  <si>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</si>
  <si>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</si>
  <si>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</si>
  <si>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</si>
  <si>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</si>
  <si>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</si>
  <si>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</si>
  <si>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</si>
  <si>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</si>
  <si>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</si>
  <si>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</si>
  <si>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</si>
  <si>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</si>
  <si>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</si>
  <si>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</si>
  <si>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</si>
  <si>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</si>
  <si>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</si>
  <si>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</si>
  <si>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</si>
  <si>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</si>
  <si>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</si>
  <si>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</si>
  <si>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</si>
  <si>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</si>
  <si>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</si>
  <si>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</si>
  <si>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</si>
  <si>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</si>
  <si>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</si>
  <si>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</si>
  <si>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</si>
  <si>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</si>
  <si>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</si>
  <si>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</si>
  <si>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</si>
  <si>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</si>
  <si>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</si>
  <si>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</si>
  <si>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</si>
  <si>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</si>
  <si>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</si>
  <si>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</si>
  <si>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</si>
  <si>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</si>
  <si>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</si>
  <si>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</si>
  <si>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</si>
  <si>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</si>
  <si>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</si>
  <si>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</si>
  <si>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</si>
  <si>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</si>
  <si>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</si>
  <si>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</si>
  <si>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</si>
  <si>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</si>
  <si>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</si>
  <si>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</si>
  <si>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</si>
  <si>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</si>
  <si>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</si>
  <si>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</si>
  <si>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</si>
  <si>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</si>
  <si>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</si>
  <si>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</si>
  <si>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</si>
  <si>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</si>
  <si>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</si>
  <si>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</si>
  <si>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</si>
  <si>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</si>
  <si>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</si>
  <si>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</si>
  <si>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</si>
  <si>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</si>
  <si>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</si>
  <si>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</si>
  <si>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</si>
  <si>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</si>
  <si>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</si>
  <si>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</si>
  <si>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</si>
  <si>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</si>
  <si>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</si>
  <si>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</si>
  <si>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</si>
  <si>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</si>
  <si>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</si>
  <si>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</si>
  <si>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</si>
  <si>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</si>
  <si>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</si>
  <si>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</si>
  <si>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</si>
  <si>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</si>
  <si>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</si>
  <si>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</si>
  <si>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</si>
  <si>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</si>
  <si>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</si>
  <si>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</si>
  <si>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</si>
  <si>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</si>
  <si>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</si>
  <si>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</si>
  <si>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9" type="noConversion"/>
  </si>
  <si>
    <r>
      <rPr>
        <sz val="10"/>
        <color indexed="8"/>
        <rFont val="宋体"/>
        <family val="3"/>
        <charset val="134"/>
      </rPr>
      <t>其他资料</t>
    </r>
    <phoneticPr fontId="89"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</si>
  <si>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</si>
  <si>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</si>
  <si>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</si>
  <si>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</si>
  <si>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</si>
  <si>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</si>
  <si>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</si>
  <si>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</si>
  <si>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</si>
  <si>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</si>
  <si>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</si>
  <si>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</si>
  <si>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</si>
  <si>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</si>
  <si>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</si>
  <si>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</si>
  <si>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</si>
  <si>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</si>
  <si>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</si>
  <si>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</si>
  <si>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</si>
  <si>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</si>
  <si>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</si>
  <si>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</si>
  <si>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</si>
  <si>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</si>
  <si>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</si>
  <si>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</si>
  <si>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</si>
  <si>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</si>
  <si>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</si>
  <si>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</si>
  <si>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</si>
  <si>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</si>
  <si>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</si>
  <si>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</si>
  <si>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</si>
  <si>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</si>
  <si>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</si>
  <si>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</si>
  <si>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</si>
  <si>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</si>
  <si>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</si>
  <si>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</si>
  <si>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</si>
  <si>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</si>
  <si>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</si>
  <si>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</si>
  <si>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</si>
  <si>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</si>
  <si>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</si>
  <si>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</si>
  <si>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</si>
  <si>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</si>
  <si>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</si>
  <si>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</si>
  <si>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</si>
  <si>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</si>
  <si>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</si>
  <si>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</si>
  <si>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</si>
  <si>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</si>
  <si>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</si>
  <si>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</si>
  <si>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</si>
  <si>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</si>
  <si>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</si>
  <si>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</si>
  <si>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</si>
  <si>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</si>
  <si>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</si>
  <si>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</si>
  <si>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</si>
  <si>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</si>
  <si>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</si>
  <si>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</si>
  <si>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</si>
  <si>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</si>
  <si>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</si>
  <si>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</si>
  <si>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</si>
  <si>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</si>
  <si>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</si>
  <si>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</si>
  <si>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</si>
  <si>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</si>
  <si>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</si>
  <si>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</si>
  <si>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</si>
  <si>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</si>
  <si>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</si>
  <si>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</si>
  <si>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</si>
  <si>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</si>
  <si>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</si>
  <si>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</si>
  <si>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</si>
  <si>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</si>
  <si>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</si>
  <si>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</si>
  <si>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</si>
  <si>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</si>
  <si>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</si>
  <si>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</si>
  <si>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</si>
  <si>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</si>
  <si>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</si>
  <si>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</si>
  <si>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</si>
  <si>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</si>
  <si>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</si>
  <si>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</si>
  <si>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</si>
  <si>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</si>
  <si>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</si>
  <si>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</si>
  <si>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</si>
  <si>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</si>
  <si>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</si>
  <si>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</si>
  <si>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</si>
  <si>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</si>
  <si>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</si>
  <si>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</si>
  <si>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</si>
  <si>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</si>
  <si>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</si>
  <si>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</si>
  <si>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</si>
  <si>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</si>
  <si>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</si>
  <si>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</si>
  <si>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</si>
  <si>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</si>
  <si>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</si>
  <si>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</si>
  <si>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</si>
  <si>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</si>
  <si>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</si>
  <si>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</si>
  <si>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</si>
  <si>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</si>
  <si>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</si>
  <si>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</si>
  <si>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</si>
  <si>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</si>
  <si>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</si>
  <si>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</si>
  <si>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</si>
  <si>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</si>
  <si>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</si>
  <si>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</si>
  <si>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</si>
  <si>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</si>
  <si>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</si>
  <si>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</si>
  <si>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</si>
  <si>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</si>
  <si>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</si>
  <si>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</si>
  <si>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</si>
  <si>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</si>
  <si>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</si>
  <si>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</si>
  <si>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</si>
  <si>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</si>
  <si>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</si>
  <si>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</si>
  <si>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</si>
  <si>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</si>
  <si>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</si>
  <si>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</si>
  <si>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</si>
  <si>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</si>
  <si>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</si>
  <si>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</si>
  <si>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</si>
  <si>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</si>
  <si>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</si>
  <si>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</si>
  <si>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</si>
  <si>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</si>
  <si>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</si>
  <si>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</si>
  <si>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</si>
  <si>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</si>
  <si>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</si>
  <si>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</si>
  <si>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</si>
  <si>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</si>
  <si>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</si>
  <si>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</si>
  <si>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</si>
  <si>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</si>
  <si>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</si>
  <si>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</si>
  <si>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</si>
  <si>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</si>
  <si>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</si>
  <si>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</si>
  <si>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</si>
  <si>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</si>
  <si>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</si>
  <si>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</si>
  <si>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</si>
  <si>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</si>
  <si>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</si>
  <si>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</si>
  <si>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</si>
  <si>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</si>
  <si>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</si>
  <si>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</si>
  <si>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</si>
  <si>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</si>
  <si>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</si>
  <si>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</si>
  <si>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</si>
  <si>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</si>
  <si>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</si>
  <si>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</si>
  <si>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</si>
  <si>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</si>
  <si>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</si>
  <si>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</si>
  <si>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</si>
  <si>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</si>
  <si>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</si>
  <si>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</si>
  <si>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</si>
  <si>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</si>
  <si>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</si>
  <si>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</si>
  <si>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</si>
  <si>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</si>
  <si>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</si>
  <si>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</si>
  <si>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</si>
  <si>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</si>
  <si>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</si>
  <si>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</si>
  <si>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</si>
  <si>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</si>
  <si>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</si>
  <si>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</si>
  <si>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</si>
  <si>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</si>
  <si>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</si>
  <si>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</si>
  <si>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</si>
  <si>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</si>
  <si>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</si>
  <si>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1" type="noConversion"/>
  </si>
  <si>
    <r>
      <rPr>
        <sz val="10"/>
        <color indexed="8"/>
        <rFont val="宋体"/>
        <family val="3"/>
        <charset val="134"/>
      </rPr>
      <t>土地价值</t>
    </r>
    <phoneticPr fontId="94" type="noConversion"/>
  </si>
  <si>
    <r>
      <rPr>
        <sz val="11"/>
        <color indexed="8"/>
        <rFont val="宋体"/>
        <family val="3"/>
        <charset val="134"/>
      </rPr>
      <t>建筑物价值</t>
    </r>
    <phoneticPr fontId="11"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</si>
  <si>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</si>
  <si>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</si>
  <si>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</si>
  <si>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</si>
  <si>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</si>
  <si>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</si>
  <si>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</si>
  <si>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</si>
  <si>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</si>
  <si>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</si>
  <si>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</si>
  <si>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</si>
  <si>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</si>
  <si>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</si>
  <si>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</si>
  <si>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</si>
  <si>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</si>
  <si>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</si>
  <si>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</si>
  <si>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</si>
  <si>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</si>
  <si>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</si>
  <si>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</si>
  <si>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</si>
  <si>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</si>
  <si>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</si>
  <si>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</si>
  <si>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</si>
  <si>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</si>
  <si>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</si>
  <si>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</si>
  <si>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</si>
  <si>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</si>
  <si>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</si>
  <si>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</si>
  <si>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</si>
  <si>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</si>
  <si>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</si>
  <si>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</si>
  <si>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</si>
  <si>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</si>
  <si>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</si>
  <si>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</si>
  <si>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</si>
  <si>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</si>
  <si>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</si>
  <si>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</si>
  <si>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</si>
  <si>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</si>
  <si>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</si>
  <si>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</si>
  <si>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</si>
  <si>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</si>
  <si>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</si>
  <si>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</si>
  <si>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</si>
  <si>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</si>
  <si>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</si>
  <si>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</si>
  <si>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</si>
  <si>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</si>
  <si>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</si>
  <si>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</si>
  <si>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</si>
  <si>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</si>
  <si>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</si>
  <si>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</si>
  <si>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</si>
  <si>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</si>
  <si>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</si>
  <si>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</si>
  <si>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</si>
  <si>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</si>
  <si>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</si>
  <si>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</si>
  <si>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</si>
  <si>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</si>
  <si>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</si>
  <si>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</si>
  <si>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</si>
  <si>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</si>
  <si>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</si>
  <si>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</si>
  <si>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</si>
  <si>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</si>
  <si>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</si>
  <si>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</si>
  <si>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</si>
  <si>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</si>
  <si>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</si>
  <si>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</si>
  <si>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</si>
  <si>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</si>
  <si>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</si>
  <si>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</si>
  <si>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</si>
  <si>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</si>
  <si>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</si>
  <si>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</si>
  <si>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</si>
  <si>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</si>
  <si>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</si>
  <si>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</si>
  <si>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</si>
  <si>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</si>
  <si>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</si>
  <si>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</si>
  <si>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</si>
  <si>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</si>
  <si>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</si>
  <si>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</si>
  <si>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</si>
  <si>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</si>
  <si>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</si>
  <si>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</si>
  <si>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</si>
  <si>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</si>
  <si>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</si>
  <si>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</si>
  <si>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</si>
  <si>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</si>
  <si>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</si>
  <si>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</si>
  <si>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</si>
  <si>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</si>
  <si>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</si>
  <si>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</si>
  <si>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</si>
  <si>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</si>
  <si>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</si>
  <si>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</si>
  <si>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</si>
  <si>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</si>
  <si>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</si>
  <si>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</si>
  <si>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</si>
  <si>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</si>
  <si>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</si>
  <si>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</si>
  <si>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</si>
  <si>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</si>
  <si>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</si>
  <si>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</si>
  <si>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</si>
  <si>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</si>
  <si>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</si>
  <si>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</si>
  <si>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</si>
  <si>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</si>
  <si>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</si>
  <si>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</si>
  <si>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</si>
  <si>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</si>
  <si>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</si>
  <si>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</si>
  <si>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</si>
  <si>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</si>
  <si>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</si>
  <si>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</si>
  <si>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</si>
  <si>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</si>
  <si>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</si>
  <si>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</si>
  <si>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</si>
  <si>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</si>
  <si>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</si>
  <si>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</si>
  <si>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</si>
  <si>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3"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</si>
  <si>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</si>
  <si>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</si>
  <si>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</si>
  <si>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</si>
  <si>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</si>
  <si>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</si>
  <si>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</si>
  <si>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</si>
  <si>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</si>
  <si>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</si>
  <si>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</si>
  <si>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</si>
  <si>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</si>
  <si>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</si>
  <si>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</si>
  <si>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</si>
  <si>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</si>
  <si>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</si>
  <si>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</si>
  <si>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</si>
  <si>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</si>
  <si>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</si>
  <si>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</si>
  <si>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</si>
  <si>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</si>
  <si>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</si>
  <si>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</si>
  <si>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</si>
  <si>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</si>
  <si>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</si>
  <si>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</si>
  <si>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</si>
  <si>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</si>
  <si>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</si>
  <si>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</si>
  <si>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</si>
  <si>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</si>
  <si>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</si>
  <si>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</si>
  <si>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</si>
  <si>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</si>
  <si>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</si>
  <si>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</si>
  <si>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</si>
  <si>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</si>
  <si>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</si>
  <si>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</si>
  <si>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</si>
  <si>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</si>
  <si>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</si>
  <si>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</si>
  <si>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</si>
  <si>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</si>
  <si>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</si>
  <si>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</si>
  <si>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</si>
  <si>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</si>
  <si>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</si>
  <si>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</si>
  <si>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</si>
  <si>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</si>
  <si>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</si>
  <si>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</si>
  <si>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</si>
  <si>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</si>
  <si>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</si>
  <si>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</si>
  <si>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</si>
  <si>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</si>
  <si>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</si>
  <si>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</si>
  <si>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</si>
  <si>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</si>
  <si>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</si>
  <si>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</si>
  <si>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</si>
  <si>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</si>
  <si>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</si>
  <si>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</si>
  <si>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</si>
  <si>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</si>
  <si>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</si>
  <si>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</si>
  <si>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3"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</si>
  <si>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</si>
  <si>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</si>
  <si>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</si>
  <si>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</si>
  <si>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</si>
  <si>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</si>
  <si>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</si>
  <si>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</si>
  <si>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</si>
  <si>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</si>
  <si>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</si>
  <si>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</si>
  <si>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</si>
  <si>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</si>
  <si>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</si>
  <si>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</si>
  <si>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</si>
  <si>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</si>
  <si>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</si>
  <si>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</si>
  <si>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</si>
  <si>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</si>
  <si>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</si>
  <si>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</si>
  <si>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</si>
  <si>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</si>
  <si>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</si>
  <si>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</si>
  <si>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</si>
  <si>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</si>
  <si>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</si>
  <si>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</si>
  <si>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</si>
  <si>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</si>
  <si>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</si>
  <si>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</si>
  <si>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</si>
  <si>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</si>
  <si>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</si>
  <si>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</si>
  <si>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</si>
  <si>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</si>
  <si>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</si>
  <si>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</si>
  <si>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</si>
  <si>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</si>
  <si>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</si>
  <si>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</si>
  <si>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</si>
  <si>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</si>
  <si>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</si>
  <si>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</si>
  <si>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</si>
  <si>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</si>
  <si>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</si>
  <si>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</si>
  <si>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</si>
  <si>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</si>
  <si>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</si>
  <si>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</si>
  <si>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</si>
  <si>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</si>
  <si>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</si>
  <si>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</si>
  <si>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</si>
  <si>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</si>
  <si>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</si>
  <si>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</si>
  <si>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</si>
  <si>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</si>
  <si>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</si>
  <si>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</si>
  <si>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</si>
  <si>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</si>
  <si>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</si>
  <si>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</si>
  <si>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</si>
  <si>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</si>
  <si>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</si>
  <si>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</si>
  <si>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</si>
  <si>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</si>
  <si>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</si>
  <si>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</si>
  <si>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</si>
  <si>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</si>
  <si>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</si>
  <si>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</si>
  <si>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</si>
  <si>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</si>
  <si>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</si>
  <si>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</si>
  <si>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</si>
  <si>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</si>
  <si>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</si>
  <si>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</si>
  <si>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</si>
  <si>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</si>
  <si>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</si>
  <si>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</si>
  <si>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</si>
  <si>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</si>
  <si>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</si>
  <si>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</si>
  <si>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</si>
  <si>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</si>
  <si>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</si>
  <si>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</si>
  <si>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</si>
  <si>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</si>
  <si>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</si>
  <si>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</si>
  <si>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</si>
  <si>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</si>
  <si>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</si>
  <si>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</si>
  <si>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</si>
  <si>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</si>
  <si>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</si>
  <si>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</si>
  <si>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</si>
  <si>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</si>
  <si>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</si>
  <si>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</si>
  <si>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</si>
  <si>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</si>
  <si>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</si>
  <si>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</si>
  <si>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</si>
  <si>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</si>
  <si>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</si>
  <si>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</si>
  <si>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</si>
  <si>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</si>
  <si>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</si>
  <si>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</si>
  <si>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</si>
  <si>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</si>
  <si>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</si>
  <si>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</si>
  <si>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</si>
  <si>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</si>
  <si>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</si>
  <si>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</si>
  <si>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</si>
  <si>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</si>
  <si>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</si>
  <si>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</si>
  <si>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</si>
  <si>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</si>
  <si>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</si>
  <si>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</si>
  <si>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</si>
  <si>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</si>
  <si>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</si>
  <si>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</si>
  <si>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</si>
  <si>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</si>
  <si>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</si>
  <si>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</si>
  <si>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</si>
  <si>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</si>
  <si>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</si>
  <si>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</si>
  <si>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</si>
  <si>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</si>
  <si>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</si>
  <si>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</si>
  <si>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</si>
  <si>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</si>
  <si>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</si>
  <si>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</si>
  <si>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</si>
  <si>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</si>
  <si>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</si>
  <si>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</si>
  <si>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</si>
  <si>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</si>
  <si>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</si>
  <si>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</si>
  <si>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</si>
  <si>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</si>
  <si>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</si>
  <si>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</si>
  <si>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</si>
  <si>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</si>
  <si>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</si>
  <si>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</si>
  <si>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</si>
  <si>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</si>
  <si>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</si>
  <si>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</si>
  <si>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</si>
  <si>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</si>
  <si>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</si>
  <si>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</si>
  <si>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</si>
  <si>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</si>
  <si>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</si>
  <si>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</si>
  <si>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</si>
  <si>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</si>
  <si>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</si>
  <si>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</si>
  <si>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</si>
  <si>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</si>
  <si>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</si>
  <si>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</si>
  <si>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</si>
  <si>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</si>
  <si>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</si>
  <si>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</si>
  <si>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</si>
  <si>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</si>
  <si>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</si>
  <si>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</si>
  <si>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</si>
  <si>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</si>
  <si>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</si>
  <si>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</si>
  <si>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</si>
  <si>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</si>
  <si>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</si>
  <si>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</si>
  <si>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</si>
  <si>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</si>
  <si>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</si>
  <si>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</si>
  <si>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</si>
  <si>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</si>
  <si>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</si>
  <si>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</si>
  <si>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</si>
  <si>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</si>
  <si>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</si>
  <si>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</si>
  <si>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</si>
  <si>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</si>
  <si>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</si>
  <si>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</si>
  <si>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</si>
  <si>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</si>
  <si>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</si>
  <si>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</si>
  <si>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</si>
  <si>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</si>
  <si>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</si>
  <si>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</si>
  <si>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</si>
  <si>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</si>
  <si>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</si>
  <si>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</si>
  <si>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</si>
  <si>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</si>
  <si>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</si>
  <si>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</si>
  <si>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</si>
  <si>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</si>
  <si>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</si>
  <si>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</si>
  <si>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</si>
  <si>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</si>
  <si>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</si>
  <si>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</si>
  <si>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</si>
  <si>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</si>
  <si>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</si>
  <si>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</si>
  <si>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</si>
  <si>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</si>
  <si>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</si>
  <si>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</si>
  <si>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</si>
  <si>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</si>
  <si>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</si>
  <si>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</si>
  <si>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</si>
  <si>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</si>
  <si>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</si>
  <si>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</si>
  <si>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</si>
  <si>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</si>
  <si>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</si>
  <si>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</si>
  <si>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</si>
  <si>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</si>
  <si>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</si>
  <si>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</si>
  <si>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</si>
  <si>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</si>
  <si>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</si>
  <si>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</si>
  <si>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</si>
  <si>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</si>
  <si>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</si>
  <si>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</si>
  <si>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</si>
  <si>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</si>
  <si>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</si>
  <si>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</si>
  <si>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</si>
  <si>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</si>
  <si>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</si>
  <si>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</si>
  <si>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</si>
  <si>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</si>
  <si>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</si>
  <si>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</si>
  <si>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</si>
  <si>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</si>
  <si>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</si>
  <si>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</si>
  <si>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</si>
  <si>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</si>
  <si>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</si>
  <si>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</si>
  <si>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</si>
  <si>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</si>
  <si>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</si>
  <si>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</si>
  <si>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</si>
  <si>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</si>
  <si>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</si>
  <si>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</si>
  <si>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</si>
  <si>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</si>
  <si>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</si>
  <si>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</si>
  <si>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</si>
  <si>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</si>
  <si>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</si>
  <si>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</si>
  <si>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</si>
  <si>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</si>
  <si>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</si>
  <si>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</si>
  <si>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</si>
  <si>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</si>
  <si>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</si>
  <si>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</si>
  <si>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</si>
  <si>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</si>
  <si>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</si>
  <si>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</si>
  <si>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</si>
  <si>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</si>
  <si>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</si>
  <si>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</si>
  <si>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</si>
  <si>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</si>
  <si>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</si>
  <si>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</si>
  <si>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</si>
  <si>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</si>
  <si>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</si>
  <si>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</si>
  <si>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</si>
  <si>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</si>
  <si>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</si>
  <si>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</si>
  <si>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</si>
  <si>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</si>
  <si>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</si>
  <si>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</si>
  <si>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</si>
  <si>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</si>
  <si>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</si>
  <si>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</si>
  <si>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</si>
  <si>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</si>
  <si>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</si>
  <si>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</si>
  <si>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</si>
  <si>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</si>
  <si>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</si>
  <si>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</si>
  <si>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</si>
  <si>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</si>
  <si>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</si>
  <si>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</si>
  <si>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</si>
  <si>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</si>
  <si>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</si>
  <si>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</si>
  <si>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</si>
  <si>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</si>
  <si>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</si>
  <si>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</si>
  <si>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</si>
  <si>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</si>
  <si>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</si>
  <si>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</si>
  <si>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</si>
  <si>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</si>
  <si>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</si>
  <si>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</si>
  <si>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</si>
  <si>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</si>
  <si>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</si>
  <si>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</si>
  <si>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</si>
  <si>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</si>
  <si>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</si>
  <si>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</si>
  <si>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</si>
  <si>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</si>
  <si>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</si>
  <si>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</si>
  <si>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</si>
  <si>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</si>
  <si>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</si>
  <si>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</si>
  <si>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</si>
  <si>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</si>
  <si>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</si>
  <si>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</si>
  <si>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</si>
  <si>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</si>
  <si>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</si>
  <si>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</si>
  <si>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</si>
  <si>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</si>
  <si>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</si>
  <si>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</si>
  <si>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</si>
  <si>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</si>
  <si>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</si>
  <si>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</si>
  <si>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</si>
  <si>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</si>
  <si>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</si>
  <si>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</si>
  <si>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</si>
  <si>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</si>
  <si>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</si>
  <si>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</si>
  <si>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</si>
  <si>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</si>
  <si>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</si>
  <si>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</si>
  <si>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</si>
  <si>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</si>
  <si>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</si>
  <si>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</si>
  <si>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</si>
  <si>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</si>
  <si>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</si>
  <si>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</si>
  <si>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</si>
  <si>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</si>
  <si>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</si>
  <si>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</si>
  <si>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</si>
  <si>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</si>
  <si>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</si>
  <si>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</si>
  <si>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</si>
  <si>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</si>
  <si>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</si>
  <si>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</si>
  <si>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</si>
  <si>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</si>
  <si>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</si>
  <si>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</si>
  <si>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</si>
  <si>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</si>
  <si>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</si>
  <si>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</si>
  <si>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1"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</si>
  <si>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</si>
  <si>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</si>
  <si>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</si>
  <si>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</si>
  <si>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</si>
  <si>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</si>
  <si>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</si>
  <si>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</si>
  <si>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</si>
  <si>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</si>
  <si>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</si>
  <si>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</si>
  <si>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</si>
  <si>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</si>
  <si>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</si>
  <si>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</si>
  <si>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</si>
  <si>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</si>
  <si>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</si>
  <si>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</si>
  <si>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</si>
  <si>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</si>
  <si>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</si>
  <si>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</si>
  <si>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</si>
  <si>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</si>
  <si>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</si>
  <si>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</si>
  <si>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</si>
  <si>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</si>
  <si>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</si>
  <si>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</si>
  <si>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</si>
  <si>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</si>
  <si>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</si>
  <si>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1"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</si>
  <si>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</si>
  <si>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</si>
  <si>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</si>
  <si>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</si>
  <si>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</si>
  <si>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</si>
  <si>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</si>
  <si>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</si>
  <si>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</si>
  <si>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</si>
  <si>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</si>
  <si>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</si>
  <si>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</si>
  <si>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</si>
  <si>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</si>
  <si>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</si>
  <si>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</si>
  <si>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</si>
  <si>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</si>
  <si>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</si>
  <si>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</si>
  <si>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</si>
  <si>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</si>
  <si>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</si>
  <si>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</si>
  <si>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</si>
  <si>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</si>
  <si>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</si>
  <si>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</si>
  <si>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</si>
  <si>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</si>
  <si>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</si>
  <si>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</si>
  <si>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</si>
  <si>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</si>
  <si>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</si>
  <si>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</si>
  <si>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</si>
  <si>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</si>
  <si>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</si>
  <si>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</si>
  <si>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</si>
  <si>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</si>
  <si>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</si>
  <si>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</si>
  <si>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</si>
  <si>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</si>
  <si>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</si>
  <si>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</si>
  <si>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</si>
  <si>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</si>
  <si>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</si>
  <si>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</si>
  <si>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</si>
  <si>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</si>
  <si>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</si>
  <si>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</si>
  <si>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</si>
  <si>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</si>
  <si>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</si>
  <si>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</si>
  <si>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</si>
  <si>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</si>
  <si>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</si>
  <si>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</si>
  <si>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</si>
  <si>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</si>
  <si>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</si>
  <si>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</si>
  <si>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</si>
  <si>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</si>
  <si>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</si>
  <si>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</si>
  <si>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</si>
  <si>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</si>
  <si>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</si>
  <si>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</si>
  <si>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</si>
  <si>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</si>
  <si>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</si>
  <si>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</si>
  <si>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</si>
  <si>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</si>
  <si>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</si>
  <si>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</si>
  <si>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</si>
  <si>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</si>
  <si>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</si>
  <si>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</si>
  <si>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</si>
  <si>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</si>
  <si>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</si>
  <si>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</si>
  <si>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</si>
  <si>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</si>
  <si>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</si>
  <si>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</si>
  <si>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</si>
  <si>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</si>
  <si>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</si>
  <si>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</si>
  <si>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</si>
  <si>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</si>
  <si>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</si>
  <si>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</si>
  <si>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</si>
  <si>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</si>
  <si>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</si>
  <si>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级别开发程度</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</si>
  <si>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</si>
  <si>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</si>
  <si>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</si>
  <si>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</si>
  <si>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</si>
  <si>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</si>
  <si>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</si>
  <si>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</si>
  <si>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</si>
  <si>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</si>
  <si>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</si>
  <si>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</si>
  <si>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</si>
  <si>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</si>
  <si>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</si>
  <si>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</si>
  <si>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</si>
  <si>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</si>
  <si>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</si>
  <si>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</si>
  <si>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</si>
  <si>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</si>
  <si>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</si>
  <si>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</si>
  <si>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</si>
  <si>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</si>
  <si>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</si>
  <si>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</si>
  <si>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</si>
  <si>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</si>
  <si>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</si>
  <si>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</si>
  <si>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</si>
  <si>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</si>
  <si>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</si>
  <si>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</si>
  <si>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</si>
  <si>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</si>
  <si>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</si>
  <si>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</si>
  <si>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</si>
  <si>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</si>
  <si>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</si>
  <si>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</si>
  <si>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</si>
  <si>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</si>
  <si>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9" type="noConversion"/>
  </si>
  <si>
    <r>
      <rPr>
        <sz val="10"/>
        <color indexed="8"/>
        <rFont val="宋体"/>
        <family val="3"/>
        <charset val="134"/>
      </rPr>
      <t>价值时点</t>
    </r>
    <phoneticPr fontId="89" type="noConversion"/>
  </si>
  <si>
    <r>
      <rPr>
        <sz val="10"/>
        <color indexed="8"/>
        <rFont val="宋体"/>
        <family val="3"/>
        <charset val="134"/>
      </rPr>
      <t>签字估价师</t>
    </r>
    <phoneticPr fontId="89" type="noConversion"/>
  </si>
  <si>
    <r>
      <rPr>
        <sz val="10"/>
        <color indexed="8"/>
        <rFont val="宋体"/>
        <family val="3"/>
        <charset val="134"/>
      </rPr>
      <t>估价委托人</t>
    </r>
    <r>
      <rPr>
        <sz val="10"/>
        <color indexed="8"/>
        <rFont val="Arial"/>
        <family val="2"/>
      </rPr>
      <t xml:space="preserve">  </t>
    </r>
    <phoneticPr fontId="87"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</si>
  <si>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7" type="noConversion"/>
  </si>
  <si>
    <r>
      <rPr>
        <sz val="10"/>
        <color indexed="8"/>
        <rFont val="宋体"/>
        <family val="3"/>
        <charset val="134"/>
      </rPr>
      <t>借款方</t>
    </r>
    <phoneticPr fontId="9" type="noConversion"/>
  </si>
  <si>
    <r>
      <rPr>
        <sz val="10"/>
        <color indexed="8"/>
        <rFont val="宋体"/>
        <family val="3"/>
        <charset val="134"/>
      </rPr>
      <t>估价目的</t>
    </r>
    <phoneticPr fontId="87" type="noConversion"/>
  </si>
  <si>
    <r>
      <rPr>
        <sz val="10"/>
        <color indexed="8"/>
        <rFont val="宋体"/>
        <family val="3"/>
        <charset val="134"/>
      </rPr>
      <t>抵押结果包含：</t>
    </r>
    <phoneticPr fontId="89" type="noConversion"/>
  </si>
  <si>
    <r>
      <rPr>
        <sz val="10"/>
        <color indexed="8"/>
        <rFont val="宋体"/>
        <family val="3"/>
        <charset val="134"/>
      </rPr>
      <t>价值类型</t>
    </r>
    <phoneticPr fontId="87" type="noConversion"/>
  </si>
  <si>
    <r>
      <rPr>
        <sz val="10"/>
        <color indexed="8"/>
        <rFont val="宋体"/>
        <family val="3"/>
        <charset val="134"/>
      </rPr>
      <t>项目所在城市</t>
    </r>
    <phoneticPr fontId="9" type="noConversion"/>
  </si>
  <si>
    <r>
      <rPr>
        <sz val="10"/>
        <color indexed="8"/>
        <rFont val="宋体"/>
        <family val="3"/>
        <charset val="134"/>
      </rPr>
      <t>坐落</t>
    </r>
    <phoneticPr fontId="87" type="noConversion"/>
  </si>
  <si>
    <r>
      <rPr>
        <sz val="10"/>
        <color indexed="8"/>
        <rFont val="宋体"/>
        <family val="3"/>
        <charset val="134"/>
      </rPr>
      <t>不动产权利人</t>
    </r>
    <phoneticPr fontId="9" type="noConversion"/>
  </si>
  <si>
    <r>
      <rPr>
        <sz val="10"/>
        <color indexed="8"/>
        <rFont val="宋体"/>
        <family val="3"/>
        <charset val="134"/>
      </rPr>
      <t>土地性质</t>
    </r>
    <phoneticPr fontId="87"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</si>
  <si>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</si>
  <si>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</si>
  <si>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</si>
  <si>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</si>
  <si>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</si>
  <si>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</si>
  <si>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</si>
  <si>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</si>
  <si>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</si>
  <si>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</si>
  <si>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7" type="noConversion"/>
  </si>
  <si>
    <r>
      <rPr>
        <sz val="10"/>
        <color indexed="8"/>
        <rFont val="宋体"/>
        <family val="3"/>
        <charset val="134"/>
      </rPr>
      <t>剩余土地年限</t>
    </r>
    <phoneticPr fontId="9" type="noConversion"/>
  </si>
  <si>
    <r>
      <rPr>
        <sz val="10"/>
        <color indexed="8"/>
        <rFont val="宋体"/>
        <family val="3"/>
        <charset val="134"/>
      </rPr>
      <t>面积指标</t>
    </r>
    <phoneticPr fontId="87" type="noConversion"/>
  </si>
  <si>
    <r>
      <rPr>
        <sz val="10"/>
        <color indexed="8"/>
        <rFont val="宋体"/>
        <family val="3"/>
        <charset val="134"/>
      </rPr>
      <t>建筑面积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</si>
  <si>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</si>
  <si>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</si>
  <si>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</si>
  <si>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</si>
  <si>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</si>
  <si>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</si>
  <si>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</si>
  <si>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</si>
  <si>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</si>
  <si>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</si>
  <si>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</si>
  <si>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抵押情况描述</t>
    </r>
    <phoneticPr fontId="89" type="noConversion"/>
  </si>
  <si>
    <r>
      <rPr>
        <sz val="10"/>
        <color indexed="8"/>
        <rFont val="宋体"/>
        <family val="3"/>
        <charset val="134"/>
      </rPr>
      <t>《房屋所有权证》</t>
    </r>
  </si>
  <si>
    <r>
      <rPr>
        <sz val="10"/>
        <color theme="9" tint="-0.249977111117893"/>
        <rFont val="宋体"/>
        <family val="3"/>
        <charset val="134"/>
      </rPr>
      <t>《房屋他项权利证书》</t>
    </r>
    <phoneticPr fontId="89" type="noConversion"/>
  </si>
  <si>
    <r>
      <rPr>
        <sz val="10"/>
        <color indexed="8"/>
        <rFont val="宋体"/>
        <family val="3"/>
        <charset val="134"/>
      </rPr>
      <t>《国有土地使用权》</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</si>
  <si>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</si>
  <si>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</si>
  <si>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</si>
  <si>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</si>
  <si>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</si>
  <si>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</si>
  <si>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</si>
  <si>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</si>
  <si>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</si>
  <si>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4" type="noConversion"/>
  </si>
  <si>
    <r>
      <rPr>
        <sz val="10"/>
        <color indexed="8"/>
        <rFont val="宋体"/>
        <family val="3"/>
        <charset val="134"/>
      </rPr>
      <t>二通</t>
    </r>
    <phoneticPr fontId="94" type="noConversion"/>
  </si>
  <si>
    <r>
      <rPr>
        <sz val="10"/>
        <color indexed="8"/>
        <rFont val="宋体"/>
        <family val="3"/>
        <charset val="134"/>
      </rPr>
      <t>三通</t>
    </r>
    <phoneticPr fontId="94" type="noConversion"/>
  </si>
  <si>
    <r>
      <rPr>
        <sz val="10"/>
        <color indexed="8"/>
        <rFont val="宋体"/>
        <family val="3"/>
        <charset val="134"/>
      </rPr>
      <t>四通</t>
    </r>
    <phoneticPr fontId="94" type="noConversion"/>
  </si>
  <si>
    <r>
      <rPr>
        <sz val="10"/>
        <color indexed="8"/>
        <rFont val="宋体"/>
        <family val="3"/>
        <charset val="134"/>
      </rPr>
      <t>五通</t>
    </r>
    <phoneticPr fontId="94" type="noConversion"/>
  </si>
  <si>
    <r>
      <rPr>
        <sz val="10"/>
        <color indexed="8"/>
        <rFont val="宋体"/>
        <family val="3"/>
        <charset val="134"/>
      </rPr>
      <t>六通</t>
    </r>
    <phoneticPr fontId="94" type="noConversion"/>
  </si>
  <si>
    <r>
      <rPr>
        <sz val="10"/>
        <color indexed="8"/>
        <rFont val="宋体"/>
        <family val="3"/>
        <charset val="134"/>
      </rPr>
      <t>七通</t>
    </r>
    <phoneticPr fontId="94" type="noConversion"/>
  </si>
  <si>
    <r>
      <rPr>
        <sz val="10"/>
        <color indexed="8"/>
        <rFont val="宋体"/>
        <family val="3"/>
        <charset val="134"/>
      </rPr>
      <t>估价对象</t>
    </r>
    <phoneticPr fontId="94"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</si>
  <si>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</si>
  <si>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</si>
  <si>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</si>
  <si>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</si>
  <si>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</si>
  <si>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</si>
  <si>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</si>
  <si>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</si>
  <si>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</si>
  <si>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</si>
  <si>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</si>
  <si>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</si>
  <si>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</si>
  <si>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</si>
  <si>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</si>
  <si>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</si>
  <si>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</si>
  <si>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</si>
  <si>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</si>
  <si>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</si>
  <si>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</si>
  <si>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</si>
  <si>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</si>
  <si>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</si>
  <si>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</si>
  <si>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</si>
  <si>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</si>
  <si>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theme="9" tint="-0.249977111117893"/>
        <rFont val="宋体"/>
        <family val="3"/>
        <charset val="134"/>
      </rPr>
      <t>估价对象周边道路状况、公共交通通达情况、停车便捷程度，综合评价交通便捷度较好</t>
    </r>
    <phoneticPr fontId="44"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</si>
  <si>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</si>
  <si>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</si>
  <si>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theme="9" tint="-0.249977111117893"/>
        <rFont val="宋体"/>
        <family val="3"/>
        <charset val="134"/>
      </rPr>
      <t>估价对象所在区域公共配套设施齐备情况</t>
    </r>
    <phoneticPr fontId="44"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</si>
  <si>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</si>
  <si>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</si>
  <si>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theme="9" tint="-0.249977111117893"/>
        <rFont val="宋体"/>
        <family val="3"/>
        <charset val="134"/>
      </rPr>
      <t>估价对象所在区域基础设施水平</t>
    </r>
    <phoneticPr fontId="28" type="noConversion"/>
  </si>
  <si>
    <r>
      <rPr>
        <sz val="10"/>
        <color indexed="8"/>
        <rFont val="宋体"/>
        <family val="3"/>
        <charset val="134"/>
      </rPr>
      <t>环境状况</t>
    </r>
    <phoneticPr fontId="32" type="noConversion"/>
  </si>
  <si>
    <r>
      <rPr>
        <sz val="10"/>
        <color theme="9" tint="-0.249977111117893"/>
        <rFont val="宋体"/>
        <family val="3"/>
        <charset val="134"/>
      </rPr>
      <t>该园区内是否有污染型企业，绿化情况，卫生条件，整体环境状况判断</t>
    </r>
    <phoneticPr fontId="44"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</si>
  <si>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</si>
  <si>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</si>
  <si>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</si>
  <si>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</si>
  <si>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</si>
  <si>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</si>
  <si>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</si>
  <si>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</si>
  <si>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</si>
  <si>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</si>
  <si>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</si>
  <si>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</si>
  <si>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</si>
  <si>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</si>
  <si>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</si>
  <si>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</si>
  <si>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4"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</si>
  <si>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</si>
  <si>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</si>
  <si>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</si>
  <si>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</si>
  <si>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</si>
  <si>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</si>
  <si>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</si>
  <si>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</si>
  <si>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</si>
  <si>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</si>
  <si>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</si>
  <si>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</si>
  <si>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</si>
  <si>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</si>
  <si>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</si>
  <si>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</si>
  <si>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</si>
  <si>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</si>
  <si>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</si>
  <si>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</si>
  <si>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</si>
  <si>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</si>
  <si>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</si>
  <si>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</si>
  <si>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t>★地下商业不考虑路线价修正★</t>
    <phoneticPr fontId="81"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</si>
  <si>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</si>
  <si>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</si>
  <si>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</si>
  <si>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</si>
  <si>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</si>
  <si>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</si>
  <si>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</si>
  <si>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</si>
  <si>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</si>
  <si>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</si>
  <si>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</si>
  <si>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</si>
  <si>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</si>
  <si>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</si>
  <si>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</si>
  <si>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</si>
  <si>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</si>
  <si>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</si>
  <si>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</si>
  <si>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</si>
  <si>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</si>
  <si>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</si>
  <si>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</si>
  <si>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</si>
  <si>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</si>
  <si>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</si>
  <si>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</si>
  <si>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</si>
  <si>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</si>
  <si>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</si>
  <si>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</si>
  <si>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</si>
  <si>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</si>
  <si>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</si>
  <si>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</si>
  <si>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</si>
  <si>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</si>
  <si>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</si>
  <si>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</si>
  <si>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</si>
  <si>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</si>
  <si>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</si>
  <si>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</si>
  <si>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</si>
  <si>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</si>
  <si>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</si>
  <si>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</si>
  <si>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</si>
  <si>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</si>
  <si>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</si>
  <si>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</si>
  <si>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</si>
  <si>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</si>
  <si>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</si>
  <si>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</si>
  <si>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</si>
  <si>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</si>
  <si>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</si>
  <si>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</si>
  <si>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</si>
  <si>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</si>
  <si>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</si>
  <si>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</si>
  <si>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</si>
  <si>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</si>
  <si>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</si>
  <si>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</si>
  <si>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</si>
  <si>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</si>
  <si>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</si>
  <si>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</si>
  <si>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</si>
  <si>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</si>
  <si>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</si>
  <si>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</si>
  <si>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</si>
  <si>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</si>
  <si>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</si>
  <si>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</si>
  <si>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</si>
  <si>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</si>
  <si>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</si>
  <si>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</si>
  <si>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</si>
  <si>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</si>
  <si>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</si>
  <si>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</si>
  <si>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</si>
  <si>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</si>
  <si>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</si>
  <si>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</si>
  <si>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</si>
  <si>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</si>
  <si>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</si>
  <si>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</si>
  <si>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</si>
  <si>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</si>
  <si>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</si>
  <si>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</si>
  <si>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</si>
  <si>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</si>
  <si>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</si>
  <si>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</si>
  <si>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</si>
  <si>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</si>
  <si>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</si>
  <si>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</si>
  <si>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</si>
  <si>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</si>
  <si>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</si>
  <si>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</si>
  <si>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</si>
  <si>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</si>
  <si>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</si>
  <si>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</si>
  <si>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</si>
  <si>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</si>
  <si>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</si>
  <si>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</si>
  <si>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</si>
  <si>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</si>
  <si>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</si>
  <si>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</si>
  <si>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</si>
  <si>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</si>
  <si>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</si>
  <si>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</si>
  <si>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r>
      <rPr>
        <b/>
        <sz val="16"/>
        <color indexed="10"/>
        <rFont val="宋体"/>
        <family val="3"/>
        <charset val="134"/>
      </rPr>
      <t>收益法</t>
    </r>
    <r>
      <rPr>
        <b/>
        <sz val="12"/>
        <rFont val="宋体"/>
        <family val="3"/>
        <charset val="134"/>
      </rPr>
      <t>（酒店模型）</t>
    </r>
    <phoneticPr fontId="6" type="noConversion"/>
  </si>
  <si>
    <t>2021-4</t>
    <phoneticPr fontId="6" type="noConversion"/>
  </si>
  <si>
    <t>2022-1</t>
    <phoneticPr fontId="143" type="noConversion"/>
  </si>
  <si>
    <t>宁小鳗</t>
    <phoneticPr fontId="88" type="noConversion"/>
  </si>
  <si>
    <t>2022A-022</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</si>
  <si>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</si>
  <si>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</si>
  <si>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</si>
  <si>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</si>
  <si>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</si>
  <si>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</si>
  <si>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参照基准</t>
    <phoneticPr fontId="6" type="noConversion"/>
  </si>
  <si>
    <t>一级类</t>
    <phoneticPr fontId="6" type="noConversion"/>
  </si>
  <si>
    <t>二级分类</t>
    <phoneticPr fontId="6" type="noConversion"/>
  </si>
  <si>
    <t>用途修正系数</t>
    <phoneticPr fontId="6" type="noConversion"/>
  </si>
  <si>
    <t>商业</t>
    <phoneticPr fontId="6" type="noConversion"/>
  </si>
  <si>
    <t>商服</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</si>
  <si>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</si>
  <si>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</si>
  <si>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</si>
  <si>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</si>
  <si>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</si>
  <si>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</si>
  <si>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</si>
  <si>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</si>
  <si>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</si>
  <si>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</si>
  <si>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</si>
  <si>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</si>
  <si>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6" type="noConversion"/>
  </si>
  <si>
    <t>商务金融用地</t>
    <phoneticPr fontId="6"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</si>
  <si>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</si>
  <si>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6"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</si>
  <si>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</si>
  <si>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</si>
  <si>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</si>
  <si>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</si>
  <si>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</si>
  <si>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</si>
  <si>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</si>
  <si>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</si>
  <si>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</si>
  <si>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</si>
  <si>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</si>
  <si>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</si>
  <si>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</si>
  <si>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</si>
  <si>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</si>
  <si>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</si>
  <si>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</si>
  <si>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</si>
  <si>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</si>
  <si>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</si>
  <si>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6"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</si>
  <si>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</si>
  <si>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</si>
  <si>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</si>
  <si>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</si>
  <si>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</si>
  <si>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</si>
  <si>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6" type="noConversion"/>
  </si>
  <si>
    <t>城镇住宅用地</t>
    <phoneticPr fontId="6" type="noConversion"/>
  </si>
  <si>
    <t>指城镇用于生活居住的各类房屋用地及其附属设施用地,不含配套的商业服务设施等用地。</t>
  </si>
  <si>
    <t>工业</t>
    <phoneticPr fontId="6" type="noConversion"/>
  </si>
  <si>
    <t>工矿仓储</t>
    <phoneticPr fontId="6"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</si>
  <si>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</si>
  <si>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</si>
  <si>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</si>
  <si>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</si>
  <si>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</si>
  <si>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</si>
  <si>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6" type="noConversion"/>
  </si>
  <si>
    <t>工业研发用地(M4)指以技术研发、中试为主,兼具小规模的生产、技术服务、管理等功能的用地。</t>
  </si>
  <si>
    <t>交通运输</t>
    <phoneticPr fontId="6"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</si>
  <si>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</si>
  <si>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</si>
  <si>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</si>
  <si>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</si>
  <si>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</si>
  <si>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</si>
  <si>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</si>
  <si>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</si>
  <si>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</si>
  <si>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</si>
  <si>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</si>
  <si>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</si>
  <si>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</si>
  <si>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</si>
  <si>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</si>
  <si>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</si>
  <si>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</si>
  <si>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</si>
  <si>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</si>
  <si>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</si>
  <si>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</si>
  <si>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</si>
  <si>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</si>
  <si>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</si>
  <si>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</si>
  <si>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</si>
  <si>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</si>
  <si>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</si>
  <si>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</si>
  <si>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</si>
  <si>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</si>
  <si>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</si>
  <si>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</si>
  <si>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</si>
  <si>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</si>
  <si>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</si>
  <si>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</si>
  <si>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</si>
  <si>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</si>
  <si>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</si>
  <si>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</si>
  <si>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</si>
  <si>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</si>
  <si>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</si>
  <si>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</si>
  <si>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</si>
  <si>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</si>
  <si>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</si>
  <si>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</si>
  <si>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</si>
  <si>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</si>
  <si>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</si>
  <si>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</si>
  <si>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</si>
  <si>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</si>
  <si>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</si>
  <si>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</si>
  <si>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</si>
  <si>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</si>
  <si>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</si>
  <si>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</si>
  <si>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</si>
  <si>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</si>
  <si>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</si>
  <si>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</si>
  <si>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</si>
  <si>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</si>
  <si>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</si>
  <si>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</si>
  <si>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</si>
  <si>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</si>
  <si>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</si>
  <si>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</si>
  <si>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</si>
  <si>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</si>
  <si>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</si>
  <si>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</si>
  <si>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</si>
  <si>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</si>
  <si>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</si>
  <si>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</si>
  <si>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</si>
  <si>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</si>
  <si>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</si>
  <si>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</si>
  <si>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</si>
  <si>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</si>
  <si>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</si>
  <si>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</si>
  <si>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</si>
  <si>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</si>
  <si>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</si>
  <si>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</si>
  <si>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</si>
  <si>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</si>
  <si>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</si>
  <si>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</si>
  <si>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</si>
  <si>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</si>
  <si>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</si>
  <si>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</si>
  <si>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</si>
  <si>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</si>
  <si>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</si>
  <si>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</si>
  <si>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</si>
  <si>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</si>
  <si>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</si>
  <si>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</si>
  <si>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</si>
  <si>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</si>
  <si>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</si>
  <si>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</si>
  <si>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</si>
  <si>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</si>
  <si>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</si>
  <si>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</si>
  <si>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</si>
  <si>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</si>
  <si>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</si>
  <si>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</si>
  <si>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</si>
  <si>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</si>
  <si>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</si>
  <si>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</si>
  <si>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</si>
  <si>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</si>
  <si>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</si>
  <si>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</si>
  <si>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</si>
  <si>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</si>
  <si>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</si>
  <si>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</si>
  <si>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</si>
  <si>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</si>
  <si>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</si>
  <si>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</si>
  <si>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</si>
  <si>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</si>
  <si>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</si>
  <si>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</si>
  <si>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</si>
  <si>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</si>
  <si>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</si>
  <si>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</si>
  <si>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</si>
  <si>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</si>
  <si>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</si>
  <si>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</si>
  <si>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</si>
  <si>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</si>
  <si>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</si>
  <si>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</si>
  <si>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</si>
  <si>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</si>
  <si>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</si>
  <si>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</si>
  <si>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</si>
  <si>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</si>
  <si>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</si>
  <si>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</si>
  <si>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郑燚</t>
  </si>
  <si>
    <t>吴薇</t>
  </si>
  <si>
    <t>渤海银行</t>
    <phoneticPr fontId="9"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</si>
  <si>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</si>
  <si>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</si>
  <si>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</si>
  <si>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</si>
  <si>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</si>
  <si>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</si>
  <si>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</si>
  <si>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</si>
  <si>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</si>
  <si>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</si>
  <si>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</si>
  <si>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</si>
  <si>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</si>
  <si>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</si>
  <si>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</si>
  <si>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</si>
  <si>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</si>
  <si>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</si>
  <si>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</si>
  <si>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</si>
  <si>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</si>
  <si>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</si>
  <si>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</si>
  <si>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</si>
  <si>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</si>
  <si>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</si>
  <si>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</si>
  <si>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</si>
  <si>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</si>
  <si>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</si>
  <si>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</si>
  <si>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</si>
  <si>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</si>
  <si>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</si>
  <si>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</si>
  <si>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</si>
  <si>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</si>
  <si>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</si>
  <si>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</si>
  <si>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</si>
  <si>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</si>
  <si>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</si>
  <si>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</si>
  <si>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</si>
  <si>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</si>
  <si>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</si>
  <si>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</si>
  <si>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</si>
  <si>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</si>
  <si>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</si>
  <si>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</si>
  <si>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</si>
  <si>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</si>
  <si>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</si>
  <si>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</si>
  <si>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</si>
  <si>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</si>
  <si>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</si>
  <si>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</si>
  <si>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</si>
  <si>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</si>
  <si>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</si>
  <si>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</si>
  <si>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</si>
  <si>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</si>
  <si>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</si>
  <si>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</si>
  <si>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</si>
  <si>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</si>
  <si>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</si>
  <si>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</si>
  <si>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</si>
  <si>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</si>
  <si>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</si>
  <si>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6" type="noConversion"/>
  </si>
  <si>
    <t>快速</t>
    <phoneticPr fontId="6" type="noConversion"/>
  </si>
  <si>
    <t>主</t>
    <phoneticPr fontId="6" type="noConversion"/>
  </si>
  <si>
    <t>次</t>
    <phoneticPr fontId="6" type="noConversion"/>
  </si>
  <si>
    <t>支</t>
    <phoneticPr fontId="6" type="noConversion"/>
  </si>
  <si>
    <t>四级</t>
    <phoneticPr fontId="34" type="noConversion"/>
  </si>
  <si>
    <t>五级</t>
    <phoneticPr fontId="34" type="noConversion"/>
  </si>
  <si>
    <t>六级</t>
    <phoneticPr fontId="34" type="noConversion"/>
  </si>
  <si>
    <t>三级</t>
    <phoneticPr fontId="34" type="noConversion"/>
  </si>
  <si>
    <t>规则</t>
    <phoneticPr fontId="6" type="noConversion"/>
  </si>
  <si>
    <t>较规则</t>
    <phoneticPr fontId="6" type="noConversion"/>
  </si>
  <si>
    <t>较不规则</t>
    <phoneticPr fontId="6" type="noConversion"/>
  </si>
  <si>
    <t>不规则</t>
    <phoneticPr fontId="6" type="noConversion"/>
  </si>
  <si>
    <t>七通</t>
  </si>
  <si>
    <t>六通</t>
  </si>
  <si>
    <t>五通</t>
  </si>
  <si>
    <t>四通</t>
  </si>
  <si>
    <t>三通</t>
  </si>
  <si>
    <t>好</t>
  </si>
  <si>
    <t>较好</t>
  </si>
  <si>
    <t>一般</t>
  </si>
  <si>
    <t>较差</t>
  </si>
  <si>
    <t>差</t>
  </si>
  <si>
    <t>多面临街</t>
  </si>
  <si>
    <t>主</t>
  </si>
  <si>
    <t>较规则</t>
  </si>
  <si>
    <t>双面临街</t>
  </si>
  <si>
    <t>七通</t>
    <phoneticPr fontId="6" type="noConversion"/>
  </si>
  <si>
    <t>按比例</t>
  </si>
  <si>
    <t>钢混</t>
  </si>
  <si>
    <t>非生产用房</t>
  </si>
  <si>
    <t>否</t>
  </si>
  <si>
    <t>收益期后建筑物价值折现</t>
    <phoneticPr fontId="143" type="noConversion"/>
  </si>
  <si>
    <t>成本法</t>
  </si>
  <si>
    <t>现房</t>
  </si>
  <si>
    <t>总价</t>
  </si>
  <si>
    <t>成本比率</t>
  </si>
  <si>
    <t>北京上德置业有限公司</t>
    <phoneticPr fontId="9" type="noConversion"/>
  </si>
  <si>
    <t>大兴区广茂大街19号院商业、办公、地下车库用房房地产</t>
    <phoneticPr fontId="6"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</si>
  <si>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</si>
  <si>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</si>
  <si>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</si>
  <si>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</si>
  <si>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</si>
  <si>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</si>
  <si>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</si>
  <si>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</si>
  <si>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</si>
  <si>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</si>
  <si>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6" type="noConversion"/>
  </si>
  <si>
    <r>
      <t>3</t>
    </r>
    <r>
      <rPr>
        <sz val="10"/>
        <color rgb="FF000000"/>
        <rFont val="宋体"/>
        <family val="2"/>
        <charset val="134"/>
      </rPr>
      <t>号楼</t>
    </r>
    <phoneticPr fontId="6" type="noConversion"/>
  </si>
  <si>
    <r>
      <t>4</t>
    </r>
    <r>
      <rPr>
        <sz val="10"/>
        <color rgb="FF000000"/>
        <rFont val="宋体"/>
        <family val="2"/>
        <charset val="134"/>
      </rPr>
      <t>号楼</t>
    </r>
    <phoneticPr fontId="6" type="noConversion"/>
  </si>
  <si>
    <r>
      <t>100</t>
    </r>
    <r>
      <rPr>
        <sz val="11"/>
        <color rgb="FF000000"/>
        <rFont val="宋体"/>
        <family val="2"/>
        <charset val="134"/>
      </rPr>
      <t>幢</t>
    </r>
    <phoneticPr fontId="6" type="noConversion"/>
  </si>
  <si>
    <t>序号</t>
    <phoneticPr fontId="143" type="noConversion"/>
  </si>
  <si>
    <t>项目</t>
    <phoneticPr fontId="143" type="noConversion"/>
  </si>
  <si>
    <t>合计</t>
    <phoneticPr fontId="143" type="noConversion"/>
  </si>
  <si>
    <t>地上建筑面积</t>
    <phoneticPr fontId="143" type="noConversion"/>
  </si>
  <si>
    <t>地下建筑面积</t>
    <phoneticPr fontId="143" type="noConversion"/>
  </si>
  <si>
    <t>小计</t>
    <phoneticPr fontId="143" type="noConversion"/>
  </si>
  <si>
    <t>办公</t>
    <phoneticPr fontId="143" type="noConversion"/>
  </si>
  <si>
    <t>商业</t>
    <phoneticPr fontId="143" type="noConversion"/>
  </si>
  <si>
    <t>地下商业</t>
    <phoneticPr fontId="143" type="noConversion"/>
  </si>
  <si>
    <t>地下车库</t>
    <phoneticPr fontId="143" type="noConversion"/>
  </si>
  <si>
    <t>非机动车库</t>
    <phoneticPr fontId="143" type="noConversion"/>
  </si>
  <si>
    <t>1号楼</t>
    <phoneticPr fontId="143" type="noConversion"/>
  </si>
  <si>
    <t>13（-3）</t>
    <phoneticPr fontId="143" type="noConversion"/>
  </si>
  <si>
    <t>2号楼</t>
  </si>
  <si>
    <t>12（-3）</t>
    <phoneticPr fontId="143" type="noConversion"/>
  </si>
  <si>
    <t>3号楼</t>
  </si>
  <si>
    <t>4号楼</t>
    <phoneticPr fontId="143" type="noConversion"/>
  </si>
  <si>
    <t>3（-3）</t>
    <phoneticPr fontId="143" type="noConversion"/>
  </si>
  <si>
    <t>100幢</t>
    <phoneticPr fontId="143" type="noConversion"/>
  </si>
  <si>
    <t>地下-1层</t>
    <phoneticPr fontId="143" type="noConversion"/>
  </si>
  <si>
    <t>1205套</t>
    <phoneticPr fontId="143" type="noConversion"/>
  </si>
  <si>
    <t>1层</t>
    <phoneticPr fontId="143" type="noConversion"/>
  </si>
  <si>
    <t>2层</t>
  </si>
  <si>
    <t>3层</t>
  </si>
  <si>
    <t>附属用房</t>
    <phoneticPr fontId="143" type="noConversion"/>
  </si>
  <si>
    <t>楼号</t>
    <phoneticPr fontId="143" type="noConversion"/>
  </si>
  <si>
    <t>房号</t>
    <phoneticPr fontId="143" type="noConversion"/>
  </si>
  <si>
    <t>建筑面积</t>
    <phoneticPr fontId="143" type="noConversion"/>
  </si>
  <si>
    <t>1号楼小计</t>
    <phoneticPr fontId="143" type="noConversion"/>
  </si>
  <si>
    <t>2号楼</t>
    <phoneticPr fontId="143" type="noConversion"/>
  </si>
  <si>
    <t>2号楼小计</t>
    <phoneticPr fontId="143" type="noConversion"/>
  </si>
  <si>
    <t>3号楼</t>
    <phoneticPr fontId="143" type="noConversion"/>
  </si>
  <si>
    <t>3号楼小计</t>
    <phoneticPr fontId="143" type="noConversion"/>
  </si>
  <si>
    <t>独立商业</t>
  </si>
  <si>
    <t>办公楼</t>
  </si>
  <si>
    <t>车库</t>
  </si>
  <si>
    <t>地下车库</t>
    <phoneticPr fontId="10" type="noConversion"/>
  </si>
  <si>
    <t>办公401</t>
  </si>
  <si>
    <t>施工证总价</t>
    <phoneticPr fontId="6" type="noConversion"/>
  </si>
  <si>
    <t>单价</t>
    <phoneticPr fontId="6" type="noConversion"/>
  </si>
  <si>
    <t>收益法办</t>
  </si>
  <si>
    <t>收益法办</t>
    <phoneticPr fontId="19" type="noConversion"/>
  </si>
  <si>
    <t>收益法车</t>
  </si>
  <si>
    <t>收益法车</t>
    <phoneticPr fontId="19" type="noConversion"/>
  </si>
  <si>
    <t>成本法车</t>
    <phoneticPr fontId="19" type="noConversion"/>
  </si>
  <si>
    <t>押一</t>
  </si>
  <si>
    <t>系数</t>
    <phoneticPr fontId="143" type="noConversion"/>
  </si>
  <si>
    <t>地上租金</t>
    <phoneticPr fontId="143" type="noConversion"/>
  </si>
  <si>
    <t>地下租金</t>
    <phoneticPr fontId="143" type="noConversion"/>
  </si>
  <si>
    <t>综合租金</t>
    <phoneticPr fontId="143"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</si>
  <si>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</si>
  <si>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</si>
  <si>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</si>
  <si>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</si>
  <si>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</si>
  <si>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</si>
  <si>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</si>
  <si>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</si>
  <si>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</si>
  <si>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</si>
  <si>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</si>
  <si>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</si>
  <si>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</si>
  <si>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</si>
  <si>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</si>
  <si>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</si>
  <si>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</si>
  <si>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</si>
  <si>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</si>
  <si>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</si>
  <si>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</si>
  <si>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</si>
  <si>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</si>
  <si>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</si>
  <si>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</si>
  <si>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</si>
  <si>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</si>
  <si>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</si>
  <si>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</si>
  <si>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</si>
  <si>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</si>
  <si>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</si>
  <si>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</si>
  <si>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</si>
  <si>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</si>
  <si>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</si>
  <si>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</si>
  <si>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</si>
  <si>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</si>
  <si>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</si>
  <si>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</si>
  <si>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</si>
  <si>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</si>
  <si>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</si>
  <si>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</si>
  <si>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</si>
  <si>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</si>
  <si>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</si>
  <si>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</si>
  <si>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</si>
  <si>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</si>
  <si>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</si>
  <si>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</si>
  <si>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</si>
  <si>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</si>
  <si>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</si>
  <si>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</si>
  <si>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</si>
  <si>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</si>
  <si>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</si>
  <si>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</si>
  <si>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</si>
  <si>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</si>
  <si>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</si>
  <si>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</si>
  <si>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</si>
  <si>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</si>
  <si>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</si>
  <si>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</si>
  <si>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</si>
  <si>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</si>
  <si>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</si>
  <si>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</si>
  <si>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</si>
  <si>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</si>
  <si>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</si>
  <si>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</si>
  <si>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</si>
  <si>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</si>
  <si>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</si>
  <si>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</si>
  <si>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</si>
  <si>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</si>
  <si>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</si>
  <si>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</si>
  <si>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</si>
  <si>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</si>
  <si>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</si>
  <si>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</si>
  <si>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</si>
  <si>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</si>
  <si>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</si>
  <si>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</si>
  <si>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</si>
  <si>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</si>
  <si>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</si>
  <si>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</si>
  <si>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</si>
  <si>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</si>
  <si>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</si>
  <si>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</si>
  <si>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</si>
  <si>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</si>
  <si>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</si>
  <si>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</si>
  <si>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</si>
  <si>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</si>
  <si>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</si>
  <si>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</si>
  <si>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</si>
  <si>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</si>
  <si>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</si>
  <si>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</si>
  <si>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</si>
  <si>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</si>
  <si>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</si>
  <si>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</si>
  <si>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</si>
  <si>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</si>
  <si>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</si>
  <si>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</si>
  <si>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</si>
  <si>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</si>
  <si>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</si>
  <si>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</si>
  <si>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</si>
  <si>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</si>
  <si>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</si>
  <si>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</si>
  <si>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</si>
  <si>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</si>
  <si>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</si>
  <si>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</si>
  <si>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</si>
  <si>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</si>
  <si>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</si>
  <si>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</si>
  <si>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</si>
  <si>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</si>
  <si>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</si>
  <si>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</si>
  <si>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</si>
  <si>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</si>
  <si>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</si>
  <si>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</si>
  <si>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</si>
  <si>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</si>
  <si>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</si>
  <si>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</si>
  <si>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</si>
  <si>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</si>
  <si>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</si>
  <si>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</si>
  <si>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</si>
  <si>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</si>
  <si>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</si>
  <si>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</si>
  <si>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</si>
  <si>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</si>
  <si>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</si>
  <si>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</si>
  <si>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</si>
  <si>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</si>
  <si>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</si>
  <si>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</si>
  <si>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</si>
  <si>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</si>
  <si>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</si>
  <si>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</si>
  <si>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</si>
  <si>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</si>
  <si>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</si>
  <si>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</si>
  <si>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</si>
  <si>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</si>
  <si>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</si>
  <si>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</si>
  <si>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</si>
  <si>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</si>
  <si>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</si>
  <si>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</si>
  <si>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</si>
  <si>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</si>
  <si>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</si>
  <si>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</si>
  <si>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</si>
  <si>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</si>
  <si>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</si>
  <si>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</si>
  <si>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</si>
  <si>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</si>
  <si>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</si>
  <si>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</si>
  <si>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</si>
  <si>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</si>
  <si>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</si>
  <si>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</si>
  <si>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</si>
  <si>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</si>
  <si>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</si>
  <si>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</si>
  <si>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</si>
  <si>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</si>
  <si>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</si>
  <si>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</si>
  <si>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</si>
  <si>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</si>
  <si>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</si>
  <si>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</si>
  <si>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</si>
  <si>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</si>
  <si>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</si>
  <si>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</si>
  <si>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</si>
  <si>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</si>
  <si>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</si>
  <si>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</si>
  <si>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</si>
  <si>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</si>
  <si>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</si>
  <si>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</si>
  <si>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</si>
  <si>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</si>
  <si>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</si>
  <si>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</si>
  <si>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</si>
  <si>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</si>
  <si>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</si>
  <si>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</si>
  <si>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6" type="noConversion"/>
  </si>
  <si>
    <t>估价对象周边道路状况、公共交通通达情况434、954、兴41等，2公里有地铁4号线、停车便捷程度，综合评价交通便捷度一般</t>
    <phoneticPr fontId="6" type="noConversion"/>
  </si>
  <si>
    <t>估价对象所在区域公共配套设施齐备情况一般</t>
    <phoneticPr fontId="6" type="noConversion"/>
  </si>
  <si>
    <t>区域自然环境：金星公园、高米店公园；人文环境：中国人民公安大学团河校区；综合评价环境状况较好</t>
    <phoneticPr fontId="6" type="noConversion"/>
  </si>
  <si>
    <t>估价对象位于高米店南，周边新奥宇大厦、金融大厦等项目，入住率一般，办公集聚程度一般</t>
    <phoneticPr fontId="6"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</si>
  <si>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8" type="noConversion"/>
  </si>
  <si>
    <t>临住总万科广场</t>
    <phoneticPr fontId="34" type="noConversion"/>
  </si>
  <si>
    <t>临万象汇购物中心</t>
    <phoneticPr fontId="34" type="noConversion"/>
  </si>
  <si>
    <t>临地铁东夏河</t>
    <phoneticPr fontId="34" type="noConversion"/>
  </si>
  <si>
    <t>北运河东</t>
    <phoneticPr fontId="34" type="noConversion"/>
  </si>
  <si>
    <t>运河生态公园</t>
    <phoneticPr fontId="34" type="noConversion"/>
  </si>
  <si>
    <t>中国人民大学运河校区</t>
    <phoneticPr fontId="34" type="noConversion"/>
  </si>
  <si>
    <t>临地铁旧宫站</t>
    <phoneticPr fontId="34" type="noConversion"/>
  </si>
  <si>
    <t>凉水河、碧海公园</t>
    <phoneticPr fontId="34" type="noConversion"/>
  </si>
  <si>
    <t>项目局部</t>
  </si>
  <si>
    <t>可出租面积</t>
    <phoneticPr fontId="143" type="noConversion"/>
  </si>
  <si>
    <t>售价</t>
  </si>
  <si>
    <t>办公</t>
    <phoneticPr fontId="35" type="noConversion"/>
  </si>
  <si>
    <t>40-50（含）</t>
  </si>
  <si>
    <t>高速路</t>
    <phoneticPr fontId="6" type="noConversion"/>
  </si>
  <si>
    <t>快速路</t>
    <phoneticPr fontId="6" type="noConversion"/>
  </si>
  <si>
    <t>主干道</t>
    <phoneticPr fontId="6" type="noConversion"/>
  </si>
  <si>
    <t>次干道</t>
    <phoneticPr fontId="6" type="noConversion"/>
  </si>
  <si>
    <t>支路</t>
    <phoneticPr fontId="6" type="noConversion"/>
  </si>
  <si>
    <t>高区</t>
    <phoneticPr fontId="6" type="noConversion"/>
  </si>
  <si>
    <t>中区</t>
    <phoneticPr fontId="6" type="noConversion"/>
  </si>
  <si>
    <t>低区</t>
    <phoneticPr fontId="6" type="noConversion"/>
  </si>
  <si>
    <t>超高层</t>
    <phoneticPr fontId="6" type="noConversion"/>
  </si>
  <si>
    <t>高层</t>
    <phoneticPr fontId="6" type="noConversion"/>
  </si>
  <si>
    <t>中高层</t>
    <phoneticPr fontId="6" type="noConversion"/>
  </si>
  <si>
    <t>低层</t>
    <phoneticPr fontId="6" type="noConversion"/>
  </si>
  <si>
    <t>标准写字楼</t>
    <phoneticPr fontId="6" type="noConversion"/>
  </si>
  <si>
    <t>异形建筑</t>
    <phoneticPr fontId="6" type="noConversion"/>
  </si>
  <si>
    <t>钢混</t>
    <phoneticPr fontId="6" type="noConversion"/>
  </si>
  <si>
    <t>砖混</t>
    <phoneticPr fontId="6" type="noConversion"/>
  </si>
  <si>
    <t>精装修</t>
    <phoneticPr fontId="6" type="noConversion"/>
  </si>
  <si>
    <t>普通装修</t>
    <phoneticPr fontId="6" type="noConversion"/>
  </si>
  <si>
    <t>简装</t>
    <phoneticPr fontId="6" type="noConversion"/>
  </si>
  <si>
    <t>毛坯</t>
    <phoneticPr fontId="6" type="noConversion"/>
  </si>
  <si>
    <t>甲级</t>
    <phoneticPr fontId="6" type="noConversion"/>
  </si>
  <si>
    <t>专业</t>
    <phoneticPr fontId="6" type="noConversion"/>
  </si>
  <si>
    <t>六通</t>
    <phoneticPr fontId="6" type="noConversion"/>
  </si>
  <si>
    <t>五通</t>
    <phoneticPr fontId="6" type="noConversion"/>
  </si>
  <si>
    <t>四通</t>
    <phoneticPr fontId="6" type="noConversion"/>
  </si>
  <si>
    <t>三通</t>
    <phoneticPr fontId="6" type="noConversion"/>
  </si>
  <si>
    <t>标准层高</t>
    <phoneticPr fontId="6" type="noConversion"/>
  </si>
  <si>
    <t>绿地中央广场</t>
    <phoneticPr fontId="6"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</si>
  <si>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</si>
  <si>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</si>
  <si>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</si>
  <si>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</si>
  <si>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</si>
  <si>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</si>
  <si>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</si>
  <si>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</si>
  <si>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</si>
  <si>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</si>
  <si>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</si>
  <si>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</si>
  <si>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</si>
  <si>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</si>
  <si>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5" type="noConversion"/>
  </si>
  <si>
    <t>黄亦路</t>
    <phoneticPr fontId="35" type="noConversion"/>
  </si>
  <si>
    <t>兴创国际中心</t>
    <phoneticPr fontId="6" type="noConversion"/>
  </si>
  <si>
    <t>出租占比</t>
    <phoneticPr fontId="143" type="noConversion"/>
  </si>
  <si>
    <t>用途</t>
    <phoneticPr fontId="143" type="noConversion"/>
  </si>
  <si>
    <t>办公用房合计</t>
    <phoneticPr fontId="143" type="noConversion"/>
  </si>
  <si>
    <t>——</t>
    <phoneticPr fontId="143" type="noConversion"/>
  </si>
  <si>
    <t>所在楼层</t>
    <phoneticPr fontId="143" type="noConversion"/>
  </si>
  <si>
    <t>1至3</t>
    <phoneticPr fontId="143" type="noConversion"/>
  </si>
  <si>
    <t>-1至-3</t>
    <phoneticPr fontId="143" type="noConversion"/>
  </si>
  <si>
    <t>总计</t>
    <phoneticPr fontId="143" type="noConversion"/>
  </si>
  <si>
    <t>利息：取LPR加浮动点数</t>
  </si>
  <si>
    <t>未包含在土地购买价格中</t>
  </si>
  <si>
    <t>全部缴纳</t>
  </si>
  <si>
    <t>已包含在土地取得成本中</t>
  </si>
  <si>
    <t>自持</t>
    <phoneticPr fontId="34" type="noConversion"/>
  </si>
  <si>
    <r>
      <rPr>
        <sz val="11"/>
        <rFont val="宋体"/>
        <family val="3"/>
        <charset val="134"/>
      </rPr>
      <t>全部自持</t>
    </r>
    <r>
      <rPr>
        <sz val="11"/>
        <rFont val="Arial"/>
        <family val="2"/>
      </rPr>
      <t>20</t>
    </r>
    <r>
      <rPr>
        <sz val="11"/>
        <rFont val="宋体"/>
        <family val="3"/>
        <charset val="134"/>
      </rPr>
      <t>年</t>
    </r>
    <phoneticPr fontId="34" type="noConversion"/>
  </si>
  <si>
    <t>无自持</t>
    <phoneticPr fontId="3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</si>
  <si>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4" type="noConversion"/>
  </si>
  <si>
    <r>
      <t>1</t>
    </r>
    <r>
      <rPr>
        <sz val="10"/>
        <color rgb="FF000000"/>
        <rFont val="宋体"/>
        <family val="2"/>
        <charset val="134"/>
      </rPr>
      <t>号楼</t>
    </r>
    <phoneticPr fontId="6" type="noConversion"/>
  </si>
  <si>
    <t>办公</t>
    <phoneticPr fontId="10" type="noConversion"/>
  </si>
  <si>
    <t>成本法办</t>
  </si>
  <si>
    <t>收益法（汇总）</t>
  </si>
  <si>
    <t>收益法（汇总）</t>
    <phoneticPr fontId="19" type="noConversion"/>
  </si>
  <si>
    <t>项目全部</t>
  </si>
  <si>
    <t>未付工程款</t>
    <phoneticPr fontId="11" type="noConversion"/>
  </si>
  <si>
    <t>同一抵押权人同一抵押物续贷</t>
  </si>
  <si>
    <t>住总万科广场</t>
    <phoneticPr fontId="34" type="noConversion"/>
  </si>
  <si>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</si>
  <si>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6" type="noConversion"/>
  </si>
  <si>
    <t>总价值</t>
    <phoneticPr fontId="6" type="noConversion"/>
  </si>
  <si>
    <t>未付工程款</t>
    <phoneticPr fontId="6" type="noConversion"/>
  </si>
  <si>
    <t>地下车库</t>
    <phoneticPr fontId="6" type="noConversion"/>
  </si>
  <si>
    <t>收益价值</t>
    <phoneticPr fontId="6" type="noConversion"/>
  </si>
  <si>
    <t>合计</t>
    <phoneticPr fontId="6" type="noConversion"/>
  </si>
  <si>
    <t>拆分总价值</t>
    <phoneticPr fontId="6" type="noConversion"/>
  </si>
  <si>
    <t>扣减未付工程款</t>
    <phoneticPr fontId="6" type="noConversion"/>
  </si>
  <si>
    <t>拆分价值</t>
    <phoneticPr fontId="6" type="noConversion"/>
  </si>
  <si>
    <t>楼面单价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</si>
</sst>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7">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1" fillId="0" borderId="0">
      <alignment vertical="center"/>
    </xf>
    <xf numFmtId="0" fontId="101" fillId="0" borderId="0"/>
    <xf numFmtId="0" fontId="101" fillId="0" borderId="0">
      <alignment vertical="center"/>
    </xf>
    <xf numFmtId="0" fontId="40"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5" fillId="0" borderId="0">
      <alignment vertical="center"/>
    </xf>
    <xf numFmtId="0" fontId="101" fillId="0" borderId="0">
      <alignment vertical="center"/>
    </xf>
    <xf numFmtId="0" fontId="4" fillId="0" borderId="0">
      <alignment vertical="center"/>
    </xf>
    <xf numFmtId="0" fontId="168" fillId="0" borderId="0"/>
    <xf numFmtId="0" fontId="4" fillId="0" borderId="0">
      <alignment vertical="center"/>
    </xf>
    <xf numFmtId="9" fontId="40" fillId="0" borderId="0" applyFont="0" applyFill="0" applyBorder="0" applyAlignment="0" applyProtection="0">
      <alignment vertical="center"/>
    </xf>
    <xf numFmtId="0" fontId="101" fillId="0" borderId="0">
      <alignment vertical="center"/>
    </xf>
    <xf numFmtId="0" fontId="4" fillId="0" borderId="0">
      <alignment vertical="center"/>
    </xf>
    <xf numFmtId="9" fontId="258" fillId="0" borderId="0" applyFont="0" applyFill="0" applyBorder="0" applyAlignment="0" applyProtection="0">
      <alignment vertical="center"/>
    </xf>
    <xf numFmtId="0" fontId="3" fillId="0" borderId="0"/>
  </cellStyleXfs>
  <cellXfs count="3755">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2" fillId="6" borderId="46" xfId="0" applyFont="1" applyFill="1" applyBorder="1" applyAlignment="1" applyProtection="1">
      <alignment vertical="center"/>
    </xf>
    <xf numFmtId="10" fontId="52" fillId="6" borderId="5" xfId="0" applyNumberFormat="1" applyFont="1" applyFill="1" applyBorder="1" applyAlignment="1" applyProtection="1">
      <alignment horizontal="center" vertical="center"/>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6" borderId="1" xfId="0"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61" xfId="1"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49" fontId="62" fillId="6" borderId="0" xfId="0" applyNumberFormat="1" applyFont="1" applyFill="1" applyBorder="1" applyAlignment="1" applyProtection="1">
      <alignment horizontal="center"/>
    </xf>
    <xf numFmtId="0" fontId="52" fillId="6" borderId="0" xfId="0" applyFont="1" applyFill="1" applyBorder="1" applyAlignment="1" applyProtection="1">
      <alignment vertical="center"/>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4" fillId="6" borderId="6"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4" fillId="0" borderId="0" xfId="5" applyFont="1">
      <alignment vertical="center"/>
    </xf>
    <xf numFmtId="0" fontId="101" fillId="0" borderId="0" xfId="5">
      <alignment vertical="center"/>
    </xf>
    <xf numFmtId="0" fontId="124" fillId="0" borderId="0" xfId="5" applyFont="1" applyAlignment="1">
      <alignment vertical="top" wrapText="1"/>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5" fillId="0" borderId="92"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6"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7"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8" fillId="6" borderId="99" xfId="0" applyNumberFormat="1" applyFont="1" applyFill="1" applyBorder="1" applyAlignment="1" applyProtection="1">
      <alignment horizontal="center" vertical="center" wrapText="1"/>
    </xf>
    <xf numFmtId="0" fontId="58" fillId="6" borderId="98" xfId="0" applyNumberFormat="1" applyFont="1" applyFill="1" applyBorder="1" applyAlignment="1" applyProtection="1">
      <alignment horizontal="center" vertical="center" wrapText="1"/>
    </xf>
    <xf numFmtId="0" fontId="52" fillId="0" borderId="10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0"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09" xfId="0" applyNumberFormat="1" applyFont="1" applyFill="1" applyBorder="1" applyAlignment="1" applyProtection="1">
      <alignment horizontal="center"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6" xfId="0" applyFont="1" applyFill="1" applyBorder="1" applyAlignment="1" applyProtection="1">
      <alignment horizontal="center" vertical="center"/>
      <protection locked="0"/>
    </xf>
    <xf numFmtId="0"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wrapText="1"/>
      <protection locked="0"/>
    </xf>
    <xf numFmtId="9"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protection locked="0"/>
    </xf>
    <xf numFmtId="0" fontId="52" fillId="0" borderId="113" xfId="0" applyFont="1" applyFill="1" applyBorder="1" applyAlignment="1" applyProtection="1">
      <alignment horizontal="center" vertical="center"/>
      <protection locked="0"/>
    </xf>
    <xf numFmtId="0" fontId="52" fillId="6" borderId="113" xfId="0" applyNumberFormat="1" applyFont="1" applyFill="1" applyBorder="1" applyAlignment="1" applyProtection="1">
      <alignment horizontal="center" vertical="center" wrapText="1"/>
    </xf>
    <xf numFmtId="0" fontId="58" fillId="0" borderId="114" xfId="0" applyNumberFormat="1" applyFont="1" applyFill="1" applyBorder="1" applyAlignment="1" applyProtection="1">
      <alignment horizontal="center" vertical="center" wrapText="1"/>
      <protection locked="0"/>
    </xf>
    <xf numFmtId="0" fontId="58" fillId="0" borderId="115"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6"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49" fillId="6" borderId="0" xfId="0"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3"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2" fillId="6" borderId="0" xfId="2" applyFont="1" applyFill="1"/>
    <xf numFmtId="0" fontId="22" fillId="6" borderId="6" xfId="2" applyFont="1" applyFill="1" applyBorder="1"/>
    <xf numFmtId="0" fontId="131"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1"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1"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1"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1" fillId="0" borderId="0" xfId="2" applyFont="1" applyAlignment="1"/>
    <xf numFmtId="0" fontId="131"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2" fillId="6" borderId="1" xfId="2" applyFont="1" applyFill="1" applyBorder="1"/>
    <xf numFmtId="0" fontId="145" fillId="6" borderId="1" xfId="2" applyFont="1" applyFill="1" applyBorder="1" applyAlignment="1">
      <alignment horizontal="center" vertical="center" wrapText="1"/>
    </xf>
    <xf numFmtId="0" fontId="131"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5" fillId="0" borderId="87" xfId="0" applyFont="1" applyBorder="1" applyAlignment="1"/>
    <xf numFmtId="0" fontId="115"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left"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6" borderId="98"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59" fillId="6" borderId="1" xfId="0" applyNumberFormat="1" applyFont="1" applyFill="1" applyBorder="1" applyAlignment="1" applyProtection="1">
      <alignment horizontal="right"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3" fillId="0" borderId="1" xfId="0" applyFont="1" applyBorder="1" applyAlignment="1">
      <alignment horizontal="right" vertical="center" wrapText="1"/>
    </xf>
    <xf numFmtId="0" fontId="106"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2" fillId="6" borderId="118"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48"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101" fillId="0" borderId="0" xfId="0" applyFont="1" applyProtection="1">
      <alignment vertical="center"/>
      <protection locked="0"/>
    </xf>
    <xf numFmtId="0" fontId="208"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09" fillId="0" borderId="0" xfId="0" applyFont="1" applyAlignment="1">
      <alignment vertical="center"/>
    </xf>
    <xf numFmtId="0" fontId="139"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9" fillId="0" borderId="0" xfId="0" applyFont="1" applyFill="1" applyAlignment="1">
      <alignment vertical="center" wrapText="1"/>
    </xf>
    <xf numFmtId="0" fontId="209"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3" fillId="5" borderId="0" xfId="0" applyFont="1" applyFill="1" applyProtection="1">
      <alignment vertical="center"/>
      <protection locked="0"/>
    </xf>
    <xf numFmtId="0" fontId="105" fillId="0" borderId="0" xfId="0" applyFont="1" applyProtection="1">
      <alignment vertical="center"/>
      <protection locked="0"/>
    </xf>
    <xf numFmtId="0" fontId="209"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09"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39"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101"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39" fillId="0" borderId="0" xfId="0" applyFont="1" applyAlignment="1">
      <alignment horizontal="right" vertical="center"/>
    </xf>
    <xf numFmtId="0" fontId="101"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5"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5" borderId="13"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2" fillId="6" borderId="58" xfId="0"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0"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176" fontId="51" fillId="6" borderId="10" xfId="1" applyNumberFormat="1" applyFont="1" applyFill="1" applyBorder="1" applyAlignment="1" applyProtection="1">
      <alignment horizontal="center" vertical="center"/>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 xfId="0" applyFont="1" applyFill="1" applyBorder="1" applyAlignment="1" applyProtection="1">
      <alignment vertical="center" wrapText="1"/>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49" fillId="0" borderId="23" xfId="0" applyFont="1" applyBorder="1" applyAlignment="1" applyProtection="1">
      <alignment horizontal="right" vertical="center" wrapText="1"/>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52"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52"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140"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5" borderId="1" xfId="0" applyFont="1" applyFill="1" applyBorder="1" applyAlignment="1" applyProtection="1">
      <alignment horizontal="center" vertical="center"/>
      <protection locked="0"/>
    </xf>
    <xf numFmtId="0" fontId="105" fillId="6" borderId="66" xfId="0" applyFont="1" applyFill="1" applyBorder="1">
      <alignment vertical="center"/>
    </xf>
    <xf numFmtId="0" fontId="67" fillId="6" borderId="85" xfId="0" applyFont="1" applyFill="1" applyBorder="1" applyAlignment="1" applyProtection="1">
      <alignment horizontal="right" vertical="center"/>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2"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3" fillId="6" borderId="94"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5"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8"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57" fillId="6" borderId="95"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181" fontId="106" fillId="6" borderId="1" xfId="0" applyNumberFormat="1" applyFont="1" applyFill="1" applyBorder="1" applyAlignment="1" applyProtection="1">
      <alignment horizontal="center" vertical="center" wrapText="1"/>
    </xf>
    <xf numFmtId="0" fontId="22" fillId="6" borderId="1" xfId="0" applyFont="1" applyFill="1" applyBorder="1" applyAlignment="1" applyProtection="1">
      <alignment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2" fillId="12" borderId="126" xfId="16" applyFont="1" applyFill="1" applyBorder="1" applyAlignment="1" applyProtection="1">
      <alignment horizontal="left" vertical="center" wrapText="1"/>
    </xf>
    <xf numFmtId="0" fontId="152" fillId="12" borderId="130" xfId="16" applyFont="1" applyFill="1" applyBorder="1" applyAlignment="1" applyProtection="1">
      <alignment horizontal="left" vertical="center" wrapText="1"/>
    </xf>
    <xf numFmtId="0" fontId="109" fillId="0" borderId="0" xfId="9" applyFont="1" applyAlignment="1">
      <alignment horizontal="left" vertical="center"/>
    </xf>
    <xf numFmtId="0" fontId="109" fillId="0" borderId="119" xfId="9" applyFont="1" applyBorder="1" applyAlignment="1">
      <alignment horizontal="left" vertical="center"/>
    </xf>
    <xf numFmtId="0" fontId="103" fillId="6" borderId="119" xfId="10" applyFont="1" applyFill="1" applyBorder="1" applyAlignment="1" applyProtection="1">
      <alignment horizontal="left" vertical="center"/>
    </xf>
    <xf numFmtId="0" fontId="25" fillId="6" borderId="119" xfId="10" applyFont="1" applyFill="1" applyBorder="1" applyAlignment="1" applyProtection="1">
      <alignment horizontal="left" vertical="center"/>
    </xf>
    <xf numFmtId="0" fontId="109" fillId="0" borderId="120" xfId="9" applyFont="1" applyBorder="1" applyAlignment="1">
      <alignment horizontal="left" vertical="center"/>
    </xf>
    <xf numFmtId="0" fontId="147" fillId="15" borderId="0" xfId="9" applyFont="1" applyFill="1" applyAlignment="1">
      <alignment horizontal="left" vertical="center"/>
    </xf>
    <xf numFmtId="0" fontId="105" fillId="15" borderId="0" xfId="10" applyFont="1" applyFill="1" applyAlignment="1" applyProtection="1">
      <alignment horizontal="left" vertical="center"/>
    </xf>
    <xf numFmtId="0" fontId="25" fillId="15" borderId="0" xfId="10" applyFont="1" applyFill="1" applyAlignment="1" applyProtection="1">
      <alignment horizontal="left" vertical="center"/>
    </xf>
    <xf numFmtId="0" fontId="109" fillId="15" borderId="121" xfId="9" applyFont="1" applyFill="1" applyBorder="1" applyAlignment="1">
      <alignment horizontal="left" vertical="center"/>
    </xf>
    <xf numFmtId="0" fontId="109" fillId="15" borderId="0" xfId="9" applyFont="1" applyFill="1" applyBorder="1" applyAlignment="1">
      <alignment horizontal="left" vertical="center"/>
    </xf>
    <xf numFmtId="0" fontId="153" fillId="15" borderId="0" xfId="9" applyFont="1" applyFill="1" applyBorder="1" applyAlignment="1" applyProtection="1">
      <alignment horizontal="left" vertical="center"/>
      <protection locked="0"/>
    </xf>
    <xf numFmtId="0" fontId="109" fillId="15" borderId="0" xfId="9" applyFont="1" applyFill="1" applyAlignment="1">
      <alignment horizontal="left" vertical="center"/>
    </xf>
    <xf numFmtId="0" fontId="145" fillId="15" borderId="0" xfId="9" applyFont="1" applyFill="1" applyAlignment="1">
      <alignment horizontal="left" vertical="center"/>
    </xf>
    <xf numFmtId="0" fontId="106" fillId="15" borderId="0" xfId="9" applyFont="1" applyFill="1" applyAlignment="1">
      <alignment horizontal="left" vertical="center"/>
    </xf>
    <xf numFmtId="10" fontId="106" fillId="15" borderId="0" xfId="9" applyNumberFormat="1" applyFont="1" applyFill="1" applyAlignment="1">
      <alignment horizontal="left" vertical="center"/>
    </xf>
    <xf numFmtId="0" fontId="109" fillId="0" borderId="0" xfId="9" applyFont="1" applyFill="1" applyAlignment="1">
      <alignment horizontal="left" vertical="center"/>
    </xf>
    <xf numFmtId="0" fontId="105" fillId="0" borderId="0" xfId="10" applyFont="1" applyFill="1" applyAlignment="1" applyProtection="1">
      <alignment horizontal="left" vertical="center"/>
    </xf>
    <xf numFmtId="0" fontId="25" fillId="0" borderId="0" xfId="10" applyFont="1" applyFill="1" applyAlignment="1" applyProtection="1">
      <alignment horizontal="left" vertical="center"/>
    </xf>
    <xf numFmtId="0" fontId="109" fillId="0" borderId="121" xfId="9" applyFont="1" applyFill="1" applyBorder="1" applyAlignment="1">
      <alignment horizontal="left" vertical="center"/>
    </xf>
    <xf numFmtId="0" fontId="109" fillId="0" borderId="0" xfId="9" applyFont="1" applyFill="1" applyBorder="1" applyAlignment="1">
      <alignment horizontal="left" vertical="center"/>
    </xf>
    <xf numFmtId="0" fontId="109" fillId="0" borderId="0" xfId="9" applyFont="1" applyFill="1" applyBorder="1" applyAlignment="1" applyProtection="1">
      <alignment horizontal="left" vertical="center"/>
      <protection locked="0"/>
    </xf>
    <xf numFmtId="0" fontId="106" fillId="0" borderId="0" xfId="9" applyFont="1" applyAlignment="1">
      <alignment horizontal="left" vertical="center"/>
    </xf>
    <xf numFmtId="10" fontId="106" fillId="0" borderId="0" xfId="9" applyNumberFormat="1" applyFont="1" applyAlignment="1">
      <alignment horizontal="left" vertical="center"/>
    </xf>
    <xf numFmtId="49" fontId="58" fillId="13" borderId="1" xfId="9" applyNumberFormat="1" applyFont="1" applyFill="1" applyBorder="1" applyAlignment="1" applyProtection="1">
      <alignment horizontal="left" vertical="center" wrapText="1"/>
    </xf>
    <xf numFmtId="186" fontId="153" fillId="13" borderId="0" xfId="9" applyNumberFormat="1" applyFont="1" applyFill="1" applyAlignment="1">
      <alignment horizontal="left" vertical="center"/>
    </xf>
    <xf numFmtId="0" fontId="152" fillId="11" borderId="125" xfId="9" applyFont="1" applyFill="1" applyBorder="1" applyAlignment="1" applyProtection="1">
      <alignment horizontal="left" vertical="center" wrapText="1"/>
    </xf>
    <xf numFmtId="0" fontId="152" fillId="13" borderId="126" xfId="9" applyFont="1" applyFill="1" applyBorder="1" applyAlignment="1" applyProtection="1">
      <alignment horizontal="left" vertical="center" wrapText="1"/>
    </xf>
    <xf numFmtId="0" fontId="153" fillId="13" borderId="0" xfId="9" applyFont="1" applyFill="1" applyBorder="1" applyAlignment="1" applyProtection="1">
      <alignment horizontal="left" vertical="center"/>
      <protection locked="0"/>
    </xf>
    <xf numFmtId="0" fontId="109" fillId="13" borderId="0" xfId="9" applyFont="1" applyFill="1" applyAlignment="1">
      <alignment horizontal="left" vertical="center"/>
    </xf>
    <xf numFmtId="10" fontId="153" fillId="13" borderId="128" xfId="9" applyNumberFormat="1" applyFont="1" applyFill="1" applyBorder="1" applyAlignment="1">
      <alignment horizontal="left" vertical="center"/>
    </xf>
    <xf numFmtId="0" fontId="109" fillId="13" borderId="121" xfId="9" applyFont="1" applyFill="1" applyBorder="1" applyAlignment="1">
      <alignment horizontal="left" vertical="center"/>
    </xf>
    <xf numFmtId="0" fontId="121" fillId="5" borderId="0" xfId="9" applyFont="1" applyFill="1" applyAlignment="1">
      <alignment horizontal="left" vertical="center"/>
    </xf>
    <xf numFmtId="0" fontId="106" fillId="13" borderId="0" xfId="9" applyFont="1" applyFill="1" applyAlignment="1">
      <alignment horizontal="left" vertical="center"/>
    </xf>
    <xf numFmtId="10" fontId="106" fillId="13" borderId="0" xfId="9" applyNumberFormat="1" applyFont="1" applyFill="1" applyAlignment="1">
      <alignment horizontal="left" vertical="center"/>
    </xf>
    <xf numFmtId="49" fontId="58" fillId="6" borderId="1" xfId="9" applyNumberFormat="1" applyFont="1" applyFill="1" applyBorder="1" applyAlignment="1" applyProtection="1">
      <alignment horizontal="left" vertical="center" wrapText="1"/>
    </xf>
    <xf numFmtId="186" fontId="106" fillId="0" borderId="0" xfId="9" applyNumberFormat="1" applyFont="1" applyAlignment="1">
      <alignment horizontal="left" vertical="center"/>
    </xf>
    <xf numFmtId="0" fontId="152" fillId="12" borderId="126" xfId="9" applyFont="1" applyFill="1" applyBorder="1" applyAlignment="1" applyProtection="1">
      <alignment horizontal="left" vertical="center" wrapText="1"/>
    </xf>
    <xf numFmtId="10" fontId="106" fillId="0" borderId="121" xfId="9" applyNumberFormat="1" applyFont="1" applyBorder="1" applyAlignment="1">
      <alignment horizontal="left" vertical="center"/>
    </xf>
    <xf numFmtId="177" fontId="106" fillId="0" borderId="0" xfId="9" applyNumberFormat="1" applyFont="1" applyAlignment="1">
      <alignment horizontal="left" vertical="center"/>
    </xf>
    <xf numFmtId="0" fontId="106" fillId="0" borderId="0" xfId="9" applyFont="1" applyFill="1" applyAlignment="1">
      <alignment horizontal="left" vertical="center"/>
    </xf>
    <xf numFmtId="10" fontId="106" fillId="0" borderId="0" xfId="9" applyNumberFormat="1" applyFont="1" applyFill="1" applyAlignment="1">
      <alignment horizontal="left" vertical="center"/>
    </xf>
    <xf numFmtId="0" fontId="153" fillId="13" borderId="0" xfId="9" applyFont="1" applyFill="1" applyAlignment="1">
      <alignment horizontal="left" vertical="center"/>
    </xf>
    <xf numFmtId="0" fontId="152" fillId="12" borderId="130" xfId="9" applyFont="1" applyFill="1" applyBorder="1" applyAlignment="1" applyProtection="1">
      <alignment horizontal="left" vertical="center" wrapText="1"/>
    </xf>
    <xf numFmtId="0" fontId="152" fillId="11" borderId="123" xfId="9" applyFont="1" applyFill="1" applyBorder="1" applyAlignment="1" applyProtection="1">
      <alignment horizontal="left" vertical="center" wrapText="1"/>
    </xf>
    <xf numFmtId="0" fontId="152" fillId="11" borderId="124" xfId="9" applyFont="1" applyFill="1" applyBorder="1" applyAlignment="1" applyProtection="1">
      <alignment horizontal="left" vertical="center" wrapText="1"/>
    </xf>
    <xf numFmtId="186" fontId="109" fillId="11" borderId="123" xfId="9" applyNumberFormat="1" applyFont="1" applyFill="1" applyBorder="1" applyAlignment="1" applyProtection="1">
      <alignment horizontal="left" vertical="center" wrapText="1"/>
    </xf>
    <xf numFmtId="186" fontId="109" fillId="11" borderId="129" xfId="9" applyNumberFormat="1" applyFont="1" applyFill="1" applyBorder="1" applyAlignment="1" applyProtection="1">
      <alignment horizontal="left" vertical="center" wrapText="1"/>
    </xf>
    <xf numFmtId="0" fontId="152" fillId="11" borderId="126" xfId="9" applyFont="1" applyFill="1" applyBorder="1" applyAlignment="1" applyProtection="1">
      <alignment horizontal="left" vertical="center" wrapText="1"/>
    </xf>
    <xf numFmtId="0" fontId="152" fillId="11" borderId="130" xfId="9" applyFont="1" applyFill="1" applyBorder="1" applyAlignment="1" applyProtection="1">
      <alignment horizontal="left" vertical="center" wrapText="1"/>
    </xf>
    <xf numFmtId="186" fontId="109" fillId="11" borderId="123" xfId="9" applyNumberFormat="1" applyFont="1" applyFill="1" applyBorder="1" applyAlignment="1">
      <alignment horizontal="left" vertical="center" wrapText="1"/>
    </xf>
    <xf numFmtId="186" fontId="109" fillId="11" borderId="129" xfId="9" applyNumberFormat="1" applyFont="1" applyFill="1" applyBorder="1" applyAlignment="1">
      <alignment horizontal="left" vertical="center" wrapText="1"/>
    </xf>
    <xf numFmtId="181" fontId="106" fillId="0" borderId="121" xfId="9" applyNumberFormat="1" applyFont="1" applyBorder="1" applyAlignment="1">
      <alignment horizontal="left" vertical="center"/>
    </xf>
    <xf numFmtId="181" fontId="106" fillId="0" borderId="0" xfId="9" applyNumberFormat="1" applyFont="1" applyAlignment="1">
      <alignment horizontal="left" vertical="center"/>
    </xf>
    <xf numFmtId="10" fontId="106" fillId="0" borderId="128" xfId="9" applyNumberFormat="1" applyFont="1" applyBorder="1" applyAlignment="1">
      <alignment horizontal="left" vertical="center"/>
    </xf>
    <xf numFmtId="10" fontId="106" fillId="0" borderId="60" xfId="9" applyNumberFormat="1" applyFont="1" applyBorder="1" applyAlignment="1">
      <alignment horizontal="left" vertical="center"/>
    </xf>
    <xf numFmtId="0" fontId="152" fillId="11" borderId="132" xfId="9" applyFont="1" applyFill="1" applyBorder="1" applyAlignment="1" applyProtection="1">
      <alignment horizontal="left" vertical="center" wrapText="1"/>
    </xf>
    <xf numFmtId="0" fontId="152" fillId="11" borderId="133" xfId="9" applyFont="1" applyFill="1" applyBorder="1" applyAlignment="1" applyProtection="1">
      <alignment horizontal="left" vertical="center" wrapText="1"/>
    </xf>
    <xf numFmtId="10" fontId="106" fillId="0" borderId="134" xfId="9" applyNumberFormat="1" applyFont="1" applyBorder="1" applyAlignment="1">
      <alignment horizontal="left" vertical="center"/>
    </xf>
    <xf numFmtId="10" fontId="106" fillId="0" borderId="36" xfId="9" applyNumberFormat="1" applyFont="1" applyBorder="1" applyAlignment="1">
      <alignment horizontal="left" vertical="center"/>
    </xf>
    <xf numFmtId="0" fontId="106" fillId="0" borderId="121" xfId="9" applyFont="1" applyBorder="1" applyAlignment="1">
      <alignment horizontal="left" vertical="center"/>
    </xf>
    <xf numFmtId="0" fontId="152" fillId="12" borderId="123"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10" fontId="106" fillId="0" borderId="0" xfId="9" applyNumberFormat="1" applyFont="1" applyBorder="1" applyAlignment="1">
      <alignment horizontal="left" vertical="center"/>
    </xf>
    <xf numFmtId="186" fontId="109" fillId="11" borderId="126" xfId="9" applyNumberFormat="1" applyFont="1" applyFill="1" applyBorder="1" applyAlignment="1">
      <alignment horizontal="left" vertical="center" wrapText="1"/>
    </xf>
    <xf numFmtId="186" fontId="109" fillId="11" borderId="135" xfId="9" applyNumberFormat="1" applyFont="1" applyFill="1" applyBorder="1" applyAlignment="1">
      <alignment horizontal="left" vertical="center" wrapText="1"/>
    </xf>
    <xf numFmtId="0" fontId="106" fillId="12" borderId="123" xfId="9" applyFont="1" applyFill="1" applyBorder="1" applyAlignment="1" applyProtection="1">
      <alignment horizontal="left" vertical="center" wrapText="1"/>
    </xf>
    <xf numFmtId="0" fontId="106" fillId="12" borderId="124" xfId="9" applyFont="1" applyFill="1" applyBorder="1" applyAlignment="1" applyProtection="1">
      <alignment horizontal="left" vertical="center" wrapText="1"/>
    </xf>
    <xf numFmtId="49" fontId="58" fillId="5" borderId="1" xfId="9" applyNumberFormat="1" applyFont="1" applyFill="1" applyBorder="1" applyAlignment="1" applyProtection="1">
      <alignment horizontal="left" vertical="center" wrapText="1"/>
    </xf>
    <xf numFmtId="186" fontId="106" fillId="5" borderId="0" xfId="9" applyNumberFormat="1" applyFont="1" applyFill="1" applyAlignment="1">
      <alignment horizontal="left" vertical="center"/>
    </xf>
    <xf numFmtId="0" fontId="106" fillId="5" borderId="126" xfId="9" applyFont="1" applyFill="1" applyBorder="1" applyAlignment="1" applyProtection="1">
      <alignment horizontal="left" vertical="center" wrapText="1"/>
    </xf>
    <xf numFmtId="0" fontId="106" fillId="5" borderId="130" xfId="9" applyFont="1" applyFill="1" applyBorder="1" applyAlignment="1" applyProtection="1">
      <alignment horizontal="left" vertical="center" wrapText="1"/>
    </xf>
    <xf numFmtId="0" fontId="106" fillId="5" borderId="0" xfId="9" applyFont="1" applyFill="1" applyAlignment="1">
      <alignment horizontal="left" vertical="center"/>
    </xf>
    <xf numFmtId="10" fontId="106" fillId="5" borderId="121" xfId="9" applyNumberFormat="1" applyFont="1" applyFill="1" applyBorder="1" applyAlignment="1">
      <alignment horizontal="left" vertical="center"/>
    </xf>
    <xf numFmtId="10" fontId="106" fillId="5" borderId="0" xfId="9" applyNumberFormat="1" applyFont="1" applyFill="1" applyAlignment="1">
      <alignment horizontal="left" vertical="center"/>
    </xf>
    <xf numFmtId="177" fontId="106" fillId="5" borderId="0" xfId="9" applyNumberFormat="1" applyFont="1" applyFill="1" applyAlignment="1">
      <alignment horizontal="left" vertical="center"/>
    </xf>
    <xf numFmtId="10" fontId="106" fillId="5" borderId="128" xfId="9" applyNumberFormat="1" applyFont="1" applyFill="1" applyBorder="1" applyAlignment="1">
      <alignment horizontal="left" vertical="center"/>
    </xf>
    <xf numFmtId="10" fontId="106" fillId="5" borderId="60" xfId="9" applyNumberFormat="1" applyFont="1" applyFill="1" applyBorder="1" applyAlignment="1">
      <alignment horizontal="left" vertical="center"/>
    </xf>
    <xf numFmtId="0" fontId="131" fillId="5" borderId="0" xfId="9" applyFont="1" applyFill="1" applyAlignment="1">
      <alignment horizontal="left" vertical="center"/>
    </xf>
    <xf numFmtId="0" fontId="106" fillId="5" borderId="0" xfId="9" applyNumberFormat="1" applyFont="1" applyFill="1" applyAlignment="1">
      <alignment horizontal="left" vertical="center"/>
    </xf>
    <xf numFmtId="0" fontId="106" fillId="11" borderId="132" xfId="9" applyFont="1" applyFill="1" applyBorder="1" applyAlignment="1" applyProtection="1">
      <alignment horizontal="left" vertical="center" wrapText="1"/>
    </xf>
    <xf numFmtId="0" fontId="106" fillId="11" borderId="133" xfId="9" applyFont="1" applyFill="1" applyBorder="1" applyAlignment="1" applyProtection="1">
      <alignment horizontal="left" vertical="center" wrapText="1"/>
    </xf>
    <xf numFmtId="14" fontId="106" fillId="0" borderId="0" xfId="9" applyNumberFormat="1" applyFont="1" applyAlignment="1">
      <alignment horizontal="left" vertical="center"/>
    </xf>
    <xf numFmtId="0" fontId="131" fillId="0" borderId="0" xfId="9" applyFont="1" applyAlignment="1">
      <alignment horizontal="left" vertical="center"/>
    </xf>
    <xf numFmtId="0" fontId="106" fillId="0" borderId="0" xfId="9" applyNumberFormat="1" applyFont="1" applyAlignment="1">
      <alignment horizontal="left" vertical="center"/>
    </xf>
    <xf numFmtId="186" fontId="109" fillId="11" borderId="132" xfId="9" applyNumberFormat="1" applyFont="1" applyFill="1" applyBorder="1" applyAlignment="1">
      <alignment horizontal="left" vertical="center" wrapText="1"/>
    </xf>
    <xf numFmtId="186" fontId="109" fillId="11" borderId="136" xfId="9" applyNumberFormat="1" applyFont="1" applyFill="1" applyBorder="1" applyAlignment="1">
      <alignment horizontal="left" vertical="center" wrapText="1"/>
    </xf>
    <xf numFmtId="186" fontId="106" fillId="13" borderId="0" xfId="9" applyNumberFormat="1" applyFont="1" applyFill="1" applyAlignment="1">
      <alignment horizontal="left" vertical="center"/>
    </xf>
    <xf numFmtId="186" fontId="106" fillId="0" borderId="47" xfId="9" applyNumberFormat="1" applyFont="1" applyBorder="1" applyAlignment="1">
      <alignment horizontal="left" vertical="center"/>
    </xf>
    <xf numFmtId="0" fontId="152" fillId="12" borderId="137" xfId="9" applyFont="1" applyFill="1" applyBorder="1" applyAlignment="1" applyProtection="1">
      <alignment horizontal="left" vertical="center" wrapText="1"/>
    </xf>
    <xf numFmtId="0" fontId="152" fillId="12" borderId="138" xfId="9" applyFont="1" applyFill="1" applyBorder="1" applyAlignment="1" applyProtection="1">
      <alignment horizontal="left" vertical="center" wrapText="1"/>
    </xf>
    <xf numFmtId="0" fontId="106" fillId="0" borderId="47" xfId="9" applyFont="1" applyBorder="1" applyAlignment="1">
      <alignment horizontal="left" vertical="center"/>
    </xf>
    <xf numFmtId="10" fontId="106" fillId="0" borderId="139" xfId="9" applyNumberFormat="1" applyFont="1" applyBorder="1" applyAlignment="1">
      <alignment horizontal="left" vertical="center"/>
    </xf>
    <xf numFmtId="10" fontId="106" fillId="0" borderId="47" xfId="9" applyNumberFormat="1" applyFont="1" applyBorder="1" applyAlignment="1">
      <alignment horizontal="left" vertical="center"/>
    </xf>
    <xf numFmtId="177" fontId="106" fillId="0" borderId="47" xfId="9" applyNumberFormat="1" applyFont="1" applyBorder="1" applyAlignment="1">
      <alignment horizontal="left" vertical="center"/>
    </xf>
    <xf numFmtId="0" fontId="152" fillId="11" borderId="140" xfId="9" applyFont="1" applyFill="1" applyBorder="1" applyAlignment="1" applyProtection="1">
      <alignment horizontal="left" vertical="center" wrapText="1"/>
    </xf>
    <xf numFmtId="0" fontId="152" fillId="11" borderId="141" xfId="9" applyFont="1" applyFill="1" applyBorder="1" applyAlignment="1" applyProtection="1">
      <alignment horizontal="left" vertical="center" wrapText="1"/>
    </xf>
    <xf numFmtId="10" fontId="106" fillId="14" borderId="121" xfId="9" applyNumberFormat="1" applyFont="1" applyFill="1" applyBorder="1" applyAlignment="1">
      <alignment horizontal="left" vertical="center"/>
    </xf>
    <xf numFmtId="10" fontId="106" fillId="14" borderId="0" xfId="9" applyNumberFormat="1" applyFont="1" applyFill="1" applyAlignment="1">
      <alignment horizontal="left" vertical="center"/>
    </xf>
    <xf numFmtId="178" fontId="106" fillId="0" borderId="0" xfId="9" applyNumberFormat="1" applyFont="1" applyAlignment="1">
      <alignment horizontal="left" vertical="center"/>
    </xf>
    <xf numFmtId="10" fontId="106" fillId="14" borderId="128" xfId="9" applyNumberFormat="1" applyFont="1" applyFill="1" applyBorder="1" applyAlignment="1">
      <alignment horizontal="left" vertical="center"/>
    </xf>
    <xf numFmtId="10" fontId="106" fillId="14" borderId="60" xfId="9" applyNumberFormat="1" applyFont="1" applyFill="1" applyBorder="1" applyAlignment="1">
      <alignment horizontal="left" vertical="center"/>
    </xf>
    <xf numFmtId="10" fontId="106" fillId="14" borderId="139" xfId="9" applyNumberFormat="1" applyFont="1" applyFill="1" applyBorder="1" applyAlignment="1">
      <alignment horizontal="left" vertical="center"/>
    </xf>
    <xf numFmtId="10" fontId="106" fillId="14" borderId="47" xfId="9" applyNumberFormat="1" applyFont="1" applyFill="1" applyBorder="1" applyAlignment="1">
      <alignment horizontal="left" vertical="center"/>
    </xf>
    <xf numFmtId="178" fontId="106" fillId="0" borderId="47" xfId="9" applyNumberFormat="1" applyFont="1" applyBorder="1" applyAlignment="1">
      <alignment horizontal="left" vertical="center"/>
    </xf>
    <xf numFmtId="0" fontId="109" fillId="12" borderId="142" xfId="9" applyFont="1" applyFill="1" applyBorder="1" applyAlignment="1">
      <alignment horizontal="left" vertical="center" wrapText="1"/>
    </xf>
    <xf numFmtId="0" fontId="109" fillId="12" borderId="143" xfId="9" applyFont="1" applyFill="1" applyBorder="1" applyAlignment="1">
      <alignment horizontal="left" vertical="center" wrapText="1"/>
    </xf>
    <xf numFmtId="180" fontId="106" fillId="0" borderId="0" xfId="9" applyNumberFormat="1" applyFont="1" applyAlignment="1">
      <alignment horizontal="left" vertical="center"/>
    </xf>
    <xf numFmtId="180" fontId="106" fillId="0" borderId="121" xfId="9" applyNumberFormat="1" applyFont="1" applyBorder="1" applyAlignment="1">
      <alignment horizontal="left" vertical="center"/>
    </xf>
    <xf numFmtId="177" fontId="106" fillId="14" borderId="0" xfId="9" applyNumberFormat="1" applyFont="1" applyFill="1" applyAlignment="1">
      <alignment horizontal="left" vertical="center"/>
    </xf>
    <xf numFmtId="0" fontId="152" fillId="12" borderId="132" xfId="9" applyFont="1" applyFill="1" applyBorder="1" applyAlignment="1" applyProtection="1">
      <alignment horizontal="left" vertical="center" wrapText="1"/>
    </xf>
    <xf numFmtId="0" fontId="109" fillId="11" borderId="132" xfId="9" applyFont="1" applyFill="1" applyBorder="1" applyAlignment="1">
      <alignment horizontal="left" vertical="center" wrapText="1"/>
    </xf>
    <xf numFmtId="0" fontId="109" fillId="11" borderId="136" xfId="9" applyFont="1" applyFill="1" applyBorder="1" applyAlignment="1">
      <alignment horizontal="left" vertical="center" wrapText="1"/>
    </xf>
    <xf numFmtId="0" fontId="152" fillId="5" borderId="126" xfId="9" applyFont="1" applyFill="1" applyBorder="1" applyAlignment="1" applyProtection="1">
      <alignment horizontal="left" vertical="center" wrapText="1"/>
    </xf>
    <xf numFmtId="180" fontId="106" fillId="5" borderId="0" xfId="9" applyNumberFormat="1" applyFont="1" applyFill="1" applyAlignment="1">
      <alignment horizontal="left" vertical="center"/>
    </xf>
    <xf numFmtId="0" fontId="106" fillId="5" borderId="121" xfId="9" applyFont="1" applyFill="1" applyBorder="1" applyAlignment="1">
      <alignment horizontal="left" vertical="center"/>
    </xf>
    <xf numFmtId="178" fontId="106" fillId="5" borderId="0" xfId="9" applyNumberFormat="1" applyFont="1" applyFill="1" applyAlignment="1">
      <alignment horizontal="left" vertical="center"/>
    </xf>
    <xf numFmtId="0" fontId="109" fillId="11" borderId="144" xfId="9" applyFont="1" applyFill="1" applyBorder="1" applyAlignment="1">
      <alignment horizontal="left" vertical="center" wrapText="1"/>
    </xf>
    <xf numFmtId="0" fontId="109" fillId="11" borderId="145" xfId="9" applyFont="1" applyFill="1" applyBorder="1" applyAlignment="1">
      <alignment horizontal="left" vertical="center" wrapText="1"/>
    </xf>
    <xf numFmtId="0" fontId="109" fillId="11" borderId="146" xfId="9" applyFont="1" applyFill="1" applyBorder="1" applyAlignment="1">
      <alignment horizontal="left" vertical="center" wrapText="1"/>
    </xf>
    <xf numFmtId="0" fontId="138" fillId="0" borderId="0" xfId="9" applyFont="1" applyAlignment="1">
      <alignment horizontal="left" vertical="center"/>
    </xf>
    <xf numFmtId="0" fontId="121" fillId="0" borderId="0" xfId="9" applyFont="1" applyAlignment="1">
      <alignment horizontal="left" vertical="center"/>
    </xf>
    <xf numFmtId="0" fontId="121" fillId="0" borderId="121" xfId="9" applyFont="1" applyBorder="1" applyAlignment="1">
      <alignment horizontal="left" vertical="center"/>
    </xf>
    <xf numFmtId="180" fontId="121" fillId="0" borderId="0" xfId="9" applyNumberFormat="1" applyFont="1" applyAlignment="1">
      <alignment horizontal="left" vertical="center"/>
    </xf>
    <xf numFmtId="180" fontId="121" fillId="0" borderId="121" xfId="9" applyNumberFormat="1" applyFont="1" applyBorder="1" applyAlignment="1">
      <alignment horizontal="left" vertical="center"/>
    </xf>
    <xf numFmtId="0" fontId="152" fillId="12" borderId="147"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52" fillId="11" borderId="148" xfId="9" applyFont="1" applyFill="1" applyBorder="1" applyAlignment="1">
      <alignment horizontal="left" vertical="center" wrapText="1"/>
    </xf>
    <xf numFmtId="0" fontId="152" fillId="11" borderId="126" xfId="9" applyFont="1" applyFill="1" applyBorder="1" applyAlignment="1">
      <alignment horizontal="left" vertical="center" wrapText="1"/>
    </xf>
    <xf numFmtId="0" fontId="152" fillId="12" borderId="148"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1" borderId="149" xfId="9" applyFont="1" applyFill="1" applyBorder="1" applyAlignment="1">
      <alignment horizontal="left" vertical="center" wrapText="1"/>
    </xf>
    <xf numFmtId="0" fontId="152" fillId="11" borderId="132" xfId="9" applyFont="1" applyFill="1" applyBorder="1" applyAlignment="1">
      <alignment horizontal="left" vertical="center" wrapText="1"/>
    </xf>
    <xf numFmtId="0" fontId="138"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8"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8" fillId="7" borderId="154" xfId="0" applyFont="1" applyFill="1" applyBorder="1" applyAlignment="1" applyProtection="1">
      <protection locked="0"/>
    </xf>
    <xf numFmtId="0" fontId="108" fillId="7" borderId="154" xfId="0" applyFont="1" applyFill="1" applyBorder="1" applyAlignment="1" applyProtection="1"/>
    <xf numFmtId="0" fontId="108" fillId="0" borderId="154" xfId="0" applyFont="1" applyFill="1" applyBorder="1" applyAlignment="1" applyProtection="1"/>
    <xf numFmtId="0" fontId="82" fillId="18" borderId="0" xfId="0" applyFont="1" applyFill="1" applyAlignment="1" applyProtection="1">
      <alignment horizontal="left" vertical="center"/>
    </xf>
    <xf numFmtId="10" fontId="52" fillId="18" borderId="0" xfId="0" applyNumberFormat="1" applyFont="1" applyFill="1" applyAlignment="1" applyProtection="1">
      <alignment horizontal="left" vertical="center"/>
    </xf>
    <xf numFmtId="0" fontId="52" fillId="18" borderId="0" xfId="0" applyFont="1" applyFill="1" applyAlignment="1" applyProtection="1">
      <alignment horizontal="left" vertical="center"/>
    </xf>
    <xf numFmtId="0" fontId="82" fillId="18" borderId="0" xfId="0" applyFont="1" applyFill="1" applyProtection="1">
      <alignment vertical="center"/>
    </xf>
    <xf numFmtId="0" fontId="82" fillId="18" borderId="3" xfId="0" applyFont="1" applyFill="1" applyBorder="1" applyAlignment="1" applyProtection="1">
      <alignment horizontal="left" vertical="center" wrapText="1"/>
      <protection locked="0"/>
    </xf>
    <xf numFmtId="181" fontId="52" fillId="18" borderId="48" xfId="0" applyNumberFormat="1" applyFont="1" applyFill="1" applyBorder="1" applyAlignment="1" applyProtection="1">
      <alignment horizontal="center" vertical="center" wrapText="1"/>
    </xf>
    <xf numFmtId="0" fontId="52" fillId="18" borderId="1" xfId="0" applyFont="1" applyFill="1" applyBorder="1" applyAlignment="1" applyProtection="1">
      <alignment horizontal="center" vertical="center"/>
    </xf>
    <xf numFmtId="10" fontId="59" fillId="18" borderId="5" xfId="1" applyNumberFormat="1" applyFont="1" applyFill="1" applyBorder="1" applyAlignment="1" applyProtection="1">
      <alignment horizontal="center"/>
    </xf>
    <xf numFmtId="10" fontId="59" fillId="18" borderId="5" xfId="1" applyNumberFormat="1" applyFont="1" applyFill="1" applyBorder="1" applyAlignment="1" applyProtection="1">
      <alignment horizontal="center" vertical="center"/>
    </xf>
    <xf numFmtId="9" fontId="59" fillId="18" borderId="5" xfId="1" applyNumberFormat="1" applyFont="1" applyFill="1" applyBorder="1" applyAlignment="1" applyProtection="1">
      <alignment horizontal="center" vertical="center"/>
    </xf>
    <xf numFmtId="0" fontId="59" fillId="18" borderId="68" xfId="0" applyNumberFormat="1" applyFont="1" applyFill="1" applyBorder="1" applyAlignment="1" applyProtection="1">
      <alignment horizontal="left" vertical="center" wrapText="1"/>
      <protection locked="0"/>
    </xf>
    <xf numFmtId="181" fontId="55" fillId="18" borderId="68" xfId="0" applyNumberFormat="1" applyFont="1" applyFill="1" applyBorder="1" applyAlignment="1" applyProtection="1">
      <alignment horizontal="left" vertical="center" wrapText="1"/>
      <protection locked="0"/>
    </xf>
    <xf numFmtId="176" fontId="56" fillId="18" borderId="48" xfId="0" applyNumberFormat="1" applyFont="1" applyFill="1" applyBorder="1" applyAlignment="1" applyProtection="1">
      <alignment horizontal="left" vertical="center" wrapText="1"/>
    </xf>
    <xf numFmtId="176" fontId="56" fillId="6" borderId="48" xfId="0" applyNumberFormat="1" applyFont="1" applyFill="1" applyBorder="1" applyAlignment="1" applyProtection="1">
      <alignment horizontal="left" vertical="center" wrapText="1"/>
    </xf>
    <xf numFmtId="0" fontId="59" fillId="18" borderId="1" xfId="0" applyFont="1" applyFill="1" applyBorder="1" applyAlignment="1" applyProtection="1">
      <alignment horizontal="center" vertical="center" wrapText="1"/>
    </xf>
    <xf numFmtId="0" fontId="67" fillId="6" borderId="118" xfId="0" applyFont="1" applyFill="1" applyBorder="1" applyAlignment="1" applyProtection="1">
      <alignment vertical="center"/>
    </xf>
    <xf numFmtId="0" fontId="67" fillId="6" borderId="118" xfId="0" applyFont="1" applyFill="1" applyBorder="1" applyAlignment="1" applyProtection="1">
      <alignment vertical="center"/>
      <protection locked="0"/>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1" fillId="6" borderId="21" xfId="0" applyFont="1" applyFill="1" applyBorder="1" applyAlignment="1" applyProtection="1">
      <alignment horizontal="center" vertical="center"/>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128" fillId="0" borderId="0" xfId="5" applyFont="1" applyAlignment="1">
      <alignment horizontal="left" vertical="center"/>
    </xf>
    <xf numFmtId="0" fontId="156" fillId="0" borderId="0" xfId="5" applyFont="1" applyAlignment="1">
      <alignment horizontal="left" vertical="center"/>
    </xf>
    <xf numFmtId="0" fontId="129" fillId="0" borderId="0" xfId="5" applyFont="1" applyAlignment="1">
      <alignment horizontal="left" vertical="center"/>
    </xf>
    <xf numFmtId="14" fontId="129" fillId="0" borderId="0" xfId="5" applyNumberFormat="1" applyFont="1" applyAlignment="1">
      <alignment horizontal="left" vertical="center"/>
    </xf>
    <xf numFmtId="0" fontId="250" fillId="0" borderId="0" xfId="5" applyFont="1" applyAlignment="1">
      <alignment horizontal="left" vertical="center"/>
    </xf>
    <xf numFmtId="0" fontId="126" fillId="5" borderId="13" xfId="5" applyFont="1" applyFill="1" applyBorder="1" applyAlignment="1">
      <alignment horizontal="left" vertical="center"/>
    </xf>
    <xf numFmtId="0" fontId="127" fillId="0" borderId="1" xfId="5" applyFont="1" applyBorder="1" applyAlignment="1">
      <alignment horizontal="left" vertical="center"/>
    </xf>
    <xf numFmtId="0" fontId="127" fillId="0" borderId="5" xfId="5" applyFont="1" applyBorder="1" applyAlignment="1">
      <alignment horizontal="left" vertical="center"/>
    </xf>
    <xf numFmtId="0" fontId="126" fillId="5" borderId="155" xfId="5" applyFont="1" applyFill="1" applyBorder="1" applyAlignment="1">
      <alignment horizontal="left" vertical="center"/>
    </xf>
    <xf numFmtId="192" fontId="127"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7" fillId="0" borderId="156" xfId="5" applyFont="1" applyFill="1" applyBorder="1" applyAlignment="1">
      <alignment horizontal="left" vertical="center"/>
    </xf>
    <xf numFmtId="184" fontId="127"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7"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6" fillId="0" borderId="0" xfId="5" applyFont="1" applyFill="1" applyAlignment="1">
      <alignment horizontal="left" vertical="center"/>
    </xf>
    <xf numFmtId="0" fontId="126" fillId="0" borderId="1" xfId="5" applyFont="1" applyFill="1" applyBorder="1" applyAlignment="1">
      <alignment horizontal="left" vertical="center"/>
    </xf>
    <xf numFmtId="0" fontId="125" fillId="0" borderId="0" xfId="5" applyFont="1" applyAlignment="1">
      <alignment horizontal="left" vertical="center"/>
    </xf>
    <xf numFmtId="0" fontId="129" fillId="0" borderId="1" xfId="5" applyFont="1" applyBorder="1" applyAlignment="1">
      <alignment horizontal="left" vertical="center"/>
    </xf>
    <xf numFmtId="184" fontId="127" fillId="0" borderId="5" xfId="5" applyNumberFormat="1" applyFont="1" applyFill="1" applyBorder="1" applyAlignment="1">
      <alignment horizontal="left" vertical="center"/>
    </xf>
    <xf numFmtId="0" fontId="129" fillId="0" borderId="156" xfId="5" applyFont="1" applyBorder="1" applyAlignment="1">
      <alignment horizontal="left" vertical="center"/>
    </xf>
    <xf numFmtId="14" fontId="129" fillId="0" borderId="1" xfId="5" applyNumberFormat="1" applyFont="1" applyBorder="1" applyAlignment="1">
      <alignment horizontal="left" vertical="center"/>
    </xf>
    <xf numFmtId="14" fontId="129" fillId="0" borderId="5" xfId="5" applyNumberFormat="1" applyFont="1" applyBorder="1" applyAlignment="1">
      <alignment horizontal="left" vertical="center"/>
    </xf>
    <xf numFmtId="0" fontId="136" fillId="0" borderId="1" xfId="5" applyFont="1" applyBorder="1" applyAlignment="1">
      <alignment horizontal="left" vertical="center"/>
    </xf>
    <xf numFmtId="184" fontId="136" fillId="0" borderId="1" xfId="0" applyNumberFormat="1" applyFont="1" applyFill="1" applyBorder="1" applyAlignment="1">
      <alignment horizontal="left" vertical="center"/>
    </xf>
    <xf numFmtId="14" fontId="156" fillId="0" borderId="0" xfId="5" applyNumberFormat="1" applyFont="1" applyAlignment="1">
      <alignment horizontal="left" vertical="center"/>
    </xf>
    <xf numFmtId="14" fontId="156" fillId="0" borderId="157" xfId="5" applyNumberFormat="1" applyFont="1" applyBorder="1" applyAlignment="1">
      <alignment horizontal="left" vertical="center"/>
    </xf>
    <xf numFmtId="0" fontId="156" fillId="0" borderId="0" xfId="5" applyFont="1" applyBorder="1" applyAlignment="1">
      <alignment horizontal="left" vertical="center"/>
    </xf>
    <xf numFmtId="0" fontId="228" fillId="0" borderId="0" xfId="5" applyFont="1" applyBorder="1" applyAlignment="1">
      <alignment horizontal="left" vertical="center"/>
    </xf>
    <xf numFmtId="0" fontId="52" fillId="6" borderId="26"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58" xfId="0" applyFont="1" applyFill="1" applyBorder="1" applyAlignment="1" applyProtection="1">
      <alignment vertical="center" wrapText="1"/>
    </xf>
    <xf numFmtId="49" fontId="52" fillId="6" borderId="0" xfId="0" applyNumberFormat="1" applyFont="1" applyFill="1" applyAlignment="1" applyProtection="1">
      <alignment horizontal="center" vertical="center" wrapText="1"/>
    </xf>
    <xf numFmtId="0" fontId="52" fillId="6" borderId="0" xfId="0" applyFont="1" applyFill="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14" fontId="52" fillId="0" borderId="13" xfId="0" applyNumberFormat="1" applyFont="1" applyFill="1" applyBorder="1" applyAlignment="1" applyProtection="1">
      <alignment horizontal="left" vertical="center"/>
      <protection locked="0"/>
    </xf>
    <xf numFmtId="0" fontId="52" fillId="16" borderId="1" xfId="0" applyFont="1" applyFill="1" applyBorder="1" applyAlignment="1" applyProtection="1">
      <alignment vertical="center" wrapText="1"/>
    </xf>
    <xf numFmtId="14" fontId="52" fillId="5" borderId="78" xfId="0" applyNumberFormat="1" applyFont="1" applyFill="1" applyBorder="1" applyAlignment="1" applyProtection="1">
      <alignment horizontal="center" vertical="center"/>
      <protection locked="0"/>
    </xf>
    <xf numFmtId="0" fontId="52" fillId="6" borderId="78" xfId="0" applyFont="1" applyFill="1" applyBorder="1" applyAlignment="1" applyProtection="1">
      <alignment horizontal="right" vertical="center" shrinkToFit="1"/>
    </xf>
    <xf numFmtId="0" fontId="52" fillId="6" borderId="78" xfId="0" applyNumberFormat="1" applyFont="1" applyFill="1" applyBorder="1" applyAlignment="1" applyProtection="1">
      <alignment horizontal="right" vertical="center" shrinkToFit="1"/>
    </xf>
    <xf numFmtId="0" fontId="52" fillId="6" borderId="58" xfId="0" applyNumberFormat="1" applyFont="1" applyFill="1" applyBorder="1" applyAlignment="1" applyProtection="1">
      <alignment horizontal="left" vertical="center"/>
    </xf>
    <xf numFmtId="0" fontId="52" fillId="6" borderId="4" xfId="0" applyFont="1" applyFill="1" applyBorder="1" applyAlignment="1" applyProtection="1">
      <alignment vertical="center" wrapText="1"/>
    </xf>
    <xf numFmtId="0" fontId="52" fillId="7" borderId="60" xfId="0" applyFont="1" applyFill="1" applyBorder="1" applyAlignment="1" applyProtection="1">
      <alignment vertical="center" wrapText="1"/>
    </xf>
    <xf numFmtId="0" fontId="52" fillId="7" borderId="7" xfId="0" applyFont="1" applyFill="1" applyBorder="1" applyAlignment="1" applyProtection="1">
      <alignment vertical="center" wrapText="1"/>
    </xf>
    <xf numFmtId="0" fontId="52" fillId="6" borderId="46" xfId="0" applyFont="1" applyFill="1" applyBorder="1" applyAlignment="1" applyProtection="1">
      <alignment vertical="center" wrapText="1"/>
    </xf>
    <xf numFmtId="0" fontId="52" fillId="7" borderId="54" xfId="0" applyFont="1" applyFill="1" applyBorder="1" applyAlignment="1" applyProtection="1">
      <alignment vertical="center" wrapText="1"/>
    </xf>
    <xf numFmtId="0" fontId="52" fillId="7" borderId="22" xfId="0" applyFont="1" applyFill="1" applyBorder="1" applyAlignment="1" applyProtection="1">
      <alignment vertical="center" wrapText="1"/>
    </xf>
    <xf numFmtId="0" fontId="52" fillId="7" borderId="5" xfId="0" applyFont="1" applyFill="1" applyBorder="1" applyAlignment="1" applyProtection="1">
      <alignment vertical="center" wrapText="1"/>
      <protection locked="0"/>
    </xf>
    <xf numFmtId="0" fontId="52" fillId="16" borderId="46" xfId="0" applyFont="1" applyFill="1" applyBorder="1" applyAlignment="1" applyProtection="1">
      <alignment vertical="center" wrapText="1"/>
    </xf>
    <xf numFmtId="0" fontId="52" fillId="5" borderId="5" xfId="0" applyFont="1" applyFill="1" applyBorder="1" applyAlignment="1" applyProtection="1">
      <alignment horizontal="left" vertical="center" wrapText="1"/>
      <protection locked="0"/>
    </xf>
    <xf numFmtId="0" fontId="52" fillId="5" borderId="54" xfId="0" applyFont="1" applyFill="1" applyBorder="1" applyAlignment="1" applyProtection="1">
      <alignment vertical="center" wrapText="1"/>
    </xf>
    <xf numFmtId="0" fontId="52" fillId="5" borderId="13" xfId="0" applyFont="1" applyFill="1" applyBorder="1" applyAlignment="1" applyProtection="1">
      <alignment horizontal="left" vertical="center"/>
      <protection locked="0"/>
    </xf>
    <xf numFmtId="0" fontId="52" fillId="5" borderId="22" xfId="0" applyFont="1" applyFill="1" applyBorder="1" applyAlignment="1" applyProtection="1">
      <alignment vertical="center" wrapText="1"/>
    </xf>
    <xf numFmtId="0" fontId="52" fillId="16" borderId="85" xfId="0" applyFont="1" applyFill="1" applyBorder="1" applyAlignment="1" applyProtection="1">
      <alignment vertical="center" wrapText="1"/>
    </xf>
    <xf numFmtId="0" fontId="52" fillId="5" borderId="85" xfId="0" applyFont="1" applyFill="1" applyBorder="1" applyAlignment="1" applyProtection="1">
      <alignment horizontal="left" vertical="center"/>
      <protection locked="0"/>
    </xf>
    <xf numFmtId="0" fontId="52" fillId="5" borderId="88" xfId="0" applyFont="1" applyFill="1" applyBorder="1" applyAlignment="1" applyProtection="1">
      <alignment vertical="center" wrapText="1"/>
    </xf>
    <xf numFmtId="0" fontId="52" fillId="5" borderId="118" xfId="0" applyFont="1" applyFill="1" applyBorder="1" applyAlignment="1" applyProtection="1">
      <alignment vertical="center" wrapText="1"/>
    </xf>
    <xf numFmtId="0" fontId="52" fillId="16" borderId="2"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protection locked="0"/>
    </xf>
    <xf numFmtId="0" fontId="52" fillId="7" borderId="60" xfId="0" applyFont="1" applyFill="1" applyBorder="1" applyAlignment="1" applyProtection="1">
      <alignment vertical="center" wrapText="1"/>
      <protection locked="0"/>
    </xf>
    <xf numFmtId="49" fontId="52" fillId="6" borderId="2" xfId="0" applyNumberFormat="1" applyFont="1" applyFill="1" applyBorder="1" applyAlignment="1" applyProtection="1">
      <alignment horizontal="left" vertical="center" wrapText="1"/>
    </xf>
    <xf numFmtId="0" fontId="52" fillId="16" borderId="46" xfId="0" applyFont="1" applyFill="1" applyBorder="1" applyAlignment="1" applyProtection="1">
      <alignment horizontal="left" vertical="center"/>
    </xf>
    <xf numFmtId="0" fontId="52" fillId="5" borderId="13" xfId="0" applyFont="1" applyFill="1" applyBorder="1" applyAlignment="1" applyProtection="1">
      <alignment horizontal="center" vertical="center" wrapText="1"/>
      <protection locked="0"/>
    </xf>
    <xf numFmtId="0" fontId="52" fillId="7" borderId="54" xfId="0" applyFont="1" applyFill="1" applyBorder="1" applyAlignment="1" applyProtection="1">
      <alignment vertical="center" wrapText="1"/>
      <protection locked="0"/>
    </xf>
    <xf numFmtId="0" fontId="52" fillId="7" borderId="3" xfId="0" applyFont="1" applyFill="1" applyBorder="1" applyAlignment="1" applyProtection="1">
      <alignment vertical="center" wrapText="1"/>
    </xf>
    <xf numFmtId="49" fontId="52" fillId="16" borderId="13" xfId="0" applyNumberFormat="1" applyFont="1" applyFill="1" applyBorder="1" applyAlignment="1" applyProtection="1">
      <alignment horizontal="left" vertical="center" wrapText="1"/>
    </xf>
    <xf numFmtId="49" fontId="52" fillId="6" borderId="1" xfId="0" applyNumberFormat="1"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2" fillId="16" borderId="60" xfId="0" applyFont="1" applyFill="1" applyBorder="1" applyAlignment="1" applyProtection="1">
      <alignment vertical="center" wrapText="1"/>
    </xf>
    <xf numFmtId="177" fontId="52" fillId="5" borderId="1" xfId="1"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left" vertical="center" wrapText="1"/>
    </xf>
    <xf numFmtId="0" fontId="52" fillId="6" borderId="60" xfId="0" applyFont="1" applyFill="1" applyBorder="1" applyAlignment="1" applyProtection="1">
      <alignment vertical="center" wrapText="1"/>
    </xf>
    <xf numFmtId="179" fontId="52" fillId="6" borderId="1" xfId="0" applyNumberFormat="1" applyFont="1" applyFill="1" applyBorder="1" applyAlignment="1" applyProtection="1">
      <alignment horizontal="center" vertical="center" wrapText="1"/>
    </xf>
    <xf numFmtId="0" fontId="52" fillId="6" borderId="0" xfId="0" applyNumberFormat="1" applyFont="1" applyFill="1" applyAlignment="1" applyProtection="1">
      <alignment horizontal="center" vertical="center" wrapText="1"/>
    </xf>
    <xf numFmtId="0" fontId="52" fillId="6" borderId="0" xfId="0" applyNumberFormat="1" applyFont="1" applyFill="1" applyAlignment="1" applyProtection="1">
      <alignment vertical="center" wrapText="1"/>
    </xf>
    <xf numFmtId="49" fontId="52" fillId="6" borderId="15" xfId="0" applyNumberFormat="1" applyFont="1" applyFill="1" applyBorder="1" applyAlignment="1" applyProtection="1">
      <alignment horizontal="left" vertical="center" wrapText="1"/>
    </xf>
    <xf numFmtId="0" fontId="52" fillId="5" borderId="77"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center" vertical="center" wrapText="1"/>
    </xf>
    <xf numFmtId="0" fontId="52" fillId="2" borderId="4" xfId="0" applyFont="1" applyFill="1" applyBorder="1" applyAlignment="1" applyProtection="1">
      <alignment vertical="center"/>
      <protection locked="0"/>
    </xf>
    <xf numFmtId="0" fontId="52" fillId="2" borderId="7" xfId="0" applyFont="1" applyFill="1" applyBorder="1" applyAlignment="1" applyProtection="1">
      <alignment vertical="center" wrapText="1"/>
    </xf>
    <xf numFmtId="0" fontId="52" fillId="2" borderId="7" xfId="0" applyFont="1" applyFill="1" applyBorder="1" applyAlignment="1" applyProtection="1">
      <alignment horizontal="left" vertical="center"/>
      <protection locked="0"/>
    </xf>
    <xf numFmtId="0" fontId="52" fillId="0" borderId="2" xfId="0" applyFont="1" applyBorder="1" applyAlignment="1" applyProtection="1">
      <alignment horizontal="left" vertical="center" wrapText="1"/>
      <protection locked="0"/>
    </xf>
    <xf numFmtId="0" fontId="52" fillId="2" borderId="5" xfId="0" applyFont="1" applyFill="1" applyBorder="1" applyAlignment="1" applyProtection="1">
      <alignment vertical="center"/>
      <protection locked="0"/>
    </xf>
    <xf numFmtId="0" fontId="52" fillId="2" borderId="3" xfId="0" applyFont="1" applyFill="1" applyBorder="1" applyAlignment="1" applyProtection="1">
      <alignment vertical="center"/>
    </xf>
    <xf numFmtId="0" fontId="52" fillId="5"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left" vertical="center"/>
      <protection locked="0"/>
    </xf>
    <xf numFmtId="0" fontId="52" fillId="6" borderId="35" xfId="0" applyFont="1" applyFill="1" applyBorder="1" applyAlignment="1" applyProtection="1">
      <alignment horizontal="left" vertical="center"/>
    </xf>
    <xf numFmtId="0" fontId="52" fillId="5" borderId="22" xfId="0" applyFont="1" applyFill="1" applyBorder="1" applyAlignment="1" applyProtection="1">
      <alignment horizontal="center" vertical="center" wrapText="1"/>
      <protection locked="0"/>
    </xf>
    <xf numFmtId="0" fontId="52" fillId="0" borderId="13" xfId="0" applyFont="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193" fontId="52" fillId="6" borderId="1"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58"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protection locked="0"/>
    </xf>
    <xf numFmtId="0" fontId="52" fillId="5" borderId="78" xfId="0" applyNumberFormat="1" applyFont="1" applyFill="1" applyBorder="1" applyAlignment="1" applyProtection="1">
      <alignment horizontal="center" vertical="center" wrapText="1"/>
      <protection locked="0"/>
    </xf>
    <xf numFmtId="0" fontId="148" fillId="6" borderId="151" xfId="0" applyFont="1" applyFill="1" applyBorder="1" applyAlignment="1" applyProtection="1">
      <alignment vertical="center"/>
    </xf>
    <xf numFmtId="0" fontId="57" fillId="6" borderId="151" xfId="0" applyFont="1" applyFill="1" applyBorder="1" applyAlignment="1" applyProtection="1">
      <alignment vertical="center" wrapText="1"/>
    </xf>
    <xf numFmtId="0" fontId="57" fillId="0" borderId="151" xfId="0" applyFont="1" applyBorder="1" applyAlignment="1" applyProtection="1">
      <alignment vertical="center" wrapText="1"/>
    </xf>
    <xf numFmtId="0" fontId="57" fillId="6" borderId="5" xfId="0" applyFont="1" applyFill="1" applyBorder="1" applyAlignment="1" applyProtection="1">
      <alignment vertical="center"/>
    </xf>
    <xf numFmtId="0" fontId="52" fillId="0" borderId="5"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0" fontId="52" fillId="6" borderId="0" xfId="0" applyFont="1" applyFill="1" applyAlignment="1" applyProtection="1">
      <alignment vertical="center" wrapText="1"/>
      <protection locked="0"/>
    </xf>
    <xf numFmtId="49" fontId="52" fillId="0" borderId="5" xfId="0" applyNumberFormat="1" applyFont="1" applyBorder="1" applyAlignment="1" applyProtection="1">
      <alignment vertical="center" wrapText="1"/>
      <protection locked="0"/>
    </xf>
    <xf numFmtId="0" fontId="57" fillId="6" borderId="40" xfId="0" applyFont="1" applyFill="1" applyBorder="1" applyAlignment="1" applyProtection="1">
      <alignment vertical="center" wrapText="1"/>
    </xf>
    <xf numFmtId="0" fontId="57" fillId="6" borderId="14" xfId="0" applyFont="1" applyFill="1" applyBorder="1" applyAlignment="1" applyProtection="1">
      <alignment vertical="center" wrapText="1"/>
    </xf>
    <xf numFmtId="0" fontId="57" fillId="6" borderId="12" xfId="0" applyFont="1" applyFill="1" applyBorder="1" applyAlignment="1" applyProtection="1">
      <alignment vertical="center" wrapText="1"/>
    </xf>
    <xf numFmtId="0" fontId="57" fillId="6" borderId="27" xfId="0" applyFont="1" applyFill="1" applyBorder="1" applyAlignment="1" applyProtection="1">
      <alignment vertical="center" wrapText="1"/>
    </xf>
    <xf numFmtId="49" fontId="57" fillId="6" borderId="27" xfId="0" applyNumberFormat="1" applyFont="1" applyFill="1" applyBorder="1" applyAlignment="1" applyProtection="1">
      <alignment vertical="center" wrapText="1"/>
    </xf>
    <xf numFmtId="0" fontId="57" fillId="6" borderId="80" xfId="0" applyFont="1" applyFill="1" applyBorder="1" applyAlignment="1" applyProtection="1">
      <alignment vertical="center" wrapText="1"/>
    </xf>
    <xf numFmtId="49" fontId="57" fillId="6" borderId="80" xfId="0" applyNumberFormat="1" applyFont="1" applyFill="1" applyBorder="1" applyAlignment="1" applyProtection="1">
      <alignment vertical="center" wrapText="1"/>
    </xf>
    <xf numFmtId="49" fontId="57" fillId="6" borderId="81" xfId="0" applyNumberFormat="1"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2" fillId="6" borderId="0" xfId="0" applyFont="1" applyFill="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7" fillId="6" borderId="63" xfId="0" applyFont="1" applyFill="1" applyBorder="1" applyAlignment="1" applyProtection="1">
      <alignment vertical="center" wrapText="1"/>
    </xf>
    <xf numFmtId="0" fontId="57" fillId="6" borderId="34" xfId="0" applyFont="1" applyFill="1" applyBorder="1" applyAlignment="1" applyProtection="1">
      <alignment vertical="center" wrapText="1"/>
    </xf>
    <xf numFmtId="0" fontId="57" fillId="6" borderId="65" xfId="0" applyFont="1" applyFill="1" applyBorder="1" applyAlignment="1" applyProtection="1">
      <alignment vertical="center"/>
    </xf>
    <xf numFmtId="0" fontId="57" fillId="6" borderId="0" xfId="0" applyFont="1" applyFill="1" applyBorder="1" applyAlignment="1" applyProtection="1">
      <alignment vertical="center" wrapText="1"/>
    </xf>
    <xf numFmtId="0" fontId="52" fillId="6" borderId="64" xfId="0" applyFont="1" applyFill="1" applyBorder="1" applyAlignment="1" applyProtection="1">
      <alignment vertical="center"/>
    </xf>
    <xf numFmtId="0" fontId="52"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2" fillId="6" borderId="0" xfId="0" applyNumberFormat="1" applyFont="1" applyFill="1" applyBorder="1" applyAlignment="1" applyProtection="1">
      <alignment vertical="center" wrapText="1"/>
      <protection locked="0"/>
    </xf>
    <xf numFmtId="0" fontId="52"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2"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2" fillId="6" borderId="0" xfId="0" applyFont="1" applyFill="1" applyBorder="1" applyAlignment="1" applyProtection="1">
      <alignment vertical="center" wrapText="1"/>
      <protection locked="0"/>
    </xf>
    <xf numFmtId="49" fontId="52" fillId="6" borderId="12" xfId="0" applyNumberFormat="1" applyFont="1" applyFill="1" applyBorder="1" applyAlignment="1" applyProtection="1">
      <alignment vertical="center" wrapText="1"/>
    </xf>
    <xf numFmtId="0" fontId="52"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2" fillId="6" borderId="0" xfId="0" applyFont="1" applyFill="1" applyBorder="1" applyAlignment="1" applyProtection="1">
      <alignment vertical="center"/>
      <protection locked="0"/>
    </xf>
    <xf numFmtId="0" fontId="52" fillId="6" borderId="32" xfId="0" applyFont="1" applyFill="1" applyBorder="1" applyAlignment="1" applyProtection="1">
      <alignment vertical="center" wrapText="1"/>
    </xf>
    <xf numFmtId="0" fontId="49" fillId="7" borderId="0" xfId="0" applyFont="1" applyFill="1" applyBorder="1" applyAlignment="1" applyProtection="1">
      <alignment vertical="center" wrapText="1"/>
      <protection locked="0"/>
    </xf>
    <xf numFmtId="0" fontId="49" fillId="7" borderId="0" xfId="0" applyNumberFormat="1" applyFont="1" applyFill="1" applyBorder="1" applyAlignment="1" applyProtection="1">
      <alignment vertical="center" wrapText="1"/>
      <protection locked="0"/>
    </xf>
    <xf numFmtId="49" fontId="49" fillId="7" borderId="0" xfId="0" applyNumberFormat="1" applyFont="1" applyFill="1" applyBorder="1" applyAlignment="1" applyProtection="1">
      <alignment vertical="center" wrapText="1"/>
      <protection locked="0"/>
    </xf>
    <xf numFmtId="0" fontId="49" fillId="0" borderId="0" xfId="0" applyFont="1" applyFill="1" applyAlignment="1" applyProtection="1">
      <alignment vertical="center"/>
      <protection locked="0"/>
    </xf>
    <xf numFmtId="0" fontId="57" fillId="6" borderId="0" xfId="0" applyFont="1" applyFill="1" applyBorder="1" applyAlignment="1" applyProtection="1">
      <alignment vertical="center" wrapText="1"/>
      <protection locked="0"/>
    </xf>
    <xf numFmtId="0" fontId="52" fillId="6" borderId="0" xfId="0" applyNumberFormat="1" applyFont="1" applyFill="1" applyBorder="1" applyAlignment="1" applyProtection="1">
      <alignment vertical="center" wrapText="1"/>
      <protection locked="0"/>
    </xf>
    <xf numFmtId="0" fontId="65"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4" fillId="6" borderId="104" xfId="0" applyFont="1" applyFill="1" applyBorder="1" applyAlignment="1" applyProtection="1">
      <alignment vertical="center"/>
    </xf>
    <xf numFmtId="0" fontId="49" fillId="7" borderId="0" xfId="0" applyFont="1" applyFill="1" applyAlignment="1" applyProtection="1">
      <alignment vertical="center" wrapText="1"/>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57" fillId="6" borderId="16"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6" borderId="82" xfId="0" applyFont="1" applyFill="1" applyBorder="1" applyAlignment="1" applyProtection="1">
      <alignment vertical="center" wrapText="1"/>
    </xf>
    <xf numFmtId="0" fontId="52" fillId="6" borderId="6" xfId="0" applyFont="1" applyFill="1" applyBorder="1" applyAlignment="1" applyProtection="1">
      <alignment vertical="center" wrapText="1"/>
    </xf>
    <xf numFmtId="49" fontId="52" fillId="6" borderId="62"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41" xfId="0" applyFont="1" applyFill="1" applyBorder="1" applyAlignment="1" applyProtection="1">
      <alignment vertical="center" wrapText="1"/>
    </xf>
    <xf numFmtId="49" fontId="52" fillId="6" borderId="24" xfId="0" applyNumberFormat="1" applyFont="1" applyFill="1" applyBorder="1" applyAlignment="1" applyProtection="1">
      <alignment vertical="center" wrapText="1"/>
    </xf>
    <xf numFmtId="0" fontId="52" fillId="6" borderId="23" xfId="0" applyFont="1" applyFill="1" applyBorder="1" applyAlignment="1" applyProtection="1">
      <alignment vertical="center" wrapText="1"/>
    </xf>
    <xf numFmtId="0" fontId="52" fillId="6" borderId="24" xfId="0" applyNumberFormat="1" applyFont="1" applyFill="1" applyBorder="1" applyAlignment="1" applyProtection="1">
      <alignment vertical="center" wrapText="1"/>
    </xf>
    <xf numFmtId="0" fontId="52" fillId="0" borderId="24" xfId="0" applyNumberFormat="1" applyFont="1" applyFill="1" applyBorder="1" applyAlignment="1" applyProtection="1">
      <alignment vertical="center" wrapText="1"/>
      <protection locked="0"/>
    </xf>
    <xf numFmtId="0" fontId="52" fillId="5" borderId="24" xfId="0" applyNumberFormat="1" applyFont="1" applyFill="1" applyBorder="1" applyAlignment="1" applyProtection="1">
      <alignment vertical="center" wrapText="1"/>
      <protection locked="0"/>
    </xf>
    <xf numFmtId="0" fontId="52" fillId="6" borderId="25" xfId="0" applyFont="1" applyFill="1" applyBorder="1" applyAlignment="1" applyProtection="1">
      <alignment vertical="center" wrapText="1"/>
    </xf>
    <xf numFmtId="0" fontId="52" fillId="0" borderId="49" xfId="0" applyNumberFormat="1" applyFont="1" applyFill="1" applyBorder="1" applyAlignment="1" applyProtection="1">
      <alignment vertical="center" wrapText="1"/>
      <protection locked="0"/>
    </xf>
    <xf numFmtId="0" fontId="52" fillId="6" borderId="49" xfId="0" applyNumberFormat="1" applyFont="1" applyFill="1" applyBorder="1" applyAlignment="1" applyProtection="1">
      <alignment vertical="center" wrapText="1"/>
    </xf>
    <xf numFmtId="0" fontId="52" fillId="6" borderId="0" xfId="0" applyNumberFormat="1" applyFont="1" applyFill="1" applyAlignment="1" applyProtection="1">
      <alignment vertical="center" wrapText="1"/>
      <protection locked="0"/>
    </xf>
    <xf numFmtId="0" fontId="49" fillId="0" borderId="0" xfId="0" applyFont="1" applyFill="1" applyAlignment="1" applyProtection="1">
      <alignment vertical="center" wrapText="1"/>
      <protection locked="0"/>
    </xf>
    <xf numFmtId="0" fontId="49"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101"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2" fillId="7" borderId="0" xfId="0" applyFont="1" applyFill="1" applyProtection="1">
      <alignment vertical="center"/>
    </xf>
    <xf numFmtId="0" fontId="107" fillId="7" borderId="0" xfId="0" applyFont="1" applyFill="1" applyProtection="1">
      <alignment vertical="center"/>
    </xf>
    <xf numFmtId="0" fontId="106"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10" fontId="113" fillId="6" borderId="1" xfId="0" applyNumberFormat="1"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13" fillId="6" borderId="13" xfId="0" applyFont="1" applyFill="1" applyBorder="1" applyAlignment="1" applyProtection="1">
      <alignment horizontal="left" vertical="center" wrapText="1"/>
    </xf>
    <xf numFmtId="9" fontId="113" fillId="6" borderId="13" xfId="0" applyNumberFormat="1" applyFont="1" applyFill="1" applyBorder="1" applyAlignment="1" applyProtection="1">
      <alignment horizontal="left" vertical="center"/>
    </xf>
    <xf numFmtId="0" fontId="106" fillId="6" borderId="5"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36" xfId="0" applyFont="1" applyFill="1" applyBorder="1" applyAlignment="1" applyProtection="1">
      <alignment horizontal="left" vertical="center" wrapText="1"/>
    </xf>
    <xf numFmtId="0" fontId="113" fillId="6" borderId="22"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54" xfId="0" applyFont="1" applyFill="1" applyBorder="1" applyAlignment="1" applyProtection="1">
      <alignment horizontal="left" vertical="center"/>
    </xf>
    <xf numFmtId="0" fontId="113" fillId="6" borderId="3"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13" fillId="6" borderId="0" xfId="0" applyFont="1" applyFill="1" applyBorder="1" applyAlignment="1" applyProtection="1">
      <alignment horizontal="left" vertical="center" wrapText="1"/>
    </xf>
    <xf numFmtId="0" fontId="113" fillId="6" borderId="35" xfId="0" applyFont="1" applyFill="1" applyBorder="1" applyAlignment="1" applyProtection="1">
      <alignment horizontal="left" vertical="center" wrapText="1"/>
    </xf>
    <xf numFmtId="0" fontId="113" fillId="6" borderId="4"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wrapText="1"/>
    </xf>
    <xf numFmtId="0" fontId="113" fillId="6" borderId="7" xfId="0" applyFont="1" applyFill="1" applyBorder="1" applyAlignment="1" applyProtection="1">
      <alignment horizontal="left" vertical="center" wrapText="1"/>
    </xf>
    <xf numFmtId="0" fontId="52" fillId="7"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181" fontId="52" fillId="6" borderId="0" xfId="0" applyNumberFormat="1" applyFont="1" applyFill="1" applyAlignment="1" applyProtection="1">
      <alignment horizontal="left" vertical="center"/>
    </xf>
    <xf numFmtId="9" fontId="52" fillId="6" borderId="24" xfId="0" applyNumberFormat="1" applyFont="1" applyFill="1" applyBorder="1" applyAlignment="1" applyProtection="1">
      <alignment horizontal="left" vertical="center"/>
    </xf>
    <xf numFmtId="9" fontId="52" fillId="6" borderId="0" xfId="0" applyNumberFormat="1" applyFont="1" applyFill="1" applyAlignment="1" applyProtection="1">
      <alignment horizontal="left" vertical="center"/>
      <protection locked="0"/>
    </xf>
    <xf numFmtId="10" fontId="52" fillId="6" borderId="2" xfId="0" applyNumberFormat="1" applyFont="1" applyFill="1" applyBorder="1" applyAlignment="1" applyProtection="1">
      <alignment horizontal="left" vertical="center"/>
    </xf>
    <xf numFmtId="0" fontId="53" fillId="0" borderId="24"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protection locked="0"/>
    </xf>
    <xf numFmtId="0" fontId="52" fillId="6" borderId="14"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xf>
    <xf numFmtId="0" fontId="52" fillId="6" borderId="41" xfId="0"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53" fillId="6" borderId="0" xfId="0" applyFont="1" applyFill="1" applyAlignment="1" applyProtection="1">
      <alignment horizontal="left" vertical="center"/>
      <protection locked="0"/>
    </xf>
    <xf numFmtId="0" fontId="121" fillId="0" borderId="24"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52" fillId="18" borderId="33" xfId="0" applyFont="1" applyFill="1" applyBorder="1" applyAlignment="1" applyProtection="1">
      <alignment horizontal="left" vertical="center"/>
    </xf>
    <xf numFmtId="0" fontId="52" fillId="18" borderId="32" xfId="0" applyFont="1" applyFill="1" applyBorder="1" applyAlignment="1" applyProtection="1">
      <alignment horizontal="left" vertical="center" wrapText="1"/>
    </xf>
    <xf numFmtId="10" fontId="52" fillId="18" borderId="32" xfId="0" applyNumberFormat="1" applyFont="1" applyFill="1" applyBorder="1" applyAlignment="1" applyProtection="1">
      <alignment horizontal="left" vertical="center"/>
    </xf>
    <xf numFmtId="0" fontId="121" fillId="0" borderId="49" xfId="0" applyFont="1" applyFill="1" applyBorder="1" applyAlignment="1" applyProtection="1">
      <alignment horizontal="left" vertical="center" wrapText="1"/>
      <protection locked="0"/>
    </xf>
    <xf numFmtId="177" fontId="59" fillId="6" borderId="2" xfId="0" applyNumberFormat="1" applyFont="1" applyFill="1" applyBorder="1" applyAlignment="1" applyProtection="1">
      <alignment horizontal="left" vertical="center" wrapText="1"/>
    </xf>
    <xf numFmtId="177" fontId="58" fillId="6" borderId="1" xfId="0" applyNumberFormat="1" applyFont="1" applyFill="1" applyBorder="1" applyAlignment="1" applyProtection="1">
      <alignment horizontal="left" vertical="center" wrapText="1"/>
    </xf>
    <xf numFmtId="177" fontId="58" fillId="0" borderId="1" xfId="0" applyNumberFormat="1"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177" fontId="59" fillId="6" borderId="1" xfId="0" applyNumberFormat="1" applyFont="1" applyFill="1" applyBorder="1" applyAlignment="1" applyProtection="1">
      <alignment horizontal="left" vertical="center" wrapText="1"/>
    </xf>
    <xf numFmtId="177" fontId="59" fillId="6" borderId="32" xfId="0" applyNumberFormat="1" applyFont="1" applyFill="1" applyBorder="1" applyAlignment="1" applyProtection="1">
      <alignment horizontal="left" vertical="center" wrapText="1"/>
    </xf>
    <xf numFmtId="10" fontId="58" fillId="6" borderId="32" xfId="0" applyNumberFormat="1" applyFont="1" applyFill="1" applyBorder="1" applyAlignment="1" applyProtection="1">
      <alignment horizontal="left" vertical="center" wrapText="1"/>
    </xf>
    <xf numFmtId="0" fontId="58" fillId="0" borderId="1" xfId="0" applyFont="1" applyFill="1" applyBorder="1" applyAlignment="1" applyProtection="1">
      <alignment horizontal="left" vertical="center" wrapText="1"/>
      <protection locked="0"/>
    </xf>
    <xf numFmtId="0" fontId="49" fillId="2" borderId="1" xfId="2" applyFont="1" applyFill="1" applyBorder="1" applyAlignment="1" applyProtection="1">
      <alignment horizontal="left" vertical="center" wrapText="1"/>
      <protection locked="0"/>
    </xf>
    <xf numFmtId="177" fontId="58" fillId="0" borderId="24" xfId="0" applyNumberFormat="1" applyFont="1" applyFill="1" applyBorder="1" applyAlignment="1" applyProtection="1">
      <alignment horizontal="left" vertical="center" wrapText="1"/>
      <protection locked="0"/>
    </xf>
    <xf numFmtId="9" fontId="49" fillId="6" borderId="0" xfId="0" applyNumberFormat="1" applyFont="1" applyFill="1" applyBorder="1" applyAlignment="1" applyProtection="1">
      <alignment horizontal="left" vertical="center"/>
    </xf>
    <xf numFmtId="10" fontId="58" fillId="6" borderId="1" xfId="0" applyNumberFormat="1" applyFont="1" applyFill="1" applyBorder="1" applyAlignment="1" applyProtection="1">
      <alignment horizontal="left" vertical="center" wrapText="1"/>
    </xf>
    <xf numFmtId="191" fontId="58" fillId="6" borderId="1" xfId="0" applyNumberFormat="1" applyFont="1" applyFill="1" applyBorder="1" applyAlignment="1" applyProtection="1">
      <alignment horizontal="left" vertical="center" wrapText="1"/>
    </xf>
    <xf numFmtId="10" fontId="57" fillId="6" borderId="5" xfId="0" applyNumberFormat="1" applyFont="1" applyFill="1" applyBorder="1" applyAlignment="1" applyProtection="1">
      <alignment horizontal="left" vertical="center" wrapText="1"/>
    </xf>
    <xf numFmtId="181" fontId="59" fillId="6" borderId="1"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8" fillId="6" borderId="5" xfId="0" applyFont="1" applyFill="1" applyBorder="1" applyAlignment="1" applyProtection="1">
      <alignment horizontal="left" vertical="center" wrapText="1"/>
    </xf>
    <xf numFmtId="191" fontId="58" fillId="0" borderId="1" xfId="0" applyNumberFormat="1" applyFont="1" applyFill="1" applyBorder="1" applyAlignment="1" applyProtection="1">
      <alignment horizontal="left" vertical="center" wrapText="1"/>
      <protection locked="0"/>
    </xf>
    <xf numFmtId="10" fontId="57" fillId="5" borderId="5" xfId="0" applyNumberFormat="1" applyFont="1" applyFill="1" applyBorder="1" applyAlignment="1" applyProtection="1">
      <alignment horizontal="left" vertical="center" wrapText="1"/>
      <protection locked="0"/>
    </xf>
    <xf numFmtId="0" fontId="134"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34" fillId="6" borderId="5"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48" xfId="0" applyFont="1" applyFill="1" applyBorder="1" applyAlignment="1" applyProtection="1">
      <alignment horizontal="left" vertical="center" wrapText="1"/>
    </xf>
    <xf numFmtId="0" fontId="134" fillId="6" borderId="33" xfId="0" applyFont="1" applyFill="1" applyBorder="1" applyAlignment="1" applyProtection="1">
      <alignment horizontal="left" vertical="center" wrapText="1"/>
    </xf>
    <xf numFmtId="0" fontId="111" fillId="6" borderId="33" xfId="0" applyFont="1" applyFill="1" applyBorder="1" applyAlignment="1" applyProtection="1">
      <alignment horizontal="left" vertical="center" wrapText="1"/>
    </xf>
    <xf numFmtId="0" fontId="111" fillId="6" borderId="68" xfId="0" applyFont="1" applyFill="1" applyBorder="1" applyAlignment="1" applyProtection="1">
      <alignment horizontal="left" vertical="center" wrapText="1"/>
    </xf>
    <xf numFmtId="0" fontId="51" fillId="6" borderId="24" xfId="0" applyFont="1" applyFill="1" applyBorder="1" applyAlignment="1" applyProtection="1">
      <alignment horizontal="left" vertical="center"/>
    </xf>
    <xf numFmtId="0" fontId="49" fillId="18" borderId="24" xfId="0"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7" fillId="6" borderId="24" xfId="0" applyFont="1" applyFill="1" applyBorder="1" applyAlignment="1" applyProtection="1">
      <alignment horizontal="left" vertical="center"/>
    </xf>
    <xf numFmtId="0" fontId="49" fillId="6" borderId="49"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xf>
    <xf numFmtId="0" fontId="105"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5" fillId="6" borderId="23" xfId="0" applyFont="1" applyFill="1" applyBorder="1" applyAlignment="1">
      <alignment horizontal="left" vertical="center"/>
    </xf>
    <xf numFmtId="0" fontId="105" fillId="6" borderId="25" xfId="0" applyFont="1" applyFill="1" applyBorder="1" applyAlignment="1">
      <alignment horizontal="left" vertical="center"/>
    </xf>
    <xf numFmtId="0" fontId="105" fillId="6" borderId="5" xfId="0" applyFont="1" applyFill="1" applyBorder="1" applyAlignment="1" applyProtection="1">
      <alignment horizontal="left" vertical="center"/>
    </xf>
    <xf numFmtId="0" fontId="105" fillId="6" borderId="24" xfId="0" applyFont="1" applyFill="1" applyBorder="1" applyAlignment="1" applyProtection="1">
      <alignment horizontal="left" vertical="center"/>
    </xf>
    <xf numFmtId="0" fontId="133" fillId="6" borderId="1" xfId="0" applyFont="1" applyFill="1" applyBorder="1" applyAlignment="1">
      <alignment horizontal="left" vertical="center" wrapText="1"/>
    </xf>
    <xf numFmtId="0" fontId="133" fillId="5" borderId="1" xfId="0" applyFont="1" applyFill="1" applyBorder="1" applyAlignment="1" applyProtection="1">
      <alignment horizontal="left" vertical="center"/>
      <protection locked="0"/>
    </xf>
    <xf numFmtId="0" fontId="133" fillId="6" borderId="1" xfId="0" applyFont="1" applyFill="1" applyBorder="1" applyAlignment="1">
      <alignment horizontal="center" vertical="center"/>
    </xf>
    <xf numFmtId="0" fontId="133" fillId="6" borderId="1" xfId="0" applyFont="1" applyFill="1" applyBorder="1" applyAlignment="1">
      <alignment horizontal="left" vertical="center"/>
    </xf>
    <xf numFmtId="0" fontId="105" fillId="6" borderId="1" xfId="0" applyFont="1" applyFill="1" applyBorder="1" applyAlignment="1">
      <alignment horizontal="left" vertical="center"/>
    </xf>
    <xf numFmtId="49" fontId="52" fillId="6" borderId="0" xfId="0" applyNumberFormat="1" applyFont="1" applyFill="1" applyAlignment="1" applyProtection="1">
      <alignment horizontal="center" vertical="center" wrapText="1"/>
      <protection locked="0"/>
    </xf>
    <xf numFmtId="0" fontId="52" fillId="6" borderId="5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wrapText="1"/>
      <protection locked="0"/>
    </xf>
    <xf numFmtId="49" fontId="52" fillId="6" borderId="58" xfId="0" applyNumberFormat="1" applyFont="1" applyFill="1" applyBorder="1" applyAlignment="1" applyProtection="1">
      <alignment horizontal="center" vertical="center" wrapText="1"/>
      <protection locked="0"/>
    </xf>
    <xf numFmtId="177"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left" vertical="center"/>
      <protection locked="0"/>
    </xf>
    <xf numFmtId="0" fontId="52" fillId="6" borderId="58"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protection locked="0"/>
    </xf>
    <xf numFmtId="0" fontId="52" fillId="6" borderId="1" xfId="0" applyFont="1" applyFill="1" applyBorder="1" applyAlignment="1" applyProtection="1">
      <alignment vertical="center" wrapText="1"/>
      <protection locked="0"/>
    </xf>
    <xf numFmtId="0" fontId="57" fillId="6" borderId="151" xfId="0" applyFont="1" applyFill="1" applyBorder="1" applyAlignment="1" applyProtection="1">
      <alignment vertical="center" wrapText="1"/>
      <protection locked="0"/>
    </xf>
    <xf numFmtId="0" fontId="57" fillId="6" borderId="152" xfId="0" applyFont="1" applyFill="1" applyBorder="1" applyAlignment="1" applyProtection="1">
      <alignment vertical="center" wrapText="1"/>
      <protection locked="0"/>
    </xf>
    <xf numFmtId="0" fontId="57" fillId="6" borderId="151" xfId="0" applyFont="1" applyFill="1" applyBorder="1" applyAlignment="1" applyProtection="1">
      <alignment horizontal="center" vertical="center" wrapText="1"/>
      <protection locked="0"/>
    </xf>
    <xf numFmtId="0" fontId="57" fillId="0" borderId="151" xfId="0" applyFont="1" applyBorder="1" applyAlignment="1" applyProtection="1">
      <alignment vertical="center" wrapText="1"/>
      <protection locked="0"/>
    </xf>
    <xf numFmtId="49" fontId="52" fillId="6" borderId="5" xfId="0" applyNumberFormat="1" applyFont="1" applyFill="1" applyBorder="1" applyAlignment="1" applyProtection="1">
      <alignment horizontal="center" vertical="center" wrapText="1"/>
      <protection locked="0"/>
    </xf>
    <xf numFmtId="49" fontId="52" fillId="6" borderId="1" xfId="0" applyNumberFormat="1" applyFont="1" applyFill="1" applyBorder="1" applyAlignment="1" applyProtection="1">
      <alignment horizontal="center" vertical="center" wrapText="1"/>
      <protection locked="0"/>
    </xf>
    <xf numFmtId="49" fontId="52" fillId="0" borderId="58"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16" borderId="15" xfId="0" applyNumberFormat="1" applyFont="1" applyFill="1" applyBorder="1" applyAlignment="1" applyProtection="1">
      <alignment vertical="center" wrapText="1"/>
    </xf>
    <xf numFmtId="0" fontId="52" fillId="16" borderId="78" xfId="0" applyNumberFormat="1" applyFont="1" applyFill="1" applyBorder="1" applyAlignment="1" applyProtection="1">
      <alignment vertical="center" wrapText="1"/>
    </xf>
    <xf numFmtId="0" fontId="52" fillId="6" borderId="5" xfId="0" applyFont="1" applyFill="1" applyBorder="1" applyAlignment="1" applyProtection="1">
      <alignment vertical="center" wrapText="1"/>
    </xf>
    <xf numFmtId="0" fontId="52" fillId="5" borderId="23" xfId="0" applyFont="1" applyFill="1" applyBorder="1" applyAlignment="1" applyProtection="1">
      <alignment vertical="center" wrapText="1"/>
      <protection locked="0"/>
    </xf>
    <xf numFmtId="0" fontId="52" fillId="5" borderId="24" xfId="0" applyFont="1" applyFill="1" applyBorder="1" applyAlignment="1" applyProtection="1">
      <alignment vertical="center" wrapText="1"/>
      <protection locked="0"/>
    </xf>
    <xf numFmtId="0" fontId="52" fillId="5" borderId="5" xfId="0" applyFont="1" applyFill="1" applyBorder="1" applyAlignment="1" applyProtection="1">
      <alignment vertical="center" wrapText="1"/>
      <protection locked="0"/>
    </xf>
    <xf numFmtId="0" fontId="52" fillId="5" borderId="23" xfId="0" applyFont="1" applyFill="1" applyBorder="1" applyAlignment="1" applyProtection="1">
      <alignment vertical="center" wrapText="1" shrinkToFit="1"/>
      <protection locked="0"/>
    </xf>
    <xf numFmtId="0" fontId="52"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2"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2" fillId="6" borderId="89" xfId="0" applyFont="1" applyFill="1" applyBorder="1" applyAlignment="1" applyProtection="1">
      <alignment vertical="center" wrapText="1"/>
    </xf>
    <xf numFmtId="0" fontId="52"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2" fillId="6" borderId="27" xfId="0" applyFont="1" applyFill="1" applyBorder="1" applyAlignment="1" applyProtection="1">
      <alignment horizontal="left" vertical="center"/>
    </xf>
    <xf numFmtId="0" fontId="52" fillId="0" borderId="96" xfId="0" applyFont="1" applyBorder="1" applyAlignment="1" applyProtection="1">
      <alignment horizontal="left" vertical="center" wrapText="1"/>
      <protection locked="0"/>
    </xf>
    <xf numFmtId="0" fontId="49" fillId="0" borderId="0" xfId="0" applyFont="1" applyFill="1" applyProtection="1">
      <alignment vertical="center"/>
      <protection locked="0"/>
    </xf>
    <xf numFmtId="0" fontId="49" fillId="6" borderId="51" xfId="0" applyFont="1" applyFill="1" applyBorder="1" applyProtection="1">
      <alignment vertical="center"/>
    </xf>
    <xf numFmtId="0" fontId="49" fillId="6" borderId="20" xfId="0" applyFont="1" applyFill="1" applyBorder="1" applyProtection="1">
      <alignment vertical="center"/>
    </xf>
    <xf numFmtId="0" fontId="49" fillId="6" borderId="41" xfId="0" applyFont="1" applyFill="1" applyBorder="1" applyProtection="1">
      <alignment vertical="center"/>
    </xf>
    <xf numFmtId="0" fontId="49" fillId="6" borderId="14" xfId="0" applyFont="1" applyFill="1" applyBorder="1" applyProtection="1">
      <alignment vertical="center"/>
    </xf>
    <xf numFmtId="0" fontId="49" fillId="6" borderId="61" xfId="0" applyFont="1" applyFill="1" applyBorder="1" applyAlignment="1" applyProtection="1">
      <alignment horizontal="center" vertical="center"/>
    </xf>
    <xf numFmtId="0" fontId="49" fillId="6" borderId="38" xfId="0" applyFont="1" applyFill="1" applyBorder="1" applyProtection="1">
      <alignment vertical="center"/>
    </xf>
    <xf numFmtId="0" fontId="49" fillId="6" borderId="66" xfId="0" applyFont="1" applyFill="1" applyBorder="1" applyProtection="1">
      <alignment vertical="center"/>
    </xf>
    <xf numFmtId="0" fontId="49" fillId="0" borderId="49" xfId="0" applyFont="1" applyFill="1" applyBorder="1" applyAlignment="1" applyProtection="1">
      <alignment horizontal="center" vertical="center"/>
      <protection locked="0"/>
    </xf>
    <xf numFmtId="0" fontId="52" fillId="6" borderId="82" xfId="0" applyFont="1" applyFill="1" applyBorder="1" applyAlignment="1" applyProtection="1">
      <alignment horizontal="center" vertical="center"/>
    </xf>
    <xf numFmtId="0" fontId="49" fillId="12" borderId="0" xfId="0" applyFont="1" applyFill="1" applyProtection="1">
      <alignment vertical="center"/>
      <protection locked="0"/>
    </xf>
    <xf numFmtId="0" fontId="49" fillId="12" borderId="0" xfId="0" applyFont="1" applyFill="1" applyBorder="1" applyProtection="1">
      <alignment vertical="center"/>
      <protection locked="0"/>
    </xf>
    <xf numFmtId="0" fontId="49" fillId="12" borderId="0" xfId="0" applyFont="1" applyFill="1" applyAlignment="1" applyProtection="1">
      <alignment horizontal="center" vertical="center"/>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87" xfId="0" applyFont="1" applyFill="1" applyBorder="1" applyAlignment="1" applyProtection="1">
      <alignment vertical="center" wrapText="1"/>
      <protection locked="0"/>
    </xf>
    <xf numFmtId="0" fontId="52" fillId="12" borderId="60" xfId="0" applyFont="1" applyFill="1" applyBorder="1" applyAlignment="1" applyProtection="1">
      <alignment vertical="center" wrapText="1"/>
    </xf>
    <xf numFmtId="0" fontId="52" fillId="12" borderId="60" xfId="0" applyFont="1" applyFill="1" applyBorder="1" applyAlignment="1" applyProtection="1">
      <alignment horizontal="center" vertical="center" wrapText="1"/>
    </xf>
    <xf numFmtId="0" fontId="52" fillId="12" borderId="7" xfId="0" applyFont="1" applyFill="1" applyBorder="1" applyAlignment="1" applyProtection="1">
      <alignment vertical="center" wrapText="1"/>
    </xf>
    <xf numFmtId="0" fontId="52" fillId="12" borderId="1" xfId="0" applyNumberFormat="1" applyFont="1" applyFill="1" applyBorder="1" applyAlignment="1" applyProtection="1">
      <alignment horizontal="center" vertical="center" wrapText="1"/>
      <protection locked="0"/>
    </xf>
    <xf numFmtId="0" fontId="52" fillId="12" borderId="78"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xf>
    <xf numFmtId="0" fontId="52" fillId="12" borderId="0" xfId="0" applyFont="1" applyFill="1" applyAlignment="1" applyProtection="1">
      <alignment vertical="center"/>
      <protection locked="0"/>
    </xf>
    <xf numFmtId="0" fontId="52" fillId="12" borderId="0" xfId="0" applyFont="1" applyFill="1" applyAlignment="1" applyProtection="1">
      <alignment horizontal="center" vertical="center"/>
      <protection locked="0"/>
    </xf>
    <xf numFmtId="0" fontId="49" fillId="12" borderId="0" xfId="0" applyFont="1" applyFill="1" applyAlignment="1" applyProtection="1">
      <alignment vertical="center"/>
      <protection locked="0"/>
    </xf>
    <xf numFmtId="0" fontId="49" fillId="12" borderId="0" xfId="0" applyFont="1" applyFill="1" applyBorder="1" applyAlignment="1" applyProtection="1">
      <alignment vertical="center"/>
      <protection locked="0"/>
    </xf>
    <xf numFmtId="179" fontId="52" fillId="12" borderId="0" xfId="0" applyNumberFormat="1" applyFont="1" applyFill="1" applyAlignment="1" applyProtection="1">
      <alignment vertical="center"/>
      <protection locked="0"/>
    </xf>
    <xf numFmtId="179" fontId="49" fillId="12" borderId="0" xfId="0" applyNumberFormat="1" applyFont="1" applyFill="1" applyAlignment="1" applyProtection="1">
      <alignment vertical="center"/>
      <protection locked="0"/>
    </xf>
    <xf numFmtId="0" fontId="49" fillId="12" borderId="67" xfId="0" applyFont="1" applyFill="1" applyBorder="1" applyAlignment="1" applyProtection="1">
      <alignment horizontal="center" vertical="center"/>
      <protection locked="0"/>
    </xf>
    <xf numFmtId="0" fontId="107" fillId="12" borderId="0" xfId="0" applyFont="1" applyFill="1" applyAlignment="1" applyProtection="1">
      <alignment horizontal="left" vertical="center"/>
      <protection locked="0"/>
    </xf>
    <xf numFmtId="179" fontId="49"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121" fillId="12" borderId="0" xfId="0" applyFont="1" applyFill="1" applyAlignment="1" applyProtection="1">
      <alignment vertical="center"/>
      <protection locked="0"/>
    </xf>
    <xf numFmtId="0" fontId="52" fillId="12" borderId="0" xfId="0" applyFont="1" applyFill="1" applyAlignment="1" applyProtection="1">
      <alignment vertical="center"/>
    </xf>
    <xf numFmtId="181" fontId="105" fillId="12" borderId="0" xfId="0" applyNumberFormat="1" applyFont="1" applyFill="1" applyAlignment="1" applyProtection="1">
      <alignment horizontal="center" vertical="center"/>
    </xf>
    <xf numFmtId="179" fontId="107" fillId="12" borderId="0" xfId="0" applyNumberFormat="1" applyFont="1" applyFill="1" applyAlignment="1" applyProtection="1">
      <alignment vertical="center"/>
      <protection locked="0"/>
    </xf>
    <xf numFmtId="0" fontId="49" fillId="12" borderId="0" xfId="0" applyFont="1" applyFill="1" applyAlignment="1" applyProtection="1">
      <alignment vertical="center"/>
    </xf>
    <xf numFmtId="0" fontId="169" fillId="12" borderId="0" xfId="12" applyFont="1" applyFill="1" applyBorder="1" applyAlignment="1" applyProtection="1">
      <alignment horizontal="left" vertical="center" wrapText="1"/>
      <protection locked="0"/>
    </xf>
    <xf numFmtId="0" fontId="168" fillId="12" borderId="0" xfId="12" applyFill="1" applyBorder="1" applyAlignment="1" applyProtection="1">
      <alignment horizontal="left"/>
      <protection locked="0"/>
    </xf>
    <xf numFmtId="0" fontId="168" fillId="12" borderId="0" xfId="12" applyFill="1" applyAlignment="1" applyProtection="1">
      <alignment horizontal="left"/>
      <protection locked="0"/>
    </xf>
    <xf numFmtId="0" fontId="190" fillId="17" borderId="154" xfId="0" applyFont="1" applyFill="1" applyBorder="1" applyAlignment="1" applyProtection="1">
      <alignment horizontal="right"/>
      <protection locked="0"/>
    </xf>
    <xf numFmtId="181" fontId="52" fillId="6" borderId="0" xfId="0" applyNumberFormat="1" applyFont="1" applyFill="1" applyProtection="1">
      <alignment vertical="center"/>
      <protection locked="0"/>
    </xf>
    <xf numFmtId="0" fontId="105" fillId="0" borderId="0" xfId="0" applyFont="1" applyFill="1" applyProtection="1">
      <alignment vertical="center"/>
      <protection locked="0"/>
    </xf>
    <xf numFmtId="0" fontId="68" fillId="6" borderId="0" xfId="0" applyFont="1" applyFill="1" applyAlignment="1" applyProtection="1">
      <alignment vertical="center"/>
      <protection locked="0"/>
    </xf>
    <xf numFmtId="49" fontId="67" fillId="6" borderId="0" xfId="0" applyNumberFormat="1" applyFont="1" applyFill="1" applyBorder="1" applyAlignment="1" applyProtection="1">
      <alignment horizontal="center"/>
      <protection locked="0"/>
    </xf>
    <xf numFmtId="49" fontId="67"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center"/>
      <protection locked="0"/>
    </xf>
    <xf numFmtId="49" fontId="59"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left" vertical="center"/>
      <protection locked="0"/>
    </xf>
    <xf numFmtId="0" fontId="58" fillId="6" borderId="0" xfId="0" applyFont="1" applyFill="1" applyBorder="1" applyAlignment="1" applyProtection="1">
      <alignment horizontal="left" vertical="center"/>
      <protection locked="0"/>
    </xf>
    <xf numFmtId="179" fontId="65" fillId="6" borderId="0" xfId="0" applyNumberFormat="1" applyFont="1" applyFill="1" applyBorder="1" applyAlignment="1" applyProtection="1">
      <alignment horizontal="center" vertical="center"/>
      <protection locked="0"/>
    </xf>
    <xf numFmtId="0" fontId="106" fillId="6" borderId="0" xfId="0" applyFont="1" applyFill="1" applyAlignment="1" applyProtection="1">
      <protection locked="0"/>
    </xf>
    <xf numFmtId="0" fontId="106" fillId="6" borderId="0" xfId="0" applyFont="1" applyFill="1" applyAlignment="1" applyProtection="1">
      <alignment horizontal="left"/>
      <protection locked="0"/>
    </xf>
    <xf numFmtId="0" fontId="57" fillId="6" borderId="0" xfId="0" applyFont="1" applyFill="1" applyAlignment="1" applyProtection="1">
      <alignment horizontal="left"/>
      <protection locked="0"/>
    </xf>
    <xf numFmtId="0" fontId="57" fillId="6" borderId="0" xfId="0" applyFont="1" applyFill="1" applyAlignment="1" applyProtection="1">
      <protection locked="0"/>
    </xf>
    <xf numFmtId="0" fontId="58" fillId="6" borderId="0" xfId="0" applyFont="1" applyFill="1" applyAlignment="1" applyProtection="1">
      <alignment horizontal="left" vertical="center"/>
      <protection locked="0"/>
    </xf>
    <xf numFmtId="0" fontId="148" fillId="6" borderId="0" xfId="0" applyFont="1" applyFill="1" applyAlignment="1" applyProtection="1">
      <alignment vertical="center"/>
      <protection locked="0"/>
    </xf>
    <xf numFmtId="177" fontId="59" fillId="7" borderId="0" xfId="0" applyNumberFormat="1" applyFont="1" applyFill="1" applyBorder="1" applyAlignment="1" applyProtection="1">
      <protection locked="0"/>
    </xf>
    <xf numFmtId="0" fontId="105" fillId="12" borderId="0" xfId="0" applyFont="1" applyFill="1">
      <alignment vertical="center"/>
    </xf>
    <xf numFmtId="0" fontId="217" fillId="12" borderId="0" xfId="0" applyFont="1" applyFill="1" applyBorder="1">
      <alignment vertical="center"/>
    </xf>
    <xf numFmtId="0" fontId="105" fillId="12" borderId="0" xfId="0" applyFont="1" applyFill="1" applyBorder="1">
      <alignment vertical="center"/>
    </xf>
    <xf numFmtId="0" fontId="105" fillId="12" borderId="47" xfId="0" applyFont="1" applyFill="1" applyBorder="1">
      <alignment vertical="center"/>
    </xf>
    <xf numFmtId="0" fontId="105" fillId="12" borderId="56" xfId="0" applyFont="1" applyFill="1" applyBorder="1" applyProtection="1">
      <alignment vertical="center"/>
    </xf>
    <xf numFmtId="0" fontId="62" fillId="12" borderId="18" xfId="1" applyFont="1" applyFill="1" applyBorder="1" applyAlignment="1" applyProtection="1">
      <alignment vertical="center"/>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horizontal="center" vertical="center" wrapText="1"/>
      <protection locked="0"/>
    </xf>
    <xf numFmtId="181" fontId="73"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protection locked="0"/>
    </xf>
    <xf numFmtId="181" fontId="56" fillId="12" borderId="0" xfId="0" applyNumberFormat="1" applyFont="1" applyFill="1" applyBorder="1" applyAlignment="1" applyProtection="1">
      <alignment vertical="center" wrapText="1"/>
      <protection locked="0"/>
    </xf>
    <xf numFmtId="0" fontId="56" fillId="12" borderId="0" xfId="0" applyFont="1" applyFill="1" applyAlignment="1" applyProtection="1">
      <alignment horizontal="center" vertical="center"/>
      <protection locked="0"/>
    </xf>
    <xf numFmtId="181" fontId="56" fillId="12" borderId="0" xfId="0" applyNumberFormat="1" applyFont="1" applyFill="1" applyAlignment="1" applyProtection="1">
      <alignment horizontal="center" vertical="center"/>
      <protection locked="0"/>
    </xf>
    <xf numFmtId="181" fontId="73" fillId="12" borderId="0" xfId="0" applyNumberFormat="1" applyFont="1" applyFill="1" applyAlignment="1" applyProtection="1">
      <alignment horizontal="center" vertical="center"/>
      <protection locked="0"/>
    </xf>
    <xf numFmtId="0" fontId="73" fillId="12" borderId="0" xfId="0" applyFont="1" applyFill="1" applyAlignment="1" applyProtection="1">
      <alignment horizontal="center" vertical="center"/>
      <protection locked="0"/>
    </xf>
    <xf numFmtId="9" fontId="56" fillId="12" borderId="0" xfId="0" applyNumberFormat="1" applyFont="1" applyFill="1" applyAlignment="1" applyProtection="1">
      <alignment horizontal="center" vertical="center"/>
      <protection locked="0"/>
    </xf>
    <xf numFmtId="189" fontId="56" fillId="12" borderId="0" xfId="0" applyNumberFormat="1"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76" fontId="56" fillId="12" borderId="0" xfId="0" applyNumberFormat="1" applyFont="1" applyFill="1" applyAlignment="1" applyProtection="1">
      <alignment horizontal="center" vertical="center"/>
      <protection locked="0"/>
    </xf>
    <xf numFmtId="189" fontId="73" fillId="12" borderId="0" xfId="0" applyNumberFormat="1" applyFont="1" applyFill="1" applyAlignment="1" applyProtection="1">
      <alignment horizontal="center" vertical="center"/>
      <protection locked="0"/>
    </xf>
    <xf numFmtId="181" fontId="67" fillId="12" borderId="0" xfId="0" applyNumberFormat="1" applyFont="1" applyFill="1" applyBorder="1" applyAlignment="1" applyProtection="1">
      <alignment vertical="center"/>
      <protection locked="0"/>
    </xf>
    <xf numFmtId="0" fontId="67" fillId="12" borderId="0" xfId="0" applyFont="1" applyFill="1" applyBorder="1" applyAlignment="1" applyProtection="1">
      <alignment horizontal="center" vertical="center"/>
      <protection locked="0"/>
    </xf>
    <xf numFmtId="0" fontId="56" fillId="12" borderId="18" xfId="0" applyFont="1" applyFill="1" applyBorder="1" applyAlignment="1" applyProtection="1">
      <alignment horizontal="center" vertical="center"/>
      <protection locked="0"/>
    </xf>
    <xf numFmtId="0" fontId="73" fillId="12" borderId="18" xfId="0" applyFont="1" applyFill="1" applyBorder="1" applyAlignment="1" applyProtection="1">
      <alignment horizontal="center" vertical="center"/>
      <protection locked="0"/>
    </xf>
    <xf numFmtId="0" fontId="56" fillId="12" borderId="18" xfId="0" applyFont="1" applyFill="1" applyBorder="1" applyAlignment="1" applyProtection="1">
      <protection locked="0"/>
    </xf>
    <xf numFmtId="9" fontId="49" fillId="12" borderId="0" xfId="0" applyNumberFormat="1" applyFont="1" applyFill="1" applyBorder="1" applyAlignment="1" applyProtection="1">
      <alignment horizontal="center" vertical="center" wrapText="1"/>
      <protection locked="0"/>
    </xf>
    <xf numFmtId="49" fontId="49" fillId="12" borderId="1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9" fontId="49" fillId="12" borderId="18" xfId="0" applyNumberFormat="1" applyFont="1" applyFill="1" applyBorder="1" applyAlignment="1" applyProtection="1">
      <alignment horizontal="center" vertical="center" wrapText="1"/>
      <protection locked="0"/>
    </xf>
    <xf numFmtId="0" fontId="105" fillId="12" borderId="18" xfId="0" applyFont="1" applyFill="1" applyBorder="1" applyAlignment="1" applyProtection="1">
      <alignment vertical="center"/>
      <protection locked="0"/>
    </xf>
    <xf numFmtId="0" fontId="49" fillId="12" borderId="18" xfId="0" applyFont="1" applyFill="1" applyBorder="1" applyAlignment="1" applyProtection="1">
      <alignment horizontal="center" vertical="center" wrapText="1"/>
      <protection locked="0"/>
    </xf>
    <xf numFmtId="0" fontId="54" fillId="12" borderId="1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9" fontId="54" fillId="12" borderId="0" xfId="0" applyNumberFormat="1" applyFont="1" applyFill="1" applyBorder="1" applyAlignment="1" applyProtection="1">
      <alignment horizontal="center" vertical="center"/>
      <protection locked="0"/>
    </xf>
    <xf numFmtId="0" fontId="54" fillId="12" borderId="18" xfId="0" applyFont="1" applyFill="1" applyBorder="1" applyAlignment="1" applyProtection="1">
      <alignment vertical="center" wrapText="1"/>
      <protection locked="0"/>
    </xf>
    <xf numFmtId="0" fontId="49" fillId="12" borderId="18" xfId="0" applyFont="1" applyFill="1" applyBorder="1" applyAlignment="1" applyProtection="1">
      <alignment vertical="center" wrapText="1"/>
      <protection locked="0"/>
    </xf>
    <xf numFmtId="0" fontId="49" fillId="12" borderId="0"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6" fillId="12" borderId="58" xfId="0" applyFont="1" applyFill="1" applyBorder="1" applyAlignment="1" applyProtection="1">
      <alignment horizontal="center" vertical="center"/>
      <protection locked="0"/>
    </xf>
    <xf numFmtId="0" fontId="73" fillId="12" borderId="58" xfId="0" applyFont="1" applyFill="1" applyBorder="1" applyAlignment="1" applyProtection="1">
      <alignment horizontal="center" vertical="center"/>
      <protection locked="0"/>
    </xf>
    <xf numFmtId="0" fontId="56" fillId="12" borderId="58" xfId="0" applyFont="1" applyFill="1" applyBorder="1" applyAlignment="1" applyProtection="1">
      <protection locked="0"/>
    </xf>
    <xf numFmtId="49" fontId="49" fillId="12" borderId="58" xfId="0" applyNumberFormat="1" applyFont="1" applyFill="1" applyBorder="1" applyAlignment="1" applyProtection="1">
      <alignment horizontal="center" vertical="center"/>
      <protection locked="0"/>
    </xf>
    <xf numFmtId="9" fontId="49" fillId="12" borderId="58" xfId="0" applyNumberFormat="1" applyFont="1" applyFill="1" applyBorder="1" applyAlignment="1" applyProtection="1">
      <alignment horizontal="center" vertical="center" wrapText="1"/>
      <protection locked="0"/>
    </xf>
    <xf numFmtId="0" fontId="105" fillId="12" borderId="58" xfId="0" applyFont="1" applyFill="1" applyBorder="1" applyAlignment="1" applyProtection="1">
      <alignment vertical="center"/>
      <protection locked="0"/>
    </xf>
    <xf numFmtId="0" fontId="49"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54" fillId="12" borderId="58" xfId="0" applyFont="1" applyFill="1" applyBorder="1" applyAlignment="1" applyProtection="1">
      <alignment vertical="center" wrapText="1"/>
      <protection locked="0"/>
    </xf>
    <xf numFmtId="0" fontId="49" fillId="12" borderId="58" xfId="0" applyFont="1" applyFill="1" applyBorder="1" applyAlignment="1" applyProtection="1">
      <alignment vertical="center" wrapText="1"/>
      <protection locked="0"/>
    </xf>
    <xf numFmtId="0" fontId="56" fillId="12" borderId="58"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protection locked="0"/>
    </xf>
    <xf numFmtId="0" fontId="49" fillId="0" borderId="74" xfId="0" applyNumberFormat="1" applyFont="1" applyFill="1" applyBorder="1" applyAlignment="1" applyProtection="1">
      <alignment horizontal="center" vertical="center" wrapText="1"/>
    </xf>
    <xf numFmtId="0" fontId="49" fillId="0" borderId="76" xfId="0" applyNumberFormat="1" applyFont="1" applyFill="1" applyBorder="1" applyAlignment="1" applyProtection="1">
      <alignment horizontal="center" vertical="center" wrapText="1"/>
    </xf>
    <xf numFmtId="0" fontId="49" fillId="12" borderId="35" xfId="0" applyFont="1" applyFill="1" applyBorder="1" applyAlignment="1" applyProtection="1">
      <alignment horizontal="center" vertical="center"/>
      <protection locked="0"/>
    </xf>
    <xf numFmtId="0" fontId="72" fillId="12" borderId="35" xfId="0" applyFont="1" applyFill="1" applyBorder="1" applyAlignment="1" applyProtection="1">
      <alignment horizontal="center" vertical="center"/>
      <protection locked="0"/>
    </xf>
    <xf numFmtId="0" fontId="56"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49" fontId="49" fillId="12" borderId="0" xfId="0" applyNumberFormat="1" applyFont="1" applyFill="1" applyBorder="1" applyAlignment="1" applyProtection="1">
      <alignment horizontal="center" vertical="center"/>
      <protection locked="0"/>
    </xf>
    <xf numFmtId="0" fontId="105" fillId="12" borderId="0" xfId="0" applyFont="1" applyFill="1" applyBorder="1" applyAlignment="1" applyProtection="1">
      <alignment vertical="center"/>
      <protection locked="0"/>
    </xf>
    <xf numFmtId="0" fontId="49" fillId="12" borderId="0" xfId="0"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58" fillId="12" borderId="0" xfId="0" applyFont="1" applyFill="1" applyAlignment="1" applyProtection="1">
      <protection locked="0"/>
    </xf>
    <xf numFmtId="0" fontId="54" fillId="12" borderId="0" xfId="0" applyFont="1" applyFill="1" applyBorder="1" applyAlignment="1" applyProtection="1">
      <alignment vertical="center" wrapText="1"/>
      <protection locked="0"/>
    </xf>
    <xf numFmtId="0" fontId="56" fillId="6" borderId="40" xfId="8" applyFont="1" applyFill="1" applyBorder="1" applyAlignment="1" applyProtection="1">
      <alignment horizontal="center" vertical="center" wrapText="1"/>
      <protection locked="0"/>
    </xf>
    <xf numFmtId="0" fontId="56" fillId="6" borderId="0" xfId="8" applyFont="1" applyFill="1" applyBorder="1" applyAlignment="1" applyProtection="1">
      <alignment vertical="center" wrapText="1"/>
      <protection locked="0"/>
    </xf>
    <xf numFmtId="10" fontId="58" fillId="6" borderId="61" xfId="8" applyNumberFormat="1"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8" fillId="7" borderId="0" xfId="8" applyFont="1" applyFill="1" applyAlignment="1" applyProtection="1">
      <alignment horizontal="center" vertical="center" wrapText="1"/>
      <protection locked="0"/>
    </xf>
    <xf numFmtId="0" fontId="58" fillId="0" borderId="0" xfId="8" applyFont="1" applyAlignment="1" applyProtection="1">
      <alignment horizontal="center" vertical="center" wrapText="1"/>
      <protection locked="0"/>
    </xf>
    <xf numFmtId="10" fontId="58"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05" fillId="12" borderId="0" xfId="0" applyFont="1" applyFill="1" applyProtection="1">
      <alignment vertical="center"/>
      <protection locked="0"/>
    </xf>
    <xf numFmtId="0" fontId="133" fillId="12" borderId="0" xfId="0" applyFont="1" applyFill="1" applyProtection="1">
      <alignment vertical="center"/>
      <protection locked="0"/>
    </xf>
    <xf numFmtId="0" fontId="52" fillId="0" borderId="3" xfId="0" applyFont="1" applyFill="1" applyBorder="1" applyProtection="1">
      <alignment vertical="center"/>
      <protection locked="0"/>
    </xf>
    <xf numFmtId="0" fontId="52" fillId="0" borderId="24" xfId="0" applyFont="1" applyFill="1" applyBorder="1" applyProtection="1">
      <alignment vertical="center"/>
      <protection locked="0"/>
    </xf>
    <xf numFmtId="0" fontId="49" fillId="0" borderId="22" xfId="0" applyFont="1" applyFill="1" applyBorder="1" applyProtection="1">
      <alignment vertical="center"/>
      <protection locked="0"/>
    </xf>
    <xf numFmtId="0" fontId="49" fillId="0" borderId="61" xfId="0" applyFont="1" applyFill="1" applyBorder="1" applyProtection="1">
      <alignment vertical="center"/>
      <protection locked="0"/>
    </xf>
    <xf numFmtId="0" fontId="132" fillId="12" borderId="0" xfId="0" applyFont="1" applyFill="1" applyAlignment="1" applyProtection="1">
      <alignment vertical="center"/>
    </xf>
    <xf numFmtId="0" fontId="107" fillId="12" borderId="0" xfId="0" applyFont="1" applyFill="1" applyAlignment="1" applyProtection="1">
      <alignment vertical="center"/>
    </xf>
    <xf numFmtId="0" fontId="253" fillId="12" borderId="0" xfId="0" applyFont="1" applyFill="1" applyAlignment="1" applyProtection="1">
      <alignment horizontal="left" vertical="center"/>
    </xf>
    <xf numFmtId="0" fontId="107" fillId="12" borderId="0" xfId="0" applyFont="1" applyFill="1" applyAlignment="1" applyProtection="1">
      <alignment horizontal="left" vertical="center"/>
    </xf>
    <xf numFmtId="0" fontId="121" fillId="12" borderId="0" xfId="0" applyFont="1" applyFill="1" applyAlignment="1" applyProtection="1">
      <alignment vertical="center"/>
    </xf>
    <xf numFmtId="0" fontId="252" fillId="12" borderId="0" xfId="0" applyFont="1" applyFill="1" applyAlignment="1" applyProtection="1">
      <alignment vertical="center"/>
    </xf>
    <xf numFmtId="0" fontId="132" fillId="12" borderId="0" xfId="0" applyFont="1" applyFill="1" applyAlignment="1" applyProtection="1">
      <alignment horizontal="left" vertical="center"/>
    </xf>
    <xf numFmtId="0" fontId="50" fillId="12" borderId="0" xfId="1" applyFont="1" applyFill="1" applyBorder="1" applyAlignment="1" applyProtection="1">
      <alignment vertical="center"/>
    </xf>
    <xf numFmtId="0" fontId="50" fillId="6" borderId="0" xfId="1" applyFont="1" applyFill="1" applyBorder="1" applyAlignment="1" applyProtection="1">
      <alignment horizontal="center" vertical="center"/>
    </xf>
    <xf numFmtId="49" fontId="148" fillId="6" borderId="0" xfId="0" applyNumberFormat="1" applyFont="1" applyFill="1" applyBorder="1" applyAlignment="1" applyProtection="1">
      <alignment horizontal="left" vertical="center"/>
      <protection locked="0"/>
    </xf>
    <xf numFmtId="0" fontId="152" fillId="11" borderId="125" xfId="9" applyFont="1" applyFill="1" applyBorder="1" applyAlignment="1" applyProtection="1">
      <alignment horizontal="left" vertical="center" wrapText="1"/>
    </xf>
    <xf numFmtId="0" fontId="109" fillId="6" borderId="1" xfId="0" applyFont="1" applyFill="1" applyBorder="1" applyAlignment="1" applyProtection="1">
      <alignment horizontal="center" vertical="center"/>
    </xf>
    <xf numFmtId="0" fontId="109" fillId="2" borderId="1" xfId="0" applyFont="1" applyFill="1" applyBorder="1" applyAlignment="1" applyProtection="1">
      <alignment horizontal="center" vertical="center"/>
      <protection locked="0"/>
    </xf>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10" fontId="121" fillId="0" borderId="23" xfId="0" applyNumberFormat="1" applyFont="1" applyFill="1" applyBorder="1" applyAlignment="1" applyProtection="1">
      <alignment vertical="center"/>
      <protection locked="0"/>
    </xf>
    <xf numFmtId="0" fontId="49" fillId="5" borderId="11" xfId="0" applyFont="1" applyFill="1" applyBorder="1" applyAlignment="1" applyProtection="1">
      <alignment vertical="center" wrapText="1"/>
      <protection locked="0"/>
    </xf>
    <xf numFmtId="0" fontId="166" fillId="6" borderId="1" xfId="2" applyFont="1" applyFill="1" applyBorder="1" applyAlignment="1">
      <alignment horizontal="left" vertical="center" wrapText="1"/>
    </xf>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138" fillId="6" borderId="1" xfId="2" applyFont="1" applyFill="1" applyBorder="1" applyAlignment="1">
      <alignment horizont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0" fontId="142" fillId="6" borderId="0" xfId="2" applyFont="1" applyFill="1" applyAlignment="1">
      <alignment vertical="center"/>
    </xf>
    <xf numFmtId="0" fontId="142" fillId="6" borderId="1" xfId="2" applyFont="1" applyFill="1" applyBorder="1" applyAlignment="1">
      <alignment horizontal="left" vertic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1" fillId="0" borderId="0" xfId="0" applyFont="1" applyAlignment="1"/>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49" fontId="69" fillId="6" borderId="60" xfId="4" applyNumberFormat="1" applyFont="1" applyFill="1" applyBorder="1" applyAlignment="1" applyProtection="1"/>
    <xf numFmtId="0" fontId="68" fillId="6" borderId="0" xfId="4" applyFont="1" applyFill="1" applyAlignment="1" applyProtection="1">
      <alignment horizontal="center" vertical="center"/>
    </xf>
    <xf numFmtId="49" fontId="63" fillId="6" borderId="0" xfId="4" applyNumberFormat="1" applyFont="1" applyFill="1" applyBorder="1" applyAlignment="1" applyProtection="1">
      <alignment horizontal="center"/>
    </xf>
    <xf numFmtId="0" fontId="63" fillId="6" borderId="0" xfId="4" applyNumberFormat="1" applyFont="1" applyFill="1" applyBorder="1" applyAlignment="1" applyProtection="1">
      <alignment horizontal="center"/>
    </xf>
    <xf numFmtId="0" fontId="63" fillId="0" borderId="0" xfId="4" applyNumberFormat="1" applyFont="1" applyFill="1" applyBorder="1" applyAlignment="1" applyProtection="1">
      <alignment horizontal="center"/>
      <protection locked="0"/>
    </xf>
    <xf numFmtId="0" fontId="6" fillId="0" borderId="0" xfId="4" applyFont="1" applyAlignment="1" applyProtection="1">
      <alignment horizontal="left"/>
      <protection locked="0"/>
    </xf>
    <xf numFmtId="0" fontId="255" fillId="0" borderId="0" xfId="4" applyFont="1" applyAlignment="1" applyProtection="1">
      <alignment horizontal="left"/>
      <protection locked="0"/>
    </xf>
    <xf numFmtId="0" fontId="59" fillId="5" borderId="16" xfId="4" applyFont="1" applyFill="1" applyBorder="1" applyAlignment="1" applyProtection="1">
      <alignment vertical="center"/>
      <protection locked="0"/>
    </xf>
    <xf numFmtId="0" fontId="59" fillId="5" borderId="19" xfId="4" applyFont="1" applyFill="1" applyBorder="1" applyAlignment="1" applyProtection="1">
      <alignment vertical="center"/>
      <protection locked="0"/>
    </xf>
    <xf numFmtId="0" fontId="59" fillId="5" borderId="31" xfId="4" applyFont="1" applyFill="1" applyBorder="1" applyAlignment="1" applyProtection="1">
      <alignment vertical="center"/>
      <protection locked="0"/>
    </xf>
    <xf numFmtId="0" fontId="58" fillId="0" borderId="0" xfId="4" applyFont="1" applyAlignment="1" applyProtection="1">
      <alignment horizontal="left" vertical="center"/>
      <protection locked="0"/>
    </xf>
    <xf numFmtId="0" fontId="6" fillId="0" borderId="0" xfId="4" applyFont="1" applyAlignment="1">
      <alignment horizontal="left"/>
    </xf>
    <xf numFmtId="186" fontId="57" fillId="6" borderId="1" xfId="4" applyNumberFormat="1" applyFont="1" applyFill="1" applyBorder="1" applyAlignment="1" applyProtection="1">
      <alignment horizontal="right" vertical="center"/>
    </xf>
    <xf numFmtId="0" fontId="58" fillId="6" borderId="0" xfId="4" applyFont="1" applyFill="1" applyBorder="1" applyAlignment="1" applyProtection="1">
      <alignment vertical="center"/>
    </xf>
    <xf numFmtId="49" fontId="58" fillId="6" borderId="0" xfId="4" applyNumberFormat="1" applyFont="1" applyFill="1" applyBorder="1" applyAlignment="1" applyProtection="1"/>
    <xf numFmtId="49" fontId="59" fillId="6" borderId="0" xfId="4" applyNumberFormat="1" applyFont="1" applyFill="1" applyBorder="1" applyAlignment="1" applyProtection="1"/>
    <xf numFmtId="49" fontId="59" fillId="0" borderId="0" xfId="4" applyNumberFormat="1" applyFont="1" applyFill="1" applyBorder="1" applyAlignment="1" applyProtection="1">
      <protection locked="0"/>
    </xf>
    <xf numFmtId="0" fontId="22" fillId="0" borderId="0" xfId="4" applyFont="1" applyAlignment="1" applyProtection="1">
      <alignment horizontal="left"/>
      <protection locked="0"/>
    </xf>
    <xf numFmtId="0" fontId="58" fillId="0" borderId="0" xfId="4" applyFont="1" applyAlignment="1" applyProtection="1">
      <alignment horizontal="left"/>
      <protection locked="0"/>
    </xf>
    <xf numFmtId="0" fontId="59" fillId="0" borderId="1" xfId="4" applyFont="1" applyFill="1" applyBorder="1" applyAlignment="1" applyProtection="1">
      <alignment horizontal="left" vertical="center"/>
      <protection locked="0"/>
    </xf>
    <xf numFmtId="0" fontId="59" fillId="0" borderId="24" xfId="4" applyFont="1" applyFill="1" applyBorder="1" applyAlignment="1" applyProtection="1">
      <alignment horizontal="left" vertical="center"/>
      <protection locked="0"/>
    </xf>
    <xf numFmtId="0" fontId="59" fillId="6" borderId="24" xfId="4" applyFont="1" applyFill="1" applyBorder="1" applyAlignment="1" applyProtection="1">
      <alignment horizontal="left" vertical="center"/>
      <protection locked="0"/>
    </xf>
    <xf numFmtId="0" fontId="22" fillId="0" borderId="0" xfId="4" applyFont="1" applyAlignment="1">
      <alignment horizontal="left"/>
    </xf>
    <xf numFmtId="0" fontId="59" fillId="6" borderId="13" xfId="1" applyFont="1" applyFill="1" applyBorder="1" applyAlignment="1" applyProtection="1">
      <alignment vertical="center"/>
    </xf>
    <xf numFmtId="0" fontId="57" fillId="6" borderId="13" xfId="4" applyFont="1" applyFill="1" applyBorder="1" applyAlignment="1" applyProtection="1">
      <alignment horizontal="right" vertical="center"/>
    </xf>
    <xf numFmtId="177" fontId="106" fillId="0" borderId="1" xfId="1" applyNumberFormat="1" applyFont="1" applyBorder="1" applyAlignment="1" applyProtection="1">
      <alignment horizontal="left" vertical="center"/>
      <protection locked="0" hidden="1"/>
    </xf>
    <xf numFmtId="177" fontId="106" fillId="0" borderId="24" xfId="1" applyNumberFormat="1" applyFont="1" applyBorder="1" applyAlignment="1" applyProtection="1">
      <alignment horizontal="left" vertical="center"/>
      <protection locked="0" hidden="1"/>
    </xf>
    <xf numFmtId="177" fontId="58" fillId="6" borderId="24" xfId="4" applyNumberFormat="1" applyFont="1" applyFill="1" applyBorder="1" applyAlignment="1" applyProtection="1">
      <alignment horizontal="left" vertical="center"/>
      <protection locked="0"/>
    </xf>
    <xf numFmtId="0" fontId="22" fillId="6" borderId="1" xfId="4" applyFont="1" applyFill="1" applyBorder="1" applyAlignment="1" applyProtection="1">
      <alignment vertical="center"/>
    </xf>
    <xf numFmtId="0" fontId="58" fillId="0" borderId="1" xfId="4" applyFont="1" applyFill="1" applyBorder="1" applyAlignment="1" applyProtection="1">
      <alignment horizontal="left" vertical="center"/>
      <protection locked="0"/>
    </xf>
    <xf numFmtId="0" fontId="58" fillId="0" borderId="13" xfId="4" applyFont="1" applyFill="1" applyBorder="1" applyAlignment="1" applyProtection="1">
      <alignment horizontal="left" vertical="center"/>
      <protection locked="0"/>
    </xf>
    <xf numFmtId="0" fontId="58" fillId="0" borderId="61" xfId="4" applyFont="1" applyFill="1" applyBorder="1" applyAlignment="1" applyProtection="1">
      <alignment horizontal="left" vertical="center"/>
      <protection locked="0"/>
    </xf>
    <xf numFmtId="0" fontId="58" fillId="6" borderId="61" xfId="4" applyFont="1" applyFill="1" applyBorder="1" applyAlignment="1" applyProtection="1">
      <alignment horizontal="left" vertical="center"/>
      <protection locked="0"/>
    </xf>
    <xf numFmtId="0" fontId="86" fillId="6" borderId="0" xfId="1" applyFont="1" applyFill="1" applyBorder="1" applyAlignment="1" applyProtection="1">
      <alignment vertical="center"/>
    </xf>
    <xf numFmtId="0" fontId="52" fillId="0" borderId="32" xfId="4" applyFont="1" applyFill="1" applyBorder="1" applyAlignment="1" applyProtection="1">
      <alignment horizontal="left" vertical="center"/>
      <protection locked="0"/>
    </xf>
    <xf numFmtId="0" fontId="22" fillId="6" borderId="58" xfId="4" applyFont="1" applyFill="1" applyBorder="1" applyAlignment="1" applyProtection="1">
      <alignment vertical="center"/>
    </xf>
    <xf numFmtId="0" fontId="109" fillId="6" borderId="37" xfId="4" applyFont="1" applyFill="1" applyBorder="1" applyAlignment="1" applyProtection="1">
      <alignment vertical="center"/>
      <protection locked="0"/>
    </xf>
    <xf numFmtId="0" fontId="109" fillId="6" borderId="54" xfId="4" applyFont="1" applyFill="1" applyBorder="1" applyAlignment="1" applyProtection="1">
      <alignment vertical="center"/>
      <protection locked="0"/>
    </xf>
    <xf numFmtId="0" fontId="59" fillId="6" borderId="54" xfId="4" applyFont="1" applyFill="1" applyBorder="1" applyAlignment="1" applyProtection="1">
      <alignment vertical="center"/>
      <protection locked="0"/>
    </xf>
    <xf numFmtId="0" fontId="59" fillId="0" borderId="34" xfId="4" applyFont="1" applyFill="1" applyBorder="1" applyAlignment="1" applyProtection="1">
      <alignment horizontal="left" vertical="center"/>
      <protection locked="0"/>
    </xf>
    <xf numFmtId="0" fontId="59" fillId="6" borderId="64" xfId="4" applyFont="1" applyFill="1" applyBorder="1" applyAlignment="1">
      <alignment vertical="center"/>
    </xf>
    <xf numFmtId="0" fontId="59" fillId="6" borderId="65" xfId="4" applyFont="1" applyFill="1" applyBorder="1" applyAlignment="1">
      <alignment vertical="center"/>
    </xf>
    <xf numFmtId="0" fontId="59" fillId="0" borderId="0" xfId="4" applyFont="1" applyFill="1" applyBorder="1" applyAlignment="1" applyProtection="1">
      <alignment vertical="center"/>
      <protection locked="0"/>
    </xf>
    <xf numFmtId="0" fontId="58" fillId="6" borderId="5" xfId="4" applyFont="1" applyFill="1" applyBorder="1" applyAlignment="1" applyProtection="1">
      <alignment vertical="center"/>
      <protection locked="0"/>
    </xf>
    <xf numFmtId="0" fontId="58" fillId="6" borderId="1" xfId="4" applyFont="1" applyFill="1" applyBorder="1" applyAlignment="1" applyProtection="1">
      <alignment horizontal="left" vertical="center"/>
      <protection locked="0"/>
    </xf>
    <xf numFmtId="0" fontId="59" fillId="6" borderId="69" xfId="4" applyFont="1" applyFill="1" applyBorder="1" applyAlignment="1">
      <alignment horizontal="left" vertical="center"/>
    </xf>
    <xf numFmtId="0" fontId="59" fillId="6" borderId="60" xfId="4" applyFont="1" applyFill="1" applyBorder="1" applyAlignment="1">
      <alignment horizontal="left" vertical="center"/>
    </xf>
    <xf numFmtId="0" fontId="59" fillId="6" borderId="7" xfId="4" applyFont="1" applyFill="1" applyBorder="1" applyAlignment="1">
      <alignment horizontal="left" vertical="center"/>
    </xf>
    <xf numFmtId="186" fontId="59" fillId="6" borderId="4" xfId="4" applyNumberFormat="1" applyFont="1" applyFill="1" applyBorder="1" applyAlignment="1">
      <alignment horizontal="left" vertical="center"/>
    </xf>
    <xf numFmtId="10" fontId="59" fillId="6" borderId="60" xfId="4" applyNumberFormat="1" applyFont="1" applyFill="1" applyBorder="1" applyAlignment="1">
      <alignment horizontal="left" vertical="center"/>
    </xf>
    <xf numFmtId="186" fontId="59" fillId="6" borderId="71" xfId="4" applyNumberFormat="1" applyFont="1" applyFill="1" applyBorder="1" applyAlignment="1">
      <alignment horizontal="left" vertical="center"/>
    </xf>
    <xf numFmtId="186" fontId="59" fillId="0" borderId="0" xfId="4" applyNumberFormat="1" applyFont="1" applyFill="1" applyBorder="1" applyAlignment="1" applyProtection="1">
      <alignment horizontal="left" vertical="center"/>
      <protection locked="0"/>
    </xf>
    <xf numFmtId="0" fontId="58" fillId="0" borderId="5"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177" fontId="58" fillId="0" borderId="1" xfId="4" applyNumberFormat="1"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9" fillId="6" borderId="23" xfId="4" applyFont="1" applyFill="1" applyBorder="1" applyAlignment="1">
      <alignment horizontal="left" vertical="center"/>
    </xf>
    <xf numFmtId="186" fontId="59" fillId="6" borderId="1" xfId="4" applyNumberFormat="1" applyFont="1" applyFill="1" applyBorder="1" applyAlignment="1">
      <alignment horizontal="left" vertical="center"/>
    </xf>
    <xf numFmtId="0" fontId="59" fillId="6" borderId="1" xfId="4" applyFont="1" applyFill="1" applyBorder="1" applyAlignment="1">
      <alignment horizontal="left" vertical="center"/>
    </xf>
    <xf numFmtId="0" fontId="59" fillId="6" borderId="24" xfId="4" applyFont="1" applyFill="1" applyBorder="1" applyAlignment="1">
      <alignment horizontal="left" vertical="center"/>
    </xf>
    <xf numFmtId="0" fontId="59" fillId="0" borderId="0" xfId="4" applyFont="1" applyFill="1" applyBorder="1" applyAlignment="1" applyProtection="1">
      <alignment horizontal="left" vertical="center"/>
      <protection locked="0"/>
    </xf>
    <xf numFmtId="0" fontId="59" fillId="6" borderId="24" xfId="4" applyFont="1" applyFill="1" applyBorder="1" applyAlignment="1">
      <alignment vertical="center"/>
    </xf>
    <xf numFmtId="181" fontId="59" fillId="6" borderId="1" xfId="4" applyNumberFormat="1" applyFont="1" applyFill="1" applyBorder="1" applyAlignment="1">
      <alignment horizontal="left" vertical="center"/>
    </xf>
    <xf numFmtId="49" fontId="58" fillId="6" borderId="23" xfId="4" applyNumberFormat="1" applyFont="1" applyFill="1" applyBorder="1" applyAlignment="1">
      <alignment horizontal="left" vertical="center"/>
    </xf>
    <xf numFmtId="186" fontId="58" fillId="6" borderId="1" xfId="4" applyNumberFormat="1" applyFont="1" applyFill="1" applyBorder="1" applyAlignment="1">
      <alignment horizontal="left" vertical="center"/>
    </xf>
    <xf numFmtId="181" fontId="58" fillId="6" borderId="1" xfId="4" applyNumberFormat="1" applyFont="1" applyFill="1" applyBorder="1" applyAlignment="1">
      <alignment horizontal="left" vertical="center"/>
    </xf>
    <xf numFmtId="0" fontId="58"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8" fillId="0" borderId="1" xfId="4" applyNumberFormat="1" applyFont="1" applyFill="1" applyBorder="1" applyAlignment="1" applyProtection="1">
      <alignment horizontal="left" vertical="center"/>
      <protection locked="0"/>
    </xf>
    <xf numFmtId="181" fontId="58" fillId="6" borderId="3" xfId="4" applyNumberFormat="1" applyFont="1" applyFill="1" applyBorder="1" applyAlignment="1">
      <alignment horizontal="right" vertical="center"/>
    </xf>
    <xf numFmtId="0" fontId="59" fillId="6" borderId="5" xfId="4" applyFont="1" applyFill="1" applyBorder="1" applyAlignment="1" applyProtection="1">
      <alignment vertical="center"/>
      <protection locked="0"/>
    </xf>
    <xf numFmtId="0" fontId="109" fillId="6" borderId="1" xfId="4" applyFont="1" applyFill="1" applyBorder="1" applyAlignment="1" applyProtection="1">
      <alignment horizontal="left" vertical="center"/>
      <protection locked="0"/>
    </xf>
    <xf numFmtId="9" fontId="59" fillId="6" borderId="1" xfId="4" applyNumberFormat="1" applyFont="1" applyFill="1" applyBorder="1" applyAlignment="1" applyProtection="1">
      <alignment horizontal="left" vertical="center"/>
      <protection locked="0"/>
    </xf>
    <xf numFmtId="177" fontId="59" fillId="6" borderId="1" xfId="4" applyNumberFormat="1" applyFont="1" applyFill="1" applyBorder="1" applyAlignment="1" applyProtection="1">
      <alignment horizontal="left" vertical="center"/>
      <protection locked="0"/>
    </xf>
    <xf numFmtId="177" fontId="58" fillId="0" borderId="24" xfId="4" applyNumberFormat="1" applyFont="1" applyFill="1" applyBorder="1" applyAlignment="1" applyProtection="1">
      <alignment horizontal="left" vertical="center"/>
      <protection locked="0"/>
    </xf>
    <xf numFmtId="186" fontId="58" fillId="0" borderId="1" xfId="4" applyNumberFormat="1" applyFont="1" applyFill="1" applyBorder="1" applyAlignment="1" applyProtection="1">
      <alignment horizontal="left" vertical="center"/>
      <protection locked="0"/>
    </xf>
    <xf numFmtId="181" fontId="58" fillId="0" borderId="1" xfId="4" applyNumberFormat="1" applyFont="1" applyFill="1" applyBorder="1" applyAlignment="1" applyProtection="1">
      <alignment horizontal="left" vertical="center"/>
      <protection locked="0"/>
    </xf>
    <xf numFmtId="0" fontId="59" fillId="6" borderId="25" xfId="4" applyFont="1" applyFill="1" applyBorder="1" applyAlignment="1">
      <alignment horizontal="left" vertical="center"/>
    </xf>
    <xf numFmtId="186" fontId="59" fillId="6" borderId="32" xfId="4" applyNumberFormat="1" applyFont="1" applyFill="1" applyBorder="1" applyAlignment="1">
      <alignment horizontal="left" vertical="center"/>
    </xf>
    <xf numFmtId="0" fontId="59" fillId="6" borderId="49" xfId="4" applyFont="1" applyFill="1" applyBorder="1" applyAlignment="1">
      <alignment vertical="center"/>
    </xf>
    <xf numFmtId="186" fontId="59" fillId="6" borderId="60" xfId="4" applyNumberFormat="1" applyFont="1" applyFill="1" applyBorder="1" applyAlignment="1">
      <alignment horizontal="left" vertical="center"/>
    </xf>
    <xf numFmtId="0" fontId="59" fillId="6" borderId="56" xfId="4" applyFont="1" applyFill="1" applyBorder="1" applyAlignment="1">
      <alignment vertical="center"/>
    </xf>
    <xf numFmtId="0" fontId="59" fillId="6" borderId="63" xfId="4" applyFont="1" applyFill="1" applyBorder="1" applyAlignment="1">
      <alignment vertical="center"/>
    </xf>
    <xf numFmtId="177" fontId="58" fillId="5" borderId="1" xfId="4" applyNumberFormat="1" applyFont="1" applyFill="1" applyBorder="1" applyAlignment="1" applyProtection="1">
      <alignment horizontal="left" vertical="center"/>
      <protection locked="0"/>
    </xf>
    <xf numFmtId="0" fontId="109" fillId="6" borderId="24" xfId="4" applyFont="1" applyFill="1" applyBorder="1" applyAlignment="1" applyProtection="1">
      <alignment horizontal="left" vertical="center"/>
      <protection locked="0"/>
    </xf>
    <xf numFmtId="0" fontId="59" fillId="6" borderId="71" xfId="4" applyFont="1" applyFill="1" applyBorder="1" applyAlignment="1">
      <alignment horizontal="left" vertical="center"/>
    </xf>
    <xf numFmtId="0" fontId="106" fillId="0" borderId="1" xfId="4" applyFont="1" applyFill="1" applyBorder="1" applyAlignment="1" applyProtection="1">
      <alignment horizontal="left" vertical="center" wrapText="1"/>
      <protection locked="0"/>
    </xf>
    <xf numFmtId="0" fontId="58" fillId="0" borderId="0" xfId="4" applyFont="1" applyFill="1" applyAlignment="1" applyProtection="1">
      <alignment horizontal="left" vertical="center"/>
      <protection locked="0"/>
    </xf>
    <xf numFmtId="0" fontId="59" fillId="6" borderId="5" xfId="4" applyFont="1" applyFill="1" applyBorder="1" applyAlignment="1">
      <alignment horizontal="left" vertical="center"/>
    </xf>
    <xf numFmtId="0" fontId="59" fillId="6" borderId="158" xfId="4" applyFont="1" applyFill="1" applyBorder="1" applyAlignment="1">
      <alignment horizontal="left" vertical="center"/>
    </xf>
    <xf numFmtId="0" fontId="59" fillId="6" borderId="3" xfId="4" applyFont="1" applyFill="1" applyBorder="1" applyAlignment="1">
      <alignment horizontal="left" vertical="center"/>
    </xf>
    <xf numFmtId="0" fontId="106" fillId="0" borderId="24" xfId="4" applyFont="1" applyFill="1" applyBorder="1" applyAlignment="1" applyProtection="1">
      <alignment horizontal="left" vertical="center"/>
      <protection locked="0"/>
    </xf>
    <xf numFmtId="0" fontId="256" fillId="0" borderId="5" xfId="4" applyFont="1" applyFill="1" applyBorder="1" applyAlignment="1" applyProtection="1">
      <alignment horizontal="left" vertical="center"/>
      <protection locked="0"/>
    </xf>
    <xf numFmtId="0" fontId="256" fillId="0" borderId="158" xfId="4" applyFont="1" applyFill="1" applyBorder="1" applyAlignment="1" applyProtection="1">
      <alignment horizontal="left" vertical="center"/>
      <protection locked="0"/>
    </xf>
    <xf numFmtId="0" fontId="256" fillId="0" borderId="3" xfId="4" applyFont="1" applyFill="1" applyBorder="1" applyAlignment="1" applyProtection="1">
      <alignment horizontal="left" vertical="center"/>
      <protection locked="0"/>
    </xf>
    <xf numFmtId="0" fontId="58" fillId="0" borderId="0" xfId="4" applyFont="1" applyFill="1" applyBorder="1" applyAlignment="1" applyProtection="1">
      <alignment horizontal="left" vertical="center"/>
      <protection locked="0"/>
    </xf>
    <xf numFmtId="0" fontId="58" fillId="6" borderId="37" xfId="4" applyFont="1" applyFill="1" applyBorder="1" applyAlignment="1">
      <alignment horizontal="left" vertical="center"/>
    </xf>
    <xf numFmtId="0" fontId="58" fillId="6" borderId="1" xfId="4" applyFont="1" applyFill="1" applyBorder="1" applyAlignment="1">
      <alignment horizontal="left" vertical="center"/>
    </xf>
    <xf numFmtId="186" fontId="58" fillId="6" borderId="5" xfId="4" applyNumberFormat="1" applyFont="1" applyFill="1" applyBorder="1" applyAlignment="1">
      <alignment horizontal="left" vertical="center"/>
    </xf>
    <xf numFmtId="186" fontId="58" fillId="6" borderId="158" xfId="4" applyNumberFormat="1" applyFont="1" applyFill="1" applyBorder="1" applyAlignment="1">
      <alignment horizontal="left" vertical="center"/>
    </xf>
    <xf numFmtId="186" fontId="58" fillId="6" borderId="3" xfId="4" applyNumberFormat="1"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right" vertical="center"/>
      <protection locked="0"/>
    </xf>
    <xf numFmtId="0" fontId="58" fillId="6" borderId="37" xfId="4" applyFont="1" applyFill="1" applyBorder="1" applyAlignment="1">
      <alignment horizontal="right" vertical="center"/>
    </xf>
    <xf numFmtId="0" fontId="58" fillId="6" borderId="1" xfId="4" applyFont="1" applyFill="1" applyBorder="1" applyAlignment="1">
      <alignment horizontal="right" vertical="center"/>
    </xf>
    <xf numFmtId="186" fontId="58" fillId="6" borderId="5" xfId="4" applyNumberFormat="1" applyFont="1" applyFill="1" applyBorder="1" applyAlignment="1">
      <alignment horizontal="right" vertical="center"/>
    </xf>
    <xf numFmtId="181" fontId="58" fillId="0" borderId="158" xfId="4" applyNumberFormat="1" applyFont="1" applyFill="1" applyBorder="1" applyAlignment="1" applyProtection="1">
      <alignment horizontal="right" vertical="center"/>
      <protection locked="0"/>
    </xf>
    <xf numFmtId="181" fontId="58" fillId="0" borderId="3" xfId="4" applyNumberFormat="1" applyFont="1" applyFill="1" applyBorder="1" applyAlignment="1" applyProtection="1">
      <alignment horizontal="right" vertical="center"/>
      <protection locked="0"/>
    </xf>
    <xf numFmtId="0" fontId="58" fillId="6" borderId="24" xfId="4" applyFont="1" applyFill="1" applyBorder="1" applyAlignment="1">
      <alignment horizontal="right" vertical="center"/>
    </xf>
    <xf numFmtId="0" fontId="59" fillId="6" borderId="23" xfId="4" applyFont="1" applyFill="1" applyBorder="1" applyAlignment="1" applyProtection="1">
      <alignment horizontal="left" vertical="center" wrapText="1"/>
      <protection locked="0"/>
    </xf>
    <xf numFmtId="0" fontId="59" fillId="6" borderId="5" xfId="4" applyFont="1" applyFill="1" applyBorder="1" applyAlignment="1" applyProtection="1">
      <alignment vertical="center" wrapText="1"/>
      <protection locked="0"/>
    </xf>
    <xf numFmtId="0" fontId="59" fillId="6" borderId="54" xfId="4" applyFont="1" applyFill="1" applyBorder="1" applyAlignment="1" applyProtection="1">
      <alignment vertical="center" wrapText="1"/>
      <protection locked="0"/>
    </xf>
    <xf numFmtId="0" fontId="59" fillId="6" borderId="3" xfId="4" applyFont="1" applyFill="1" applyBorder="1" applyAlignment="1" applyProtection="1">
      <alignment vertical="center" wrapText="1"/>
      <protection locked="0"/>
    </xf>
    <xf numFmtId="9" fontId="106" fillId="0" borderId="1" xfId="4" applyNumberFormat="1" applyFont="1" applyFill="1" applyBorder="1" applyAlignment="1" applyProtection="1">
      <alignment horizontal="left" vertical="center"/>
      <protection locked="0"/>
    </xf>
    <xf numFmtId="0" fontId="58" fillId="0" borderId="0" xfId="4" applyFont="1" applyAlignment="1" applyProtection="1">
      <alignment horizontal="right"/>
      <protection locked="0"/>
    </xf>
    <xf numFmtId="0" fontId="22" fillId="0" borderId="0" xfId="4" applyFont="1" applyAlignment="1">
      <alignment horizontal="right"/>
    </xf>
    <xf numFmtId="0" fontId="109" fillId="6" borderId="46" xfId="4" applyFont="1" applyFill="1" applyBorder="1" applyAlignment="1" applyProtection="1">
      <alignment vertical="center"/>
      <protection locked="0"/>
    </xf>
    <xf numFmtId="0" fontId="109" fillId="6" borderId="36" xfId="4" applyFont="1" applyFill="1" applyBorder="1" applyAlignment="1" applyProtection="1">
      <alignment vertical="center"/>
      <protection locked="0"/>
    </xf>
    <xf numFmtId="0" fontId="109" fillId="6" borderId="22"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106" fillId="6" borderId="1" xfId="4" applyNumberFormat="1" applyFont="1" applyFill="1" applyBorder="1" applyAlignment="1" applyProtection="1">
      <alignment horizontal="left" vertical="center"/>
      <protection locked="0"/>
    </xf>
    <xf numFmtId="0" fontId="59" fillId="0" borderId="0" xfId="4" applyFont="1" applyFill="1" applyAlignment="1" applyProtection="1">
      <alignment horizontal="left" vertical="center"/>
      <protection locked="0"/>
    </xf>
    <xf numFmtId="181" fontId="58"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9" fillId="6" borderId="4" xfId="4" applyFont="1" applyFill="1" applyBorder="1" applyAlignment="1" applyProtection="1">
      <alignment vertical="center"/>
      <protection locked="0"/>
    </xf>
    <xf numFmtId="0" fontId="109" fillId="6" borderId="60" xfId="4" applyFont="1" applyFill="1" applyBorder="1" applyAlignment="1" applyProtection="1">
      <alignment vertical="center"/>
      <protection locked="0"/>
    </xf>
    <xf numFmtId="0" fontId="109" fillId="6" borderId="7" xfId="4" applyFont="1" applyFill="1" applyBorder="1" applyAlignment="1" applyProtection="1">
      <alignment vertical="center"/>
      <protection locked="0"/>
    </xf>
    <xf numFmtId="0" fontId="109" fillId="0" borderId="1" xfId="4" applyFont="1" applyFill="1" applyBorder="1" applyAlignment="1" applyProtection="1">
      <alignment horizontal="left" vertical="center"/>
      <protection locked="0"/>
    </xf>
    <xf numFmtId="9" fontId="109" fillId="0" borderId="1" xfId="4" applyNumberFormat="1" applyFont="1" applyFill="1" applyBorder="1" applyAlignment="1" applyProtection="1">
      <alignment horizontal="left" vertical="center"/>
      <protection locked="0"/>
    </xf>
    <xf numFmtId="0" fontId="86" fillId="6" borderId="12" xfId="4" applyFont="1" applyFill="1" applyBorder="1" applyAlignment="1" applyProtection="1">
      <alignment horizontal="left" vertical="center" wrapText="1"/>
      <protection locked="0"/>
    </xf>
    <xf numFmtId="0" fontId="145"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8" fillId="0" borderId="32" xfId="4" applyNumberFormat="1" applyFont="1" applyFill="1" applyBorder="1" applyAlignment="1" applyProtection="1">
      <alignment horizontal="left" vertical="center"/>
      <protection locked="0"/>
    </xf>
    <xf numFmtId="181" fontId="106" fillId="0" borderId="32" xfId="4" applyNumberFormat="1" applyFont="1" applyFill="1" applyBorder="1" applyAlignment="1" applyProtection="1">
      <alignment horizontal="left" vertical="center"/>
      <protection locked="0"/>
    </xf>
    <xf numFmtId="0" fontId="144" fillId="0" borderId="76" xfId="4" applyFont="1" applyFill="1" applyBorder="1" applyAlignment="1" applyProtection="1">
      <alignment horizontal="left" vertical="center"/>
      <protection locked="0"/>
    </xf>
    <xf numFmtId="181" fontId="58" fillId="6" borderId="158" xfId="4" applyNumberFormat="1" applyFont="1" applyFill="1" applyBorder="1" applyAlignment="1">
      <alignment horizontal="right" vertical="center"/>
    </xf>
    <xf numFmtId="181" fontId="58" fillId="0" borderId="5" xfId="4" applyNumberFormat="1" applyFont="1" applyFill="1" applyBorder="1" applyAlignment="1" applyProtection="1">
      <alignment horizontal="right" vertical="center"/>
      <protection locked="0"/>
    </xf>
    <xf numFmtId="0" fontId="59" fillId="6" borderId="1" xfId="4" applyFont="1" applyFill="1" applyBorder="1" applyAlignment="1" applyProtection="1">
      <alignment horizontal="left" vertical="center"/>
      <protection locked="0"/>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177" fontId="58" fillId="6" borderId="1" xfId="4" applyNumberFormat="1" applyFont="1" applyFill="1" applyBorder="1" applyAlignment="1" applyProtection="1">
      <alignment horizontal="left" vertical="center"/>
      <protection locked="0"/>
    </xf>
    <xf numFmtId="10" fontId="58" fillId="0" borderId="158" xfId="4" applyNumberFormat="1" applyFont="1" applyFill="1" applyBorder="1" applyAlignment="1" applyProtection="1">
      <alignment horizontal="left" vertical="center"/>
      <protection locked="0"/>
    </xf>
    <xf numFmtId="10" fontId="58" fillId="0" borderId="3" xfId="4" applyNumberFormat="1" applyFont="1" applyFill="1" applyBorder="1" applyAlignment="1" applyProtection="1">
      <alignment horizontal="left" vertical="center"/>
      <protection locked="0"/>
    </xf>
    <xf numFmtId="0" fontId="58" fillId="6" borderId="13" xfId="4" applyFont="1" applyFill="1" applyBorder="1" applyAlignment="1" applyProtection="1">
      <alignment horizontal="left" vertical="center"/>
      <protection locked="0"/>
    </xf>
    <xf numFmtId="181" fontId="58" fillId="0" borderId="158" xfId="4" applyNumberFormat="1" applyFont="1" applyFill="1" applyBorder="1" applyAlignment="1" applyProtection="1">
      <alignment horizontal="left" vertical="center"/>
      <protection locked="0"/>
    </xf>
    <xf numFmtId="181" fontId="58" fillId="0" borderId="3" xfId="4" applyNumberFormat="1" applyFont="1" applyFill="1" applyBorder="1" applyAlignment="1" applyProtection="1">
      <alignment horizontal="left" vertical="center"/>
      <protection locked="0"/>
    </xf>
    <xf numFmtId="176" fontId="58" fillId="0" borderId="0" xfId="4" applyNumberFormat="1" applyFont="1" applyFill="1" applyBorder="1" applyAlignment="1" applyProtection="1">
      <alignment horizontal="left" vertical="center"/>
      <protection locked="0"/>
    </xf>
    <xf numFmtId="0" fontId="59" fillId="6" borderId="5" xfId="4" applyFont="1" applyFill="1" applyBorder="1" applyAlignment="1" applyProtection="1">
      <alignment horizontal="left" vertical="center"/>
      <protection locked="0"/>
    </xf>
    <xf numFmtId="0" fontId="58" fillId="6" borderId="32" xfId="4" applyFont="1" applyFill="1" applyBorder="1" applyAlignment="1">
      <alignment horizontal="left" vertical="center"/>
    </xf>
    <xf numFmtId="176" fontId="58" fillId="0" borderId="159" xfId="4" applyNumberFormat="1" applyFont="1" applyFill="1" applyBorder="1" applyAlignment="1" applyProtection="1">
      <alignment horizontal="left" vertical="center"/>
      <protection locked="0"/>
    </xf>
    <xf numFmtId="176" fontId="58" fillId="0" borderId="66" xfId="4" applyNumberFormat="1" applyFont="1" applyFill="1" applyBorder="1" applyAlignment="1" applyProtection="1">
      <alignment horizontal="left" vertical="center"/>
      <protection locked="0"/>
    </xf>
    <xf numFmtId="176" fontId="58" fillId="6" borderId="24" xfId="4" applyNumberFormat="1" applyFont="1" applyFill="1" applyBorder="1" applyAlignment="1">
      <alignment horizontal="left" vertical="center"/>
    </xf>
    <xf numFmtId="0" fontId="58" fillId="0" borderId="0" xfId="4" applyFont="1" applyFill="1" applyBorder="1" applyAlignment="1" applyProtection="1">
      <alignment horizontal="left"/>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xf>
    <xf numFmtId="0" fontId="58" fillId="6" borderId="1" xfId="4" applyFont="1" applyFill="1" applyBorder="1" applyAlignment="1">
      <alignment horizontal="left"/>
    </xf>
    <xf numFmtId="0" fontId="58" fillId="6" borderId="24" xfId="4" applyFont="1" applyFill="1" applyBorder="1" applyAlignment="1">
      <alignment horizontal="left"/>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32" xfId="4" applyFont="1" applyFill="1" applyBorder="1" applyAlignment="1">
      <alignment horizontal="left"/>
    </xf>
    <xf numFmtId="0" fontId="58" fillId="6" borderId="49" xfId="4" applyFont="1" applyFill="1" applyBorder="1" applyAlignment="1">
      <alignment horizontal="left" vertical="center"/>
    </xf>
    <xf numFmtId="0" fontId="22" fillId="0" borderId="0" xfId="4" applyFont="1" applyFill="1" applyAlignment="1" applyProtection="1">
      <alignment horizontal="left"/>
      <protection locked="0"/>
    </xf>
    <xf numFmtId="0" fontId="6" fillId="0" borderId="0" xfId="4" applyFont="1" applyFill="1" applyAlignment="1" applyProtection="1">
      <alignment horizontal="left"/>
      <protection locked="0"/>
    </xf>
    <xf numFmtId="0" fontId="255" fillId="0" borderId="0" xfId="4" applyFont="1" applyAlignment="1" applyProtection="1">
      <alignment horizontal="left" vertical="center"/>
      <protection locked="0"/>
    </xf>
    <xf numFmtId="0" fontId="255" fillId="0" borderId="0" xfId="4" applyFont="1" applyAlignment="1">
      <alignment horizontal="left"/>
    </xf>
    <xf numFmtId="0" fontId="86" fillId="6" borderId="74" xfId="4" applyFont="1" applyFill="1" applyBorder="1" applyAlignment="1" applyProtection="1">
      <alignment vertical="center"/>
      <protection locked="0"/>
    </xf>
    <xf numFmtId="0" fontId="152"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1" fillId="6" borderId="23" xfId="0" applyFont="1" applyFill="1" applyBorder="1" applyAlignment="1" applyProtection="1">
      <alignment horizontal="left" vertical="center"/>
    </xf>
    <xf numFmtId="0" fontId="101"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1"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4" fillId="6" borderId="9" xfId="0" applyFont="1" applyFill="1" applyBorder="1" applyAlignment="1" applyProtection="1">
      <alignment horizontal="left" vertical="center" wrapText="1"/>
    </xf>
    <xf numFmtId="0" fontId="114" fillId="6" borderId="10" xfId="0" applyFont="1" applyFill="1" applyBorder="1" applyAlignment="1" applyProtection="1">
      <alignment horizontal="left" vertical="center" wrapText="1"/>
    </xf>
    <xf numFmtId="0" fontId="114" fillId="6" borderId="1" xfId="0" applyFont="1" applyFill="1" applyBorder="1" applyAlignment="1" applyProtection="1">
      <alignment horizontal="left" vertical="center" wrapText="1"/>
    </xf>
    <xf numFmtId="0" fontId="114" fillId="6" borderId="24"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wrapText="1"/>
    </xf>
    <xf numFmtId="0" fontId="114" fillId="6" borderId="61" xfId="0" applyFont="1" applyFill="1" applyBorder="1" applyAlignment="1" applyProtection="1">
      <alignment horizontal="left" vertical="center" wrapText="1"/>
    </xf>
    <xf numFmtId="0" fontId="114" fillId="6" borderId="46" xfId="0" applyFont="1" applyFill="1" applyBorder="1" applyAlignment="1" applyProtection="1">
      <alignment horizontal="left" vertical="center" wrapText="1"/>
    </xf>
    <xf numFmtId="0" fontId="114" fillId="6" borderId="5" xfId="0" applyFont="1" applyFill="1" applyBorder="1" applyAlignment="1" applyProtection="1">
      <alignment horizontal="left" vertical="center" wrapText="1"/>
    </xf>
    <xf numFmtId="0" fontId="114" fillId="6" borderId="3" xfId="0" applyFont="1" applyFill="1" applyBorder="1" applyAlignment="1" applyProtection="1">
      <alignment horizontal="left" vertical="center" wrapText="1"/>
    </xf>
    <xf numFmtId="0" fontId="114" fillId="6" borderId="28" xfId="0" applyFont="1" applyFill="1" applyBorder="1" applyAlignment="1" applyProtection="1">
      <alignment horizontal="left" vertical="center"/>
    </xf>
    <xf numFmtId="0" fontId="114" fillId="6" borderId="30"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114" fillId="6" borderId="0" xfId="0" applyFont="1" applyFill="1" applyBorder="1" applyAlignment="1" applyProtection="1">
      <alignment horizontal="left" vertical="center"/>
    </xf>
    <xf numFmtId="0" fontId="114" fillId="6" borderId="24" xfId="0" applyFont="1" applyFill="1" applyBorder="1" applyAlignment="1" applyProtection="1">
      <alignment horizontal="left" vertical="center"/>
    </xf>
    <xf numFmtId="0" fontId="114" fillId="6" borderId="33" xfId="0" applyFont="1" applyFill="1" applyBorder="1" applyAlignment="1" applyProtection="1">
      <alignment horizontal="left" vertical="center"/>
    </xf>
    <xf numFmtId="0" fontId="114" fillId="6" borderId="66" xfId="0" applyFont="1" applyFill="1" applyBorder="1" applyAlignment="1" applyProtection="1">
      <alignment horizontal="left" vertical="center"/>
    </xf>
    <xf numFmtId="0" fontId="114" fillId="6" borderId="49" xfId="0" applyFont="1" applyFill="1" applyBorder="1" applyAlignment="1" applyProtection="1">
      <alignment horizontal="left" vertical="center"/>
    </xf>
    <xf numFmtId="0" fontId="114" fillId="6" borderId="26" xfId="0" applyFont="1" applyFill="1" applyBorder="1" applyAlignment="1" applyProtection="1">
      <alignment horizontal="left" vertical="center"/>
    </xf>
    <xf numFmtId="0" fontId="114" fillId="6" borderId="84" xfId="0" applyFont="1" applyFill="1" applyBorder="1" applyAlignment="1" applyProtection="1">
      <alignment horizontal="left" vertical="center"/>
    </xf>
    <xf numFmtId="0" fontId="114" fillId="6" borderId="34" xfId="0" applyFont="1" applyFill="1" applyBorder="1" applyAlignment="1" applyProtection="1">
      <alignment horizontal="left" vertical="center"/>
    </xf>
    <xf numFmtId="0" fontId="114" fillId="6" borderId="70" xfId="0" applyFont="1" applyFill="1" applyBorder="1" applyAlignment="1" applyProtection="1">
      <alignment horizontal="left" vertical="center"/>
    </xf>
    <xf numFmtId="0" fontId="114" fillId="6" borderId="67" xfId="0" applyFont="1" applyFill="1" applyBorder="1" applyAlignment="1" applyProtection="1">
      <alignment horizontal="left" vertical="center"/>
    </xf>
    <xf numFmtId="0" fontId="114" fillId="6" borderId="1" xfId="0"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0" fontId="106" fillId="6" borderId="11" xfId="0" applyFont="1" applyFill="1" applyBorder="1" applyAlignment="1" applyProtection="1">
      <alignment vertical="center"/>
    </xf>
    <xf numFmtId="0" fontId="106" fillId="6" borderId="14" xfId="0" applyFont="1" applyFill="1" applyBorder="1" applyAlignment="1" applyProtection="1">
      <alignment vertical="center"/>
    </xf>
    <xf numFmtId="0" fontId="106" fillId="6" borderId="41" xfId="0" applyFont="1" applyFill="1" applyBorder="1" applyAlignment="1" applyProtection="1">
      <alignment vertical="center"/>
    </xf>
    <xf numFmtId="0" fontId="259" fillId="7" borderId="150" xfId="0" applyFont="1" applyFill="1" applyBorder="1" applyAlignment="1" applyProtection="1">
      <alignment vertical="center" wrapText="1"/>
      <protection locked="0"/>
    </xf>
    <xf numFmtId="49" fontId="260" fillId="12" borderId="4" xfId="0" applyNumberFormat="1" applyFont="1" applyFill="1" applyBorder="1" applyAlignment="1" applyProtection="1">
      <alignment horizontal="left" vertical="center"/>
      <protection locked="0"/>
    </xf>
    <xf numFmtId="184" fontId="52" fillId="0" borderId="1" xfId="0" applyNumberFormat="1" applyFont="1" applyBorder="1" applyAlignment="1" applyProtection="1">
      <alignment horizontal="center" vertical="center" shrinkToFit="1"/>
      <protection locked="0"/>
    </xf>
    <xf numFmtId="0" fontId="52" fillId="5" borderId="1" xfId="0" applyFont="1" applyFill="1" applyBorder="1" applyAlignment="1" applyProtection="1">
      <alignment horizontal="center" vertical="center" wrapText="1"/>
      <protection locked="0"/>
    </xf>
    <xf numFmtId="0" fontId="52" fillId="5" borderId="78" xfId="0" applyFont="1" applyFill="1" applyBorder="1" applyAlignment="1" applyProtection="1">
      <alignment horizontal="center" vertical="center" wrapText="1"/>
      <protection locked="0"/>
    </xf>
    <xf numFmtId="177" fontId="82" fillId="0" borderId="1" xfId="1" applyNumberFormat="1" applyFont="1" applyBorder="1" applyProtection="1">
      <alignment vertical="center"/>
      <protection locked="0" hidden="1"/>
    </xf>
    <xf numFmtId="0" fontId="52" fillId="0" borderId="3" xfId="0" applyFont="1" applyBorder="1" applyProtection="1">
      <alignment vertical="center"/>
      <protection locked="0"/>
    </xf>
    <xf numFmtId="177" fontId="49" fillId="2" borderId="5" xfId="1" applyNumberFormat="1" applyFont="1" applyFill="1" applyBorder="1" applyProtection="1">
      <alignment vertical="center"/>
      <protection locked="0"/>
    </xf>
    <xf numFmtId="181" fontId="106" fillId="0" borderId="1" xfId="0" applyNumberFormat="1" applyFont="1" applyBorder="1" applyAlignment="1" applyProtection="1">
      <alignment horizontal="center" vertical="center"/>
      <protection locked="0"/>
    </xf>
    <xf numFmtId="181" fontId="49"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0" fontId="52" fillId="12" borderId="0" xfId="0" applyFont="1" applyFill="1" applyProtection="1">
      <alignment vertical="center"/>
      <protection locked="0"/>
    </xf>
    <xf numFmtId="10" fontId="52" fillId="12" borderId="0" xfId="17" applyNumberFormat="1" applyFont="1" applyFill="1" applyAlignment="1" applyProtection="1">
      <alignment vertical="center"/>
      <protection locked="0"/>
    </xf>
    <xf numFmtId="9" fontId="52" fillId="12" borderId="0" xfId="0" applyNumberFormat="1" applyFont="1" applyFill="1" applyProtection="1">
      <alignment vertical="center"/>
      <protection locked="0"/>
    </xf>
    <xf numFmtId="181" fontId="52" fillId="12" borderId="0" xfId="17" applyNumberFormat="1" applyFont="1" applyFill="1" applyAlignment="1" applyProtection="1">
      <alignment vertical="center"/>
      <protection locked="0"/>
    </xf>
    <xf numFmtId="9" fontId="52" fillId="0" borderId="5" xfId="0" applyNumberFormat="1" applyFont="1" applyBorder="1" applyAlignment="1" applyProtection="1">
      <alignment horizontal="center" vertical="center"/>
      <protection locked="0"/>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0" fontId="58" fillId="0" borderId="10"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8" fillId="0" borderId="49"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0" borderId="61" xfId="0" applyNumberFormat="1" applyFont="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49" fontId="235" fillId="0" borderId="24" xfId="0" applyNumberFormat="1" applyFont="1" applyBorder="1" applyAlignment="1" applyProtection="1">
      <alignment vertical="center" wrapText="1"/>
      <protection locked="0"/>
    </xf>
    <xf numFmtId="0" fontId="261" fillId="0" borderId="49" xfId="0" applyFont="1" applyBorder="1" applyProtection="1">
      <alignment vertical="center"/>
      <protection locked="0"/>
    </xf>
    <xf numFmtId="0" fontId="263" fillId="0" borderId="9" xfId="0" applyFont="1" applyBorder="1" applyAlignment="1" applyProtection="1">
      <alignment horizontal="center" vertical="center" wrapText="1"/>
      <protection locked="0"/>
    </xf>
    <xf numFmtId="0" fontId="56" fillId="0" borderId="78"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49" fillId="2" borderId="69" xfId="0" applyFont="1" applyFill="1" applyBorder="1" applyAlignment="1" applyProtection="1">
      <alignment horizontal="center" vertical="center" wrapText="1"/>
      <protection locked="0"/>
    </xf>
    <xf numFmtId="0" fontId="56" fillId="2" borderId="37" xfId="0" applyFont="1" applyFill="1" applyBorder="1" applyAlignment="1" applyProtection="1">
      <alignment horizontal="center" vertical="center" wrapText="1"/>
      <protection locked="0"/>
    </xf>
    <xf numFmtId="49" fontId="56" fillId="0" borderId="14" xfId="0" applyNumberFormat="1" applyFont="1" applyBorder="1" applyAlignment="1" applyProtection="1">
      <alignment horizontal="center" vertical="center" wrapText="1"/>
      <protection locked="0"/>
    </xf>
    <xf numFmtId="0" fontId="56" fillId="2" borderId="41" xfId="0" applyFont="1" applyFill="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0" borderId="25" xfId="0" applyFont="1" applyBorder="1" applyAlignment="1" applyProtection="1">
      <alignment horizontal="center" vertical="center" wrapText="1"/>
      <protection locked="0"/>
    </xf>
    <xf numFmtId="0" fontId="56" fillId="0" borderId="6" xfId="0" applyFont="1" applyBorder="1" applyAlignment="1" applyProtection="1">
      <alignment horizontal="center" vertical="center" wrapText="1"/>
      <protection locked="0"/>
    </xf>
    <xf numFmtId="0" fontId="56" fillId="2" borderId="54" xfId="0" applyFont="1" applyFill="1" applyBorder="1" applyAlignment="1" applyProtection="1">
      <alignment horizontal="center" vertical="center" wrapText="1"/>
      <protection locked="0"/>
    </xf>
    <xf numFmtId="49" fontId="56" fillId="0" borderId="35" xfId="0" applyNumberFormat="1" applyFont="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56" fillId="0" borderId="66" xfId="0"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235" fillId="0" borderId="24" xfId="0" applyFont="1" applyBorder="1" applyAlignment="1" applyProtection="1">
      <alignment vertical="center" wrapText="1"/>
      <protection locked="0"/>
    </xf>
    <xf numFmtId="49" fontId="56" fillId="0" borderId="22" xfId="0" applyNumberFormat="1"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0" fontId="106" fillId="0" borderId="1" xfId="4" applyFont="1" applyBorder="1" applyAlignment="1" applyProtection="1">
      <alignment horizontal="left" vertical="center"/>
      <protection locked="0"/>
    </xf>
    <xf numFmtId="0" fontId="58" fillId="0" borderId="1" xfId="4"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9" fontId="59" fillId="0" borderId="1" xfId="4" applyNumberFormat="1" applyFont="1" applyBorder="1" applyAlignment="1" applyProtection="1">
      <alignment horizontal="left" vertical="center"/>
      <protection locked="0"/>
    </xf>
    <xf numFmtId="181" fontId="59" fillId="0" borderId="32" xfId="4" applyNumberFormat="1" applyFont="1" applyBorder="1" applyAlignment="1" applyProtection="1">
      <alignment horizontal="left" vertical="center"/>
      <protection locked="0"/>
    </xf>
    <xf numFmtId="181" fontId="59" fillId="0" borderId="60" xfId="4" applyNumberFormat="1" applyFont="1" applyBorder="1" applyAlignment="1" applyProtection="1">
      <alignment horizontal="left" vertical="center"/>
      <protection locked="0"/>
    </xf>
    <xf numFmtId="10" fontId="58" fillId="0" borderId="158" xfId="4" applyNumberFormat="1" applyFont="1" applyBorder="1" applyAlignment="1" applyProtection="1">
      <alignment horizontal="left" vertical="center"/>
      <protection locked="0"/>
    </xf>
    <xf numFmtId="181" fontId="58" fillId="0" borderId="158" xfId="4" applyNumberFormat="1" applyFont="1" applyBorder="1" applyAlignment="1" applyProtection="1">
      <alignment horizontal="left" vertical="center"/>
      <protection locked="0"/>
    </xf>
    <xf numFmtId="176" fontId="58" fillId="0" borderId="159" xfId="4" applyNumberFormat="1" applyFont="1" applyBorder="1" applyAlignment="1" applyProtection="1">
      <alignment horizontal="left" vertical="center"/>
      <protection locked="0"/>
    </xf>
    <xf numFmtId="183" fontId="58" fillId="0" borderId="49" xfId="0" applyNumberFormat="1" applyFont="1" applyBorder="1" applyAlignment="1" applyProtection="1">
      <alignment horizontal="center" vertical="center"/>
      <protection locked="0"/>
    </xf>
    <xf numFmtId="0" fontId="58" fillId="6" borderId="0" xfId="4" applyFont="1" applyFill="1" applyAlignment="1">
      <alignment vertical="center"/>
    </xf>
    <xf numFmtId="49" fontId="22" fillId="6" borderId="0" xfId="4" applyNumberFormat="1" applyFont="1" applyFill="1"/>
    <xf numFmtId="49" fontId="59" fillId="6" borderId="0" xfId="4" applyNumberFormat="1" applyFont="1" applyFill="1"/>
    <xf numFmtId="0" fontId="262" fillId="0" borderId="44" xfId="0" applyNumberFormat="1" applyFont="1" applyFill="1" applyBorder="1" applyAlignment="1" applyProtection="1">
      <alignment horizontal="center" vertical="center" wrapText="1"/>
      <protection locked="0"/>
    </xf>
    <xf numFmtId="0" fontId="262" fillId="0" borderId="41" xfId="0" applyNumberFormat="1" applyFont="1" applyFill="1" applyBorder="1" applyAlignment="1" applyProtection="1">
      <alignment horizontal="center" vertical="center" wrapText="1"/>
      <protection locked="0"/>
    </xf>
    <xf numFmtId="49" fontId="262" fillId="0" borderId="41"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109"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5"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3" fillId="0" borderId="0" xfId="18"/>
    <xf numFmtId="0" fontId="3" fillId="0" borderId="1" xfId="18" applyBorder="1"/>
    <xf numFmtId="0" fontId="3" fillId="0" borderId="1" xfId="18" applyBorder="1" applyAlignment="1">
      <alignment horizontal="left"/>
    </xf>
    <xf numFmtId="0" fontId="3" fillId="0" borderId="0" xfId="18" applyAlignment="1">
      <alignment horizontal="left"/>
    </xf>
    <xf numFmtId="177" fontId="259" fillId="0" borderId="1" xfId="1" applyNumberFormat="1" applyFont="1" applyFill="1" applyBorder="1" applyAlignment="1" applyProtection="1">
      <alignment vertical="center"/>
      <protection locked="0" hidden="1"/>
    </xf>
    <xf numFmtId="197" fontId="52" fillId="12" borderId="0" xfId="0" applyNumberFormat="1" applyFont="1" applyFill="1" applyAlignment="1" applyProtection="1">
      <alignment horizontal="center" vertical="center"/>
      <protection locked="0"/>
    </xf>
    <xf numFmtId="177" fontId="262" fillId="0" borderId="1" xfId="1" applyNumberFormat="1" applyFont="1" applyFill="1" applyBorder="1" applyAlignment="1" applyProtection="1">
      <alignment vertical="center"/>
      <protection locked="0"/>
    </xf>
    <xf numFmtId="10" fontId="52" fillId="12" borderId="0" xfId="17" applyNumberFormat="1" applyFont="1" applyFill="1" applyAlignment="1" applyProtection="1">
      <alignment horizontal="center" vertical="center"/>
      <protection locked="0"/>
    </xf>
    <xf numFmtId="0" fontId="259" fillId="12" borderId="0" xfId="0" applyFont="1" applyFill="1" applyAlignment="1" applyProtection="1">
      <alignment horizontal="center" vertical="center"/>
      <protection locked="0"/>
    </xf>
    <xf numFmtId="2" fontId="3" fillId="0" borderId="0" xfId="18" applyNumberFormat="1"/>
    <xf numFmtId="197" fontId="3" fillId="0" borderId="0" xfId="18" applyNumberFormat="1"/>
    <xf numFmtId="0" fontId="3" fillId="0" borderId="3" xfId="18" applyBorder="1" applyAlignment="1">
      <alignment horizontal="center"/>
    </xf>
    <xf numFmtId="0" fontId="264" fillId="0" borderId="0" xfId="0" applyFont="1" applyAlignment="1"/>
    <xf numFmtId="0" fontId="114" fillId="0" borderId="0" xfId="0" applyFont="1" applyAlignment="1"/>
    <xf numFmtId="0" fontId="264" fillId="5" borderId="0" xfId="0" applyFont="1" applyFill="1" applyAlignment="1"/>
    <xf numFmtId="14" fontId="114" fillId="5" borderId="0" xfId="0" applyNumberFormat="1" applyFont="1" applyFill="1" applyAlignment="1"/>
    <xf numFmtId="14" fontId="114" fillId="0" borderId="0" xfId="0" applyNumberFormat="1" applyFont="1" applyAlignment="1"/>
    <xf numFmtId="0" fontId="114" fillId="5" borderId="0" xfId="0" applyFont="1" applyFill="1" applyAlignment="1"/>
    <xf numFmtId="0" fontId="264" fillId="20" borderId="0" xfId="0" applyFont="1" applyFill="1" applyAlignment="1"/>
    <xf numFmtId="14" fontId="114" fillId="20" borderId="0" xfId="0" applyNumberFormat="1" applyFont="1" applyFill="1" applyAlignment="1"/>
    <xf numFmtId="0" fontId="114" fillId="20" borderId="0" xfId="0" applyFont="1" applyFill="1" applyAlignment="1"/>
    <xf numFmtId="0" fontId="114" fillId="8" borderId="0" xfId="0" applyFont="1" applyFill="1" applyAlignment="1"/>
    <xf numFmtId="14" fontId="114" fillId="8" borderId="0" xfId="0" applyNumberFormat="1" applyFont="1" applyFill="1" applyAlignment="1"/>
    <xf numFmtId="49" fontId="263" fillId="0" borderId="14" xfId="0" applyNumberFormat="1" applyFont="1" applyFill="1" applyBorder="1" applyAlignment="1" applyProtection="1">
      <alignment horizontal="center" vertical="center" wrapText="1"/>
      <protection locked="0"/>
    </xf>
    <xf numFmtId="49" fontId="263" fillId="0" borderId="11" xfId="0" applyNumberFormat="1" applyFont="1" applyBorder="1" applyAlignment="1" applyProtection="1">
      <alignment horizontal="center" vertical="center" wrapText="1"/>
      <protection locked="0"/>
    </xf>
    <xf numFmtId="49" fontId="263" fillId="0" borderId="35" xfId="0" applyNumberFormat="1" applyFont="1" applyFill="1" applyBorder="1" applyAlignment="1" applyProtection="1">
      <alignment horizontal="center" vertical="center" wrapText="1"/>
      <protection locked="0"/>
    </xf>
    <xf numFmtId="49" fontId="263" fillId="0" borderId="35" xfId="0" applyNumberFormat="1" applyFont="1" applyBorder="1" applyAlignment="1" applyProtection="1">
      <alignment horizontal="center" vertical="center" wrapText="1"/>
      <protection locked="0"/>
    </xf>
    <xf numFmtId="49" fontId="263" fillId="0" borderId="14" xfId="0" applyNumberFormat="1" applyFont="1" applyBorder="1" applyAlignment="1" applyProtection="1">
      <alignment horizontal="center" vertical="center" wrapText="1"/>
      <protection locked="0"/>
    </xf>
    <xf numFmtId="198" fontId="3" fillId="0" borderId="0" xfId="18" applyNumberFormat="1"/>
    <xf numFmtId="0" fontId="264" fillId="5" borderId="0" xfId="18" applyFont="1" applyFill="1"/>
    <xf numFmtId="0" fontId="114" fillId="5" borderId="0" xfId="18" applyFont="1" applyFill="1"/>
    <xf numFmtId="9" fontId="114" fillId="5" borderId="0" xfId="17" applyFont="1" applyFill="1" applyAlignment="1"/>
    <xf numFmtId="0" fontId="262" fillId="0" borderId="51" xfId="0" applyNumberFormat="1" applyFont="1" applyFill="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65" fillId="0" borderId="9" xfId="0" applyFont="1" applyBorder="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0" fontId="265" fillId="0" borderId="44" xfId="0" applyFont="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263" fillId="0" borderId="54" xfId="0" applyNumberFormat="1" applyFont="1" applyFill="1" applyBorder="1" applyAlignment="1" applyProtection="1">
      <alignment horizontal="center" vertical="center" wrapText="1"/>
      <protection locked="0"/>
    </xf>
    <xf numFmtId="0" fontId="106" fillId="7" borderId="0" xfId="0" applyFont="1" applyFill="1" applyProtection="1">
      <alignment vertical="center"/>
      <protection locked="0"/>
    </xf>
    <xf numFmtId="49" fontId="49" fillId="6" borderId="1" xfId="0" applyNumberFormat="1" applyFont="1" applyFill="1" applyBorder="1" applyAlignment="1" applyProtection="1">
      <alignment horizontal="left" vertical="center" wrapText="1"/>
      <protection locked="0"/>
    </xf>
    <xf numFmtId="0" fontId="2" fillId="0" borderId="1" xfId="18" applyFont="1" applyBorder="1" applyAlignment="1">
      <alignment horizontal="left"/>
    </xf>
    <xf numFmtId="0" fontId="2" fillId="0" borderId="3" xfId="18" applyFont="1" applyBorder="1" applyAlignment="1">
      <alignment horizontal="center"/>
    </xf>
    <xf numFmtId="49" fontId="2" fillId="0" borderId="1" xfId="18" applyNumberFormat="1" applyFont="1" applyBorder="1" applyAlignment="1">
      <alignment horizontal="left"/>
    </xf>
    <xf numFmtId="0" fontId="148" fillId="18" borderId="13" xfId="0" applyFont="1" applyFill="1" applyBorder="1" applyAlignment="1" applyProtection="1">
      <alignment horizontal="center" vertical="center"/>
    </xf>
    <xf numFmtId="0" fontId="56" fillId="7" borderId="23" xfId="0" applyFont="1" applyFill="1" applyBorder="1" applyAlignment="1" applyProtection="1">
      <alignment vertical="center"/>
      <protection locked="0"/>
    </xf>
    <xf numFmtId="181" fontId="56" fillId="7" borderId="1" xfId="0" applyNumberFormat="1" applyFont="1" applyFill="1" applyBorder="1" applyAlignment="1" applyProtection="1">
      <alignment vertical="center"/>
      <protection locked="0"/>
    </xf>
    <xf numFmtId="0" fontId="58" fillId="7" borderId="23" xfId="0" applyFont="1" applyFill="1" applyBorder="1" applyAlignment="1" applyProtection="1">
      <alignment vertical="center"/>
      <protection locked="0"/>
    </xf>
    <xf numFmtId="181" fontId="58" fillId="7" borderId="1" xfId="0" applyNumberFormat="1" applyFont="1" applyFill="1" applyBorder="1" applyAlignment="1" applyProtection="1">
      <alignment vertical="center"/>
      <protection locked="0"/>
    </xf>
    <xf numFmtId="0" fontId="137" fillId="0" borderId="33" xfId="0"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left"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266" fillId="0" borderId="23" xfId="0" applyFont="1" applyBorder="1" applyAlignment="1" applyProtection="1">
      <alignment horizontal="center" vertical="center"/>
      <protection locked="0"/>
    </xf>
    <xf numFmtId="0" fontId="152" fillId="5" borderId="126" xfId="16" applyFont="1" applyFill="1" applyBorder="1" applyAlignment="1" applyProtection="1">
      <alignment horizontal="left" vertical="center" wrapText="1"/>
    </xf>
    <xf numFmtId="0" fontId="152" fillId="5" borderId="123" xfId="9"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09"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6" fillId="5" borderId="1" xfId="5" applyFont="1" applyFill="1" applyBorder="1" applyAlignment="1">
      <alignment horizontal="left" vertical="center"/>
    </xf>
    <xf numFmtId="0" fontId="127" fillId="0" borderId="1" xfId="5" applyFont="1" applyBorder="1" applyAlignment="1">
      <alignment horizontal="left" vertical="center"/>
    </xf>
    <xf numFmtId="0" fontId="127" fillId="0" borderId="156" xfId="5" applyFont="1" applyBorder="1" applyAlignment="1">
      <alignment horizontal="left" vertical="center"/>
    </xf>
    <xf numFmtId="0" fontId="101" fillId="6" borderId="0" xfId="0" applyFont="1" applyFill="1" applyBorder="1" applyAlignment="1" applyProtection="1">
      <alignment horizontal="center" vertical="center" wrapText="1"/>
    </xf>
    <xf numFmtId="0" fontId="52" fillId="6" borderId="34" xfId="0" applyFont="1" applyFill="1" applyBorder="1" applyAlignment="1" applyProtection="1">
      <alignment horizontal="left" vertical="center" wrapText="1"/>
    </xf>
    <xf numFmtId="0" fontId="52" fillId="6" borderId="64" xfId="0" applyFont="1" applyFill="1" applyBorder="1" applyAlignment="1" applyProtection="1">
      <alignment horizontal="left" vertical="center" wrapText="1"/>
    </xf>
    <xf numFmtId="0" fontId="52" fillId="6" borderId="65" xfId="0" applyFont="1" applyFill="1" applyBorder="1" applyAlignment="1" applyProtection="1">
      <alignment horizontal="left" vertical="center" wrapText="1"/>
    </xf>
    <xf numFmtId="0" fontId="52" fillId="16" borderId="13" xfId="0" applyFont="1" applyFill="1" applyBorder="1" applyAlignment="1" applyProtection="1">
      <alignment horizontal="center" vertical="center" wrapText="1"/>
    </xf>
    <xf numFmtId="0" fontId="52" fillId="16" borderId="103"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vertical="center"/>
    </xf>
    <xf numFmtId="0" fontId="52" fillId="6" borderId="10" xfId="0" applyFont="1" applyFill="1" applyBorder="1" applyAlignment="1" applyProtection="1">
      <alignment vertical="center"/>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0" borderId="5" xfId="0" applyFont="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6" borderId="2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3" fillId="0" borderId="13" xfId="18" applyBorder="1" applyAlignment="1">
      <alignment horizontal="center"/>
    </xf>
    <xf numFmtId="0" fontId="3" fillId="0" borderId="2" xfId="18" applyBorder="1" applyAlignment="1">
      <alignment horizontal="center"/>
    </xf>
    <xf numFmtId="0" fontId="3" fillId="0" borderId="5" xfId="18" applyBorder="1" applyAlignment="1">
      <alignment horizontal="center"/>
    </xf>
    <xf numFmtId="0" fontId="3" fillId="0" borderId="54" xfId="18" applyBorder="1" applyAlignment="1">
      <alignment horizontal="center"/>
    </xf>
    <xf numFmtId="0" fontId="3" fillId="0" borderId="3" xfId="18" applyBorder="1" applyAlignment="1">
      <alignment horizontal="center"/>
    </xf>
    <xf numFmtId="0" fontId="2" fillId="0" borderId="5" xfId="18" applyFont="1" applyBorder="1" applyAlignment="1">
      <alignment horizontal="center"/>
    </xf>
    <xf numFmtId="0" fontId="2" fillId="0" borderId="54" xfId="18" applyFont="1" applyBorder="1" applyAlignment="1">
      <alignment horizontal="center"/>
    </xf>
    <xf numFmtId="0" fontId="2" fillId="0" borderId="3" xfId="18" applyFont="1" applyBorder="1" applyAlignment="1">
      <alignment horizontal="center"/>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74" fillId="6" borderId="105" xfId="0" applyFont="1" applyFill="1" applyBorder="1" applyAlignment="1" applyProtection="1">
      <alignment vertical="center"/>
    </xf>
    <xf numFmtId="0" fontId="74" fillId="6" borderId="101" xfId="0" applyFont="1" applyFill="1" applyBorder="1" applyAlignment="1" applyProtection="1">
      <alignment vertical="center"/>
    </xf>
    <xf numFmtId="0" fontId="49" fillId="6"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5" borderId="1" xfId="0" applyFont="1" applyFill="1" applyBorder="1" applyAlignment="1" applyProtection="1">
      <alignment horizontal="left" vertical="center" wrapText="1"/>
      <protection locked="0"/>
    </xf>
    <xf numFmtId="182" fontId="49" fillId="6" borderId="5" xfId="0" applyNumberFormat="1" applyFont="1" applyFill="1" applyBorder="1" applyAlignment="1" applyProtection="1">
      <alignment horizontal="left" vertical="center" wrapText="1"/>
      <protection locked="0"/>
    </xf>
    <xf numFmtId="182" fontId="49" fillId="6" borderId="3"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protection locked="0"/>
    </xf>
    <xf numFmtId="0" fontId="51" fillId="6"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wrapText="1"/>
      <protection locked="0"/>
    </xf>
    <xf numFmtId="182" fontId="49" fillId="6" borderId="54" xfId="0" applyNumberFormat="1"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10" fontId="82" fillId="6" borderId="1" xfId="0" applyNumberFormat="1"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182" fontId="49" fillId="6" borderId="5" xfId="0" applyNumberFormat="1" applyFont="1" applyFill="1" applyBorder="1" applyAlignment="1" applyProtection="1">
      <alignment horizontal="left" vertical="center" wrapText="1"/>
    </xf>
    <xf numFmtId="182" fontId="49" fillId="6" borderId="3" xfId="0" applyNumberFormat="1" applyFont="1" applyFill="1" applyBorder="1" applyAlignment="1" applyProtection="1">
      <alignment horizontal="left" vertical="center" wrapText="1"/>
    </xf>
    <xf numFmtId="182" fontId="49" fillId="6" borderId="54" xfId="0" applyNumberFormat="1"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51"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left" vertical="center"/>
    </xf>
    <xf numFmtId="0" fontId="52" fillId="6" borderId="53" xfId="0" applyFont="1" applyFill="1" applyBorder="1" applyAlignment="1" applyProtection="1">
      <alignment horizontal="left" vertical="center"/>
    </xf>
    <xf numFmtId="0" fontId="52" fillId="6" borderId="8" xfId="0" applyFont="1" applyFill="1" applyBorder="1" applyAlignment="1" applyProtection="1">
      <alignment horizontal="left" vertical="center"/>
    </xf>
    <xf numFmtId="0" fontId="111" fillId="6" borderId="106" xfId="0" applyFont="1" applyFill="1" applyBorder="1" applyProtection="1">
      <alignment vertical="center"/>
    </xf>
    <xf numFmtId="0" fontId="111" fillId="6" borderId="107" xfId="0" applyFont="1" applyFill="1" applyBorder="1" applyProtection="1">
      <alignment vertical="center"/>
    </xf>
    <xf numFmtId="0" fontId="134"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134" fillId="6" borderId="25" xfId="0" applyFont="1" applyFill="1" applyBorder="1" applyAlignment="1" applyProtection="1">
      <alignment horizontal="lef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138" fillId="6" borderId="58" xfId="0" applyFont="1" applyFill="1" applyBorder="1" applyAlignment="1" applyProtection="1">
      <alignment horizontal="left" vertical="center" wrapText="1"/>
    </xf>
    <xf numFmtId="0" fontId="138" fillId="6" borderId="0" xfId="0" applyFont="1" applyFill="1" applyAlignment="1" applyProtection="1">
      <alignment horizontal="left"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18"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9" fillId="19" borderId="69" xfId="4" applyFont="1" applyFill="1" applyBorder="1" applyAlignment="1" applyProtection="1">
      <alignment vertical="center"/>
      <protection locked="0"/>
    </xf>
    <xf numFmtId="0" fontId="59" fillId="19" borderId="7" xfId="4" applyFont="1" applyFill="1" applyBorder="1" applyAlignment="1" applyProtection="1">
      <alignment vertical="center"/>
      <protection locked="0"/>
    </xf>
    <xf numFmtId="0" fontId="59" fillId="6" borderId="37" xfId="4" applyFont="1" applyFill="1" applyBorder="1" applyAlignment="1" applyProtection="1">
      <alignment horizontal="left" vertical="center"/>
      <protection locked="0"/>
    </xf>
    <xf numFmtId="0" fontId="59" fillId="6" borderId="3" xfId="4" applyFont="1" applyFill="1" applyBorder="1" applyAlignment="1" applyProtection="1">
      <alignment horizontal="left" vertical="center"/>
      <protection locked="0"/>
    </xf>
    <xf numFmtId="0" fontId="109" fillId="6" borderId="63" xfId="4" applyFont="1" applyFill="1" applyBorder="1" applyAlignment="1">
      <alignment horizontal="left" vertical="center"/>
    </xf>
    <xf numFmtId="0" fontId="109" fillId="6" borderId="64" xfId="4" applyFont="1" applyFill="1" applyBorder="1" applyAlignment="1">
      <alignment horizontal="left" vertical="center"/>
    </xf>
    <xf numFmtId="0" fontId="109" fillId="6" borderId="70" xfId="4" applyFont="1" applyFill="1" applyBorder="1" applyAlignment="1">
      <alignment horizontal="left" vertical="center"/>
    </xf>
    <xf numFmtId="0" fontId="59" fillId="6" borderId="23" xfId="4" applyFont="1" applyFill="1" applyBorder="1" applyAlignment="1" applyProtection="1">
      <alignment horizontal="left" vertical="center" wrapText="1"/>
      <protection locked="0"/>
    </xf>
    <xf numFmtId="0" fontId="59" fillId="6" borderId="13" xfId="4" applyFont="1" applyFill="1" applyBorder="1" applyAlignment="1" applyProtection="1">
      <alignment horizontal="left" vertical="center" wrapText="1"/>
      <protection locked="0"/>
    </xf>
    <xf numFmtId="0" fontId="59" fillId="6" borderId="15" xfId="4" applyFont="1" applyFill="1" applyBorder="1" applyAlignment="1" applyProtection="1">
      <alignment horizontal="left" vertical="center" wrapText="1"/>
      <protection locked="0"/>
    </xf>
    <xf numFmtId="0" fontId="59" fillId="6" borderId="2" xfId="4" applyFont="1" applyFill="1" applyBorder="1" applyAlignment="1" applyProtection="1">
      <alignment horizontal="left" vertical="center" wrapText="1"/>
      <protection locked="0"/>
    </xf>
    <xf numFmtId="0" fontId="59" fillId="6" borderId="5" xfId="4" applyFont="1" applyFill="1" applyBorder="1" applyAlignment="1">
      <alignment horizontal="left" vertical="center"/>
    </xf>
    <xf numFmtId="0" fontId="59" fillId="6" borderId="3"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9" fillId="6" borderId="33" xfId="4" applyFont="1" applyFill="1" applyBorder="1" applyAlignment="1">
      <alignment horizontal="left" vertical="center"/>
    </xf>
    <xf numFmtId="0" fontId="59" fillId="6" borderId="66" xfId="4" applyFont="1" applyFill="1" applyBorder="1" applyAlignment="1">
      <alignment horizontal="left" vertical="center"/>
    </xf>
    <xf numFmtId="0" fontId="109" fillId="6" borderId="11" xfId="4" applyFont="1" applyFill="1" applyBorder="1" applyAlignment="1" applyProtection="1">
      <alignment horizontal="left" vertical="center"/>
      <protection locked="0"/>
    </xf>
    <xf numFmtId="0" fontId="109" fillId="6" borderId="41" xfId="4" applyFont="1" applyFill="1" applyBorder="1" applyAlignment="1" applyProtection="1">
      <alignment horizontal="left"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55" fillId="18"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7" xfId="0" applyFont="1" applyFill="1" applyBorder="1" applyAlignment="1" applyProtection="1">
      <alignment horizontal="left" vertical="center"/>
    </xf>
    <xf numFmtId="0" fontId="114" fillId="6" borderId="15" xfId="0" applyFont="1" applyFill="1" applyBorder="1" applyAlignment="1" applyProtection="1">
      <alignment horizontal="left" vertical="center"/>
    </xf>
    <xf numFmtId="0" fontId="114" fillId="6" borderId="74" xfId="0" applyFont="1" applyFill="1" applyBorder="1" applyAlignment="1" applyProtection="1">
      <alignment horizontal="left" vertical="center"/>
    </xf>
    <xf numFmtId="0" fontId="114" fillId="6" borderId="40" xfId="0" applyFont="1" applyFill="1" applyBorder="1" applyAlignment="1" applyProtection="1">
      <alignment horizontal="left" vertical="center"/>
    </xf>
    <xf numFmtId="0" fontId="114" fillId="6" borderId="14" xfId="0" applyFont="1" applyFill="1" applyBorder="1" applyAlignment="1" applyProtection="1">
      <alignment horizontal="left" vertical="center"/>
    </xf>
    <xf numFmtId="0" fontId="114" fillId="6" borderId="12" xfId="0" applyFont="1" applyFill="1" applyBorder="1" applyAlignment="1" applyProtection="1">
      <alignment horizontal="left" vertical="center"/>
    </xf>
    <xf numFmtId="0" fontId="114" fillId="6" borderId="13" xfId="0" applyFont="1" applyFill="1" applyBorder="1" applyAlignment="1" applyProtection="1">
      <alignment horizontal="left" vertical="center"/>
    </xf>
    <xf numFmtId="0" fontId="114" fillId="6" borderId="6" xfId="0" applyFont="1" applyFill="1" applyBorder="1" applyAlignment="1" applyProtection="1">
      <alignment horizontal="left" vertical="center"/>
    </xf>
    <xf numFmtId="0" fontId="114" fillId="6" borderId="23" xfId="0" applyFont="1" applyFill="1" applyBorder="1" applyAlignment="1" applyProtection="1">
      <alignment horizontal="left" vertical="center"/>
    </xf>
    <xf numFmtId="0" fontId="114" fillId="6" borderId="25" xfId="0" applyFont="1" applyFill="1" applyBorder="1" applyAlignment="1" applyProtection="1">
      <alignment horizontal="left" vertical="center"/>
    </xf>
    <xf numFmtId="0" fontId="114" fillId="6" borderId="2" xfId="0" applyFont="1" applyFill="1" applyBorder="1" applyAlignment="1" applyProtection="1">
      <alignment horizontal="left" vertical="center"/>
    </xf>
    <xf numFmtId="0" fontId="114"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45" fillId="0" borderId="0" xfId="9" applyFont="1" applyAlignment="1">
      <alignment horizontal="left" vertical="center"/>
    </xf>
    <xf numFmtId="0" fontId="109" fillId="0" borderId="0" xfId="9" applyFont="1" applyAlignment="1">
      <alignment horizontal="left" vertical="center"/>
    </xf>
    <xf numFmtId="0" fontId="152" fillId="11" borderId="131"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0" fontId="152" fillId="11" borderId="127" xfId="9" applyFont="1" applyFill="1" applyBorder="1" applyAlignment="1" applyProtection="1">
      <alignment horizontal="left" vertical="center" wrapText="1"/>
    </xf>
    <xf numFmtId="0" fontId="150" fillId="0" borderId="0" xfId="9" applyFont="1" applyAlignment="1">
      <alignment horizontal="left" vertical="center"/>
    </xf>
    <xf numFmtId="0" fontId="152" fillId="11" borderId="122" xfId="9" applyFont="1" applyFill="1" applyBorder="1" applyAlignment="1" applyProtection="1">
      <alignment horizontal="left" vertical="center" wrapText="1"/>
    </xf>
    <xf numFmtId="0" fontId="106" fillId="11" borderId="131" xfId="9" applyFont="1" applyFill="1" applyBorder="1" applyAlignment="1" applyProtection="1">
      <alignment horizontal="left" vertical="center" wrapText="1"/>
    </xf>
    <xf numFmtId="0" fontId="106" fillId="11" borderId="125" xfId="9" applyFont="1" applyFill="1" applyBorder="1" applyAlignment="1" applyProtection="1">
      <alignment horizontal="left" vertical="center" wrapText="1"/>
    </xf>
    <xf numFmtId="0" fontId="106" fillId="11" borderId="127" xfId="9" applyFont="1" applyFill="1" applyBorder="1" applyAlignment="1" applyProtection="1">
      <alignment horizontal="left" vertical="center" wrapText="1"/>
    </xf>
    <xf numFmtId="0" fontId="152" fillId="11" borderId="153" xfId="9" applyFont="1" applyFill="1" applyBorder="1" applyAlignment="1" applyProtection="1">
      <alignment horizontal="left"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 fillId="21" borderId="0" xfId="18" applyFont="1" applyFill="1"/>
    <xf numFmtId="0" fontId="3" fillId="21" borderId="0" xfId="18" applyFill="1"/>
    <xf numFmtId="0" fontId="3" fillId="22" borderId="0" xfId="18" applyFill="1"/>
    <xf numFmtId="0" fontId="1" fillId="22" borderId="0" xfId="18" applyFont="1" applyFill="1"/>
    <xf numFmtId="10" fontId="3" fillId="22" borderId="0" xfId="17" applyNumberFormat="1" applyFont="1" applyFill="1" applyAlignment="1"/>
    <xf numFmtId="0" fontId="52" fillId="23" borderId="1" xfId="0" applyFont="1" applyFill="1" applyBorder="1" applyAlignment="1" applyProtection="1">
      <alignment vertical="center" wrapText="1"/>
      <protection locked="0"/>
    </xf>
    <xf numFmtId="1" fontId="52" fillId="23" borderId="1" xfId="0" applyNumberFormat="1" applyFont="1" applyFill="1" applyBorder="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87" customWidth="1"/>
    <col min="2" max="2" width="81" style="1304" customWidth="1"/>
    <col min="3" max="16384" width="9" style="1302"/>
  </cols>
  <sheetData>
    <row r="1" spans="1:2" s="1290" customFormat="1" ht="16" thickBot="1">
      <c r="A1" s="1289" t="s">
        <v>943</v>
      </c>
      <c r="B1" s="1288" t="s">
        <v>1022</v>
      </c>
    </row>
    <row r="2" spans="1:2" s="1293" customFormat="1" ht="15.5" thickTop="1">
      <c r="A2" s="1291" t="s">
        <v>944</v>
      </c>
      <c r="B2" s="1292" t="str">
        <f>'预评函-封皮'!B37:I37</f>
        <v>北京市大兴区广茂大街19号院商业、办公、地下车库用房房地产房地产抵押价值预评估</v>
      </c>
    </row>
    <row r="3" spans="1:2" s="1296" customFormat="1">
      <c r="A3" s="1294" t="s">
        <v>945</v>
      </c>
      <c r="B3" s="1295" t="str">
        <f>'预评函-封皮'!B40</f>
        <v>北京上德置业有限公司</v>
      </c>
    </row>
    <row r="4" spans="1:2" s="1296" customFormat="1">
      <c r="A4" s="1294" t="s">
        <v>946</v>
      </c>
      <c r="B4" s="1295" t="str">
        <f ca="1">'预评函-封皮'!B46</f>
        <v>郑燚（注册号：1120070131)、吴薇（注册号：1419970001)</v>
      </c>
    </row>
    <row r="5" spans="1:2" s="1290" customFormat="1" ht="15.5" thickBot="1">
      <c r="A5" s="1297" t="s">
        <v>947</v>
      </c>
      <c r="B5" s="1298" t="str">
        <f>'预评函-封皮'!B49</f>
        <v>康正预评字号</v>
      </c>
    </row>
    <row r="6" spans="1:2" s="1293" customFormat="1" ht="15.5" thickTop="1">
      <c r="A6" s="1291" t="s">
        <v>948</v>
      </c>
      <c r="B6" s="1292" t="str">
        <f>'预评函-1'!A4</f>
        <v>受贵公司委托，我公司对北京市大兴区广茂大街19号院商业、办公、地下车库用房房地产房地产抵押价值进行了预评估。</v>
      </c>
    </row>
    <row r="7" spans="1:2" s="1296" customFormat="1">
      <c r="A7" s="1294" t="s">
        <v>988</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989</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990</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991</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949</v>
      </c>
      <c r="B11" s="1295" t="str">
        <f>'预评函-1'!A13</f>
        <v>为估价委托人在向渤海银行办理贷款手续过程中，确定房地产抵押贷款额度提供参考依据而评估房地产抵押价值。</v>
      </c>
    </row>
    <row r="12" spans="1:2" s="1296" customFormat="1">
      <c r="A12" s="1294" t="s">
        <v>950</v>
      </c>
      <c r="B12" s="1295" t="str">
        <f>'预评函-1'!A15</f>
        <v>2022年5月12日（评估专业人员实地查勘之日）</v>
      </c>
    </row>
    <row r="13" spans="1:2" s="1296" customFormat="1">
      <c r="A13" s="1294" t="s">
        <v>951</v>
      </c>
      <c r="B13" s="1295" t="str">
        <f>'预评函-1'!A18</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4" spans="1:2" s="1296" customFormat="1">
      <c r="A14" s="1294" t="s">
        <v>952</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953</v>
      </c>
      <c r="B15" s="1295" t="str">
        <f>'预评函-1'!A20</f>
        <v>本次估价的“房地产抵押价值”是指估价对象在价值时点的“房地产价值”扣减估价师于价值时点所知悉的法定优先受偿款后的余额。</v>
      </c>
    </row>
    <row r="16" spans="1:2" s="1296" customFormat="1">
      <c r="A16" s="1294" t="s">
        <v>954</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955</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5" thickBot="1">
      <c r="A18" s="1297" t="s">
        <v>956</v>
      </c>
      <c r="B18" s="1298" t="str">
        <f>'预评函-1'!A24</f>
        <v>本次评估采用的主估价方法为成本法和收益法。</v>
      </c>
    </row>
    <row r="19" spans="1:2" s="1293" customFormat="1" ht="15.5" thickTop="1">
      <c r="A19" s="1291" t="s">
        <v>957</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958</v>
      </c>
      <c r="B20" s="1295">
        <f ca="1">'预评函-2'!D5</f>
        <v>253308</v>
      </c>
    </row>
    <row r="21" spans="1:2" s="1296" customFormat="1">
      <c r="A21" s="1294" t="s">
        <v>959</v>
      </c>
      <c r="B21" s="1295">
        <f ca="1">'预评函-2'!D7</f>
        <v>14411</v>
      </c>
    </row>
    <row r="22" spans="1:2" s="1296" customFormat="1">
      <c r="A22" s="1294" t="s">
        <v>960</v>
      </c>
      <c r="B22" s="1295" t="str">
        <f ca="1">'预评函-2'!D6</f>
        <v>贰拾伍亿叁仟叁佰零捌万元整</v>
      </c>
    </row>
    <row r="23" spans="1:2" s="1296" customFormat="1">
      <c r="A23" s="1294" t="s">
        <v>1011</v>
      </c>
      <c r="B23" s="1295" t="str">
        <f>'预评函-2'!B8</f>
        <v>2.估价师知悉的法定优先受偿款</v>
      </c>
    </row>
    <row r="24" spans="1:2" s="1296" customFormat="1">
      <c r="A24" s="1294" t="s">
        <v>1017</v>
      </c>
      <c r="B24" s="1295">
        <f>'预评函-2'!D8</f>
        <v>0</v>
      </c>
    </row>
    <row r="25" spans="1:2" s="1296" customFormat="1">
      <c r="A25" s="1294" t="s">
        <v>961</v>
      </c>
      <c r="B25" s="1295" t="str">
        <f>'预评函-2'!D9</f>
        <v>零元整</v>
      </c>
    </row>
    <row r="26" spans="1:2" s="1296" customFormat="1">
      <c r="A26" s="1294" t="s">
        <v>962</v>
      </c>
      <c r="B26" s="1295" t="str">
        <f>'预评函-2'!D10</f>
        <v>（续贷，未扣减，详见特别提示）</v>
      </c>
    </row>
    <row r="27" spans="1:2" s="1296" customFormat="1">
      <c r="A27" s="1294" t="s">
        <v>963</v>
      </c>
      <c r="B27" s="1295">
        <f>'预评函-2'!D11</f>
        <v>0</v>
      </c>
    </row>
    <row r="28" spans="1:2" s="1296" customFormat="1">
      <c r="A28" s="1294" t="s">
        <v>964</v>
      </c>
      <c r="B28" s="1295">
        <f>'预评函-2'!D12</f>
        <v>0</v>
      </c>
    </row>
    <row r="29" spans="1:2" s="1296" customFormat="1">
      <c r="A29" s="1294" t="s">
        <v>1015</v>
      </c>
      <c r="B29" s="1295" t="str">
        <f>'预评函-2'!B13</f>
        <v>3.房地产抵押价值</v>
      </c>
    </row>
    <row r="30" spans="1:2" s="1296" customFormat="1">
      <c r="A30" s="1294" t="s">
        <v>1016</v>
      </c>
      <c r="B30" s="1295">
        <f ca="1">'预评函-2'!D13</f>
        <v>253308</v>
      </c>
    </row>
    <row r="31" spans="1:2" s="1296" customFormat="1">
      <c r="A31" s="1294" t="s">
        <v>998</v>
      </c>
      <c r="B31" s="1295">
        <f ca="1">'预评函-2'!D15</f>
        <v>14411</v>
      </c>
    </row>
    <row r="32" spans="1:2" s="1296" customFormat="1">
      <c r="A32" s="1294" t="s">
        <v>965</v>
      </c>
      <c r="B32" s="1295" t="str">
        <f ca="1">'预评函-2'!D14</f>
        <v>贰拾伍亿叁仟叁佰零捌万元整</v>
      </c>
    </row>
    <row r="33" spans="1:2" s="1296" customFormat="1">
      <c r="A33" s="1294" t="s">
        <v>1000</v>
      </c>
      <c r="B33" s="1295" t="str">
        <f>'预评函-2'!B16</f>
        <v>——</v>
      </c>
    </row>
    <row r="34" spans="1:2" s="1296" customFormat="1">
      <c r="A34" s="1294" t="s">
        <v>1018</v>
      </c>
      <c r="B34" s="1295" t="str">
        <f>'预评函-2'!D16</f>
        <v>——</v>
      </c>
    </row>
    <row r="35" spans="1:2" s="1296" customFormat="1">
      <c r="A35" s="1294" t="s">
        <v>999</v>
      </c>
      <c r="B35" s="1295" t="str">
        <f>'预评函-2'!D18</f>
        <v>——</v>
      </c>
    </row>
    <row r="36" spans="1:2" s="1296" customFormat="1">
      <c r="A36" s="1294" t="s">
        <v>966</v>
      </c>
      <c r="B36" s="1295" t="e">
        <f>'预评函-2'!D17</f>
        <v>#VALUE!</v>
      </c>
    </row>
    <row r="37" spans="1:2" s="1296" customFormat="1">
      <c r="A37" s="1294" t="s">
        <v>1001</v>
      </c>
      <c r="B37" s="1295" t="str">
        <f>'预评函-2'!B19</f>
        <v>——</v>
      </c>
    </row>
    <row r="38" spans="1:2" s="1296" customFormat="1">
      <c r="A38" s="1294" t="s">
        <v>1019</v>
      </c>
      <c r="B38" s="1295" t="str">
        <f>'预评函-2'!D19</f>
        <v>——</v>
      </c>
    </row>
    <row r="39" spans="1:2" s="1296" customFormat="1">
      <c r="A39" s="1294" t="s">
        <v>967</v>
      </c>
      <c r="B39" s="1295" t="str">
        <f>'预评函-2'!D21</f>
        <v>——</v>
      </c>
    </row>
    <row r="40" spans="1:2" s="1296" customFormat="1">
      <c r="A40" s="1294" t="s">
        <v>968</v>
      </c>
      <c r="B40" s="1295" t="e">
        <f>'预评函-2'!D20</f>
        <v>#VALUE!</v>
      </c>
    </row>
    <row r="41" spans="1:2" s="1296" customFormat="1">
      <c r="A41" s="1294" t="s">
        <v>1014</v>
      </c>
      <c r="B41" s="1295" t="str">
        <f>'预评函-3'!A4</f>
        <v>北京市大兴区广茂大街19号院商业、办公、地下车库用房房地产房地产</v>
      </c>
    </row>
    <row r="42" spans="1:2" s="1296" customFormat="1" ht="30">
      <c r="A42" s="1294" t="s">
        <v>1012</v>
      </c>
      <c r="B42" s="1295" t="str">
        <f>'预评函-3'!B2</f>
        <v>建筑面积</v>
      </c>
    </row>
    <row r="43" spans="1:2" s="1296" customFormat="1">
      <c r="A43" s="1294" t="s">
        <v>1013</v>
      </c>
      <c r="B43" s="1295">
        <f>'预评函-3'!B4</f>
        <v>175770.51</v>
      </c>
    </row>
    <row r="44" spans="1:2" s="1296" customFormat="1" ht="30">
      <c r="A44" s="1294" t="s">
        <v>997</v>
      </c>
      <c r="B44" s="1295" t="str">
        <f>'预评函-3'!C2</f>
        <v>(分摊)土地面积</v>
      </c>
    </row>
    <row r="45" spans="1:2" s="1296" customFormat="1">
      <c r="A45" s="1294" t="s">
        <v>969</v>
      </c>
      <c r="B45" s="1295">
        <f>'预评函-3'!C4</f>
        <v>35673.11</v>
      </c>
    </row>
    <row r="46" spans="1:2" s="1296" customFormat="1">
      <c r="A46" s="1294" t="s">
        <v>995</v>
      </c>
      <c r="B46" s="1295" t="str">
        <f>'预评函-3'!D2</f>
        <v>出让国有建设用地使用权价值</v>
      </c>
    </row>
    <row r="47" spans="1:2" s="1296" customFormat="1">
      <c r="A47" s="1294" t="s">
        <v>970</v>
      </c>
      <c r="B47" s="1295">
        <f ca="1">'预评函-3'!D4</f>
        <v>172185</v>
      </c>
    </row>
    <row r="48" spans="1:2" s="1296" customFormat="1">
      <c r="A48" s="1294" t="s">
        <v>971</v>
      </c>
      <c r="B48" s="1295">
        <f ca="1">'预评函-3'!E4</f>
        <v>9796</v>
      </c>
    </row>
    <row r="49" spans="1:2" s="1296" customFormat="1">
      <c r="A49" s="1294" t="s">
        <v>972</v>
      </c>
      <c r="B49" s="1295" t="str">
        <f ca="1">'预评函-3'!D5</f>
        <v>壹拾柒亿贰仟壹佰捌拾伍万元整</v>
      </c>
    </row>
    <row r="50" spans="1:2" s="1296" customFormat="1">
      <c r="A50" s="1294" t="s">
        <v>996</v>
      </c>
      <c r="B50" s="1295" t="str">
        <f>'预评函-3'!F2</f>
        <v>在建建筑物价值</v>
      </c>
    </row>
    <row r="51" spans="1:2" s="1296" customFormat="1">
      <c r="A51" s="1294" t="s">
        <v>973</v>
      </c>
      <c r="B51" s="1295">
        <f ca="1">'预评函-3'!F4</f>
        <v>81123</v>
      </c>
    </row>
    <row r="52" spans="1:2" s="1296" customFormat="1">
      <c r="A52" s="1294" t="s">
        <v>974</v>
      </c>
      <c r="B52" s="1295">
        <f ca="1">'预评函-3'!G4</f>
        <v>4615</v>
      </c>
    </row>
    <row r="53" spans="1:2" s="1296" customFormat="1">
      <c r="A53" s="1294" t="s">
        <v>1002</v>
      </c>
      <c r="B53" s="1295" t="str">
        <f ca="1">'预评函-3'!F5</f>
        <v>捌亿壹仟壹佰贰拾叁万元整</v>
      </c>
    </row>
    <row r="54" spans="1:2" s="1296" customFormat="1">
      <c r="A54" s="1294" t="s">
        <v>1020</v>
      </c>
      <c r="B54" s="1295" t="str">
        <f>'预评函-3'!A8</f>
        <v>房地产抵押价值</v>
      </c>
    </row>
    <row r="55" spans="1:2" s="1296" customFormat="1">
      <c r="A55" s="1294" t="s">
        <v>1003</v>
      </c>
      <c r="B55" s="1295" t="str">
        <f>'预评函-3'!A10</f>
        <v/>
      </c>
    </row>
    <row r="56" spans="1:2" s="1296" customFormat="1">
      <c r="A56" s="1294" t="s">
        <v>1004</v>
      </c>
      <c r="B56" s="1295" t="str">
        <f>'预评函-3'!A12</f>
        <v/>
      </c>
    </row>
    <row r="57" spans="1:2" s="1290" customFormat="1" ht="15.5" thickBot="1">
      <c r="A57" s="1297" t="s">
        <v>1021</v>
      </c>
      <c r="B57" s="1298" t="str">
        <f>'预评函-3'!A6</f>
        <v>估价师知悉的法定优先受偿款</v>
      </c>
    </row>
    <row r="58" spans="1:2" s="1293" customFormat="1" ht="15.5" thickTop="1">
      <c r="A58" s="1291" t="s">
        <v>975</v>
      </c>
      <c r="B58" s="1292" t="str">
        <f>'预评函-4'!A12</f>
        <v>2.本《评估意见函》仅供金融机构进行内部审核使用，不做其他目的之用。</v>
      </c>
    </row>
    <row r="59" spans="1:2" s="1296" customFormat="1">
      <c r="A59" s="1294" t="s">
        <v>976</v>
      </c>
      <c r="B59" s="1295" t="str">
        <f>'预评函-4'!A13</f>
        <v>3.抵押双方在办理抵押登记手续时，应使用本公司出具的正式《房地产评估报告》，特提醒报告使用者注意。</v>
      </c>
    </row>
    <row r="60" spans="1:2" s="1296" customFormat="1">
      <c r="A60" s="1294" t="s">
        <v>977</v>
      </c>
      <c r="B60" s="1295" t="str">
        <f>'预评函-4'!A14</f>
        <v>4.本次评估估价师所知悉的法定优先受偿款情况说明如下：</v>
      </c>
    </row>
    <row r="61" spans="1:2" s="1296" customFormat="1">
      <c r="A61" s="1294" t="s">
        <v>978</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6" customFormat="1">
      <c r="A62" s="1294" t="s">
        <v>979</v>
      </c>
      <c r="B62" s="1295" t="str">
        <f>'预评函-4'!A16</f>
        <v>（2）根据《工程款支付情况说明》，截至价值时点，估价对象不存在应付未付工程款项。（只要没有施工方盖章的，均“设定”进行表述）</v>
      </c>
    </row>
    <row r="63" spans="1:2" s="1296" customFormat="1">
      <c r="A63" s="1294" t="s">
        <v>980</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992</v>
      </c>
      <c r="B64" s="1295" t="str">
        <f>'预评函-4'!A18</f>
        <v>故，本次评估不存在估价师知悉的法定优先受偿款</v>
      </c>
    </row>
    <row r="65" spans="1:2" s="1296" customFormat="1">
      <c r="A65" s="1294" t="s">
        <v>981</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982</v>
      </c>
      <c r="B66" s="1295" t="str">
        <f>'预评函-4'!A20</f>
        <v>——</v>
      </c>
    </row>
    <row r="67" spans="1:2" s="1296" customFormat="1">
      <c r="A67" s="1294" t="s">
        <v>993</v>
      </c>
      <c r="B67" s="1295" t="str">
        <f>'预评函-4'!A21</f>
        <v>——</v>
      </c>
    </row>
    <row r="68" spans="1:2" s="1296" customFormat="1">
      <c r="A68" s="1294" t="s">
        <v>994</v>
      </c>
      <c r="B68" s="1295" t="str">
        <f>'预评函-4'!A22</f>
        <v>8.其他需特殊说明事项：无（注意调整序号）</v>
      </c>
    </row>
    <row r="69" spans="1:2" s="1290" customFormat="1" ht="15.5" thickBot="1">
      <c r="A69" s="1297" t="s">
        <v>983</v>
      </c>
      <c r="B69" s="1299">
        <f>'预评函-4'!C31</f>
        <v>42551</v>
      </c>
    </row>
    <row r="70" spans="1:2" ht="15.5" thickTop="1">
      <c r="A70" s="1300" t="s">
        <v>984</v>
      </c>
      <c r="B70" s="1301" t="str">
        <f>'预评函-4'!A4</f>
        <v>郑燚</v>
      </c>
    </row>
    <row r="71" spans="1:2">
      <c r="A71" s="1294" t="s">
        <v>985</v>
      </c>
      <c r="B71" s="1295">
        <f ca="1">'预评函-4'!B4</f>
        <v>1120070131</v>
      </c>
    </row>
    <row r="72" spans="1:2">
      <c r="A72" s="1294" t="s">
        <v>986</v>
      </c>
      <c r="B72" s="1303" t="str">
        <f>'预评函-4'!A5</f>
        <v>吴薇</v>
      </c>
    </row>
    <row r="73" spans="1:2" s="1290" customFormat="1" ht="15.5" thickBot="1">
      <c r="A73" s="1297" t="s">
        <v>987</v>
      </c>
      <c r="B73" s="1298">
        <f ca="1">'预评函-4'!B5</f>
        <v>1419970001</v>
      </c>
    </row>
    <row r="74" spans="1:2" ht="15.5" thickTop="1">
      <c r="A74" s="1287" t="s">
        <v>1023</v>
      </c>
      <c r="B74" s="13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5" sqref="H15"/>
    </sheetView>
  </sheetViews>
  <sheetFormatPr defaultColWidth="9" defaultRowHeight="14"/>
  <cols>
    <col min="1" max="1" width="13.453125" style="1670" customWidth="1"/>
    <col min="2" max="2" width="23.08984375" style="1621" customWidth="1"/>
    <col min="3" max="3" width="13" style="1665" customWidth="1"/>
    <col min="4" max="4" width="5.90625" style="1662" customWidth="1"/>
    <col min="5" max="5" width="7.08984375" style="1662" customWidth="1"/>
    <col min="6" max="6" width="10.6328125" style="1662" customWidth="1"/>
    <col min="7" max="7" width="7.453125" style="1662" customWidth="1"/>
    <col min="8" max="8" width="9" style="1665" customWidth="1"/>
    <col min="9" max="9" width="11.6328125" style="1665" customWidth="1"/>
    <col min="10" max="10" width="9" style="1665" customWidth="1"/>
    <col min="11" max="19" width="9" style="1662" customWidth="1"/>
    <col min="20" max="23" width="9" style="1665" customWidth="1"/>
    <col min="24" max="24" width="21.08984375" style="1621" customWidth="1"/>
    <col min="25" max="16384" width="9" style="1621"/>
  </cols>
  <sheetData>
    <row r="1" spans="1:23" s="1659" customFormat="1" ht="28">
      <c r="A1" s="1653" t="s">
        <v>71</v>
      </c>
      <c r="B1" s="1654" t="s">
        <v>1411</v>
      </c>
      <c r="C1" s="1655" t="s">
        <v>578</v>
      </c>
      <c r="D1" s="1656" t="s">
        <v>1412</v>
      </c>
      <c r="E1" s="1656" t="s">
        <v>1413</v>
      </c>
      <c r="F1" s="1656" t="s">
        <v>1414</v>
      </c>
      <c r="G1" s="1656" t="s">
        <v>1415</v>
      </c>
      <c r="H1" s="1656" t="s">
        <v>1416</v>
      </c>
      <c r="I1" s="1656" t="s">
        <v>1417</v>
      </c>
      <c r="J1" s="1656" t="s">
        <v>1418</v>
      </c>
      <c r="K1" s="1656" t="s">
        <v>1419</v>
      </c>
      <c r="L1" s="1656" t="s">
        <v>1420</v>
      </c>
      <c r="M1" s="1656" t="s">
        <v>1421</v>
      </c>
      <c r="N1" s="1656" t="s">
        <v>1422</v>
      </c>
      <c r="O1" s="1656" t="s">
        <v>1423</v>
      </c>
      <c r="P1" s="1657" t="s">
        <v>573</v>
      </c>
      <c r="Q1" s="1657" t="s">
        <v>872</v>
      </c>
      <c r="R1" s="1656" t="s">
        <v>866</v>
      </c>
      <c r="S1" s="1656" t="s">
        <v>1424</v>
      </c>
      <c r="T1" s="1658" t="s">
        <v>1425</v>
      </c>
      <c r="U1" s="1656" t="s">
        <v>1426</v>
      </c>
      <c r="V1" s="1656" t="s">
        <v>1427</v>
      </c>
      <c r="W1" s="1656" t="s">
        <v>575</v>
      </c>
    </row>
    <row r="2" spans="1:23">
      <c r="A2" s="1660" t="s">
        <v>22</v>
      </c>
      <c r="B2" s="1660" t="s">
        <v>1428</v>
      </c>
      <c r="C2" s="1661" t="s">
        <v>579</v>
      </c>
      <c r="D2" s="1662" t="s">
        <v>1429</v>
      </c>
      <c r="E2" s="1662" t="s">
        <v>1430</v>
      </c>
      <c r="F2" s="1662" t="s">
        <v>1431</v>
      </c>
      <c r="G2" s="1662">
        <v>40</v>
      </c>
      <c r="H2" s="1662" t="s">
        <v>1431</v>
      </c>
      <c r="I2" s="1662" t="s">
        <v>1432</v>
      </c>
      <c r="J2" s="1662" t="s">
        <v>1433</v>
      </c>
      <c r="K2" s="1662" t="s">
        <v>1434</v>
      </c>
      <c r="L2" s="1662" t="s">
        <v>1434</v>
      </c>
      <c r="M2" s="1662" t="s">
        <v>1434</v>
      </c>
      <c r="N2" s="1662" t="s">
        <v>1434</v>
      </c>
      <c r="O2" s="1662" t="s">
        <v>1434</v>
      </c>
      <c r="P2" s="1662" t="s">
        <v>1434</v>
      </c>
      <c r="Q2" s="1662" t="s">
        <v>1434</v>
      </c>
      <c r="R2" s="1662" t="s">
        <v>868</v>
      </c>
      <c r="S2" s="1662" t="s">
        <v>1434</v>
      </c>
      <c r="T2" s="1662" t="s">
        <v>1435</v>
      </c>
      <c r="U2" s="1662" t="s">
        <v>1434</v>
      </c>
      <c r="V2" s="1662" t="s">
        <v>1436</v>
      </c>
      <c r="W2" s="1662" t="s">
        <v>1434</v>
      </c>
    </row>
    <row r="3" spans="1:23">
      <c r="A3" s="1660" t="s">
        <v>1437</v>
      </c>
      <c r="B3" s="1663" t="s">
        <v>3339</v>
      </c>
      <c r="C3" s="1664" t="s">
        <v>580</v>
      </c>
      <c r="D3" s="1662" t="s">
        <v>1438</v>
      </c>
      <c r="E3" s="1662" t="s">
        <v>16</v>
      </c>
      <c r="F3" s="1662" t="s">
        <v>1439</v>
      </c>
      <c r="G3" s="1662">
        <v>50</v>
      </c>
      <c r="H3" s="1662" t="s">
        <v>1439</v>
      </c>
      <c r="I3" s="1662" t="s">
        <v>1440</v>
      </c>
      <c r="J3" s="1662" t="s">
        <v>1441</v>
      </c>
      <c r="K3" s="1662" t="s">
        <v>1442</v>
      </c>
      <c r="L3" s="1662" t="s">
        <v>1442</v>
      </c>
      <c r="M3" s="1662" t="s">
        <v>1442</v>
      </c>
      <c r="N3" s="1662" t="s">
        <v>1442</v>
      </c>
      <c r="O3" s="1662" t="s">
        <v>1442</v>
      </c>
      <c r="P3" s="1662" t="s">
        <v>1442</v>
      </c>
      <c r="Q3" s="1662" t="s">
        <v>1442</v>
      </c>
      <c r="R3" s="1662" t="s">
        <v>867</v>
      </c>
      <c r="S3" s="1662" t="s">
        <v>1442</v>
      </c>
      <c r="T3" s="1662" t="s">
        <v>1443</v>
      </c>
      <c r="U3" s="1662" t="s">
        <v>1442</v>
      </c>
      <c r="V3" s="1662" t="s">
        <v>1444</v>
      </c>
      <c r="W3" s="1662" t="s">
        <v>1442</v>
      </c>
    </row>
    <row r="4" spans="1:23">
      <c r="A4" s="1660" t="s">
        <v>1445</v>
      </c>
      <c r="B4" s="1660" t="s">
        <v>1446</v>
      </c>
      <c r="C4" s="1661" t="s">
        <v>581</v>
      </c>
      <c r="D4" s="1662" t="s">
        <v>655</v>
      </c>
      <c r="E4" s="1662" t="s">
        <v>1447</v>
      </c>
      <c r="F4" s="1662" t="s">
        <v>1448</v>
      </c>
      <c r="G4" s="1662">
        <v>70</v>
      </c>
      <c r="H4" s="1662" t="s">
        <v>1448</v>
      </c>
      <c r="I4" s="1662" t="s">
        <v>1449</v>
      </c>
      <c r="K4" s="1662" t="s">
        <v>1450</v>
      </c>
      <c r="L4" s="1662" t="s">
        <v>1450</v>
      </c>
      <c r="M4" s="1662" t="s">
        <v>1450</v>
      </c>
      <c r="N4" s="1662" t="s">
        <v>1450</v>
      </c>
      <c r="O4" s="1662" t="s">
        <v>1450</v>
      </c>
      <c r="P4" s="1662" t="s">
        <v>1450</v>
      </c>
      <c r="Q4" s="1662" t="s">
        <v>1450</v>
      </c>
      <c r="R4" s="1662" t="s">
        <v>869</v>
      </c>
      <c r="S4" s="1662" t="s">
        <v>1450</v>
      </c>
      <c r="T4" s="1662" t="s">
        <v>1451</v>
      </c>
      <c r="U4" s="1662" t="s">
        <v>1450</v>
      </c>
      <c r="W4" s="1662" t="s">
        <v>1450</v>
      </c>
    </row>
    <row r="5" spans="1:23">
      <c r="A5" s="1660" t="s">
        <v>1452</v>
      </c>
      <c r="B5" s="1660" t="s">
        <v>1453</v>
      </c>
      <c r="C5" s="1661" t="s">
        <v>582</v>
      </c>
      <c r="F5" s="1662" t="s">
        <v>1454</v>
      </c>
      <c r="H5" s="1662" t="s">
        <v>1455</v>
      </c>
      <c r="I5" s="1662" t="s">
        <v>1456</v>
      </c>
      <c r="K5" s="1662" t="s">
        <v>1457</v>
      </c>
      <c r="L5" s="1662" t="s">
        <v>1457</v>
      </c>
      <c r="M5" s="1662" t="s">
        <v>1457</v>
      </c>
      <c r="N5" s="1662" t="s">
        <v>1457</v>
      </c>
      <c r="O5" s="1662" t="s">
        <v>1457</v>
      </c>
      <c r="P5" s="1662" t="s">
        <v>1457</v>
      </c>
      <c r="Q5" s="1662" t="s">
        <v>1457</v>
      </c>
      <c r="R5" s="1662" t="s">
        <v>870</v>
      </c>
      <c r="S5" s="1662" t="s">
        <v>1457</v>
      </c>
      <c r="T5" s="1662" t="s">
        <v>1458</v>
      </c>
      <c r="U5" s="1662" t="s">
        <v>1457</v>
      </c>
      <c r="W5" s="1662" t="s">
        <v>1457</v>
      </c>
    </row>
    <row r="6" spans="1:23">
      <c r="A6" s="1660" t="s">
        <v>1459</v>
      </c>
      <c r="B6" s="1663" t="s">
        <v>3336</v>
      </c>
      <c r="C6" s="1666" t="s">
        <v>30</v>
      </c>
      <c r="F6" s="1662" t="s">
        <v>1455</v>
      </c>
      <c r="H6" s="1662" t="s">
        <v>1460</v>
      </c>
      <c r="I6" s="1662" t="s">
        <v>1461</v>
      </c>
      <c r="K6" s="1662" t="s">
        <v>1462</v>
      </c>
      <c r="L6" s="1662" t="s">
        <v>1462</v>
      </c>
      <c r="M6" s="1662" t="s">
        <v>1462</v>
      </c>
      <c r="N6" s="1662" t="s">
        <v>1462</v>
      </c>
      <c r="O6" s="1662" t="s">
        <v>1462</v>
      </c>
      <c r="P6" s="1662" t="s">
        <v>1462</v>
      </c>
      <c r="Q6" s="1662" t="s">
        <v>1462</v>
      </c>
      <c r="R6" s="1662" t="s">
        <v>871</v>
      </c>
      <c r="S6" s="1662" t="s">
        <v>1462</v>
      </c>
      <c r="T6" s="1662"/>
      <c r="U6" s="1662" t="s">
        <v>1462</v>
      </c>
      <c r="W6" s="1662" t="s">
        <v>1462</v>
      </c>
    </row>
    <row r="7" spans="1:23">
      <c r="A7" s="1660" t="s">
        <v>1463</v>
      </c>
      <c r="B7" s="1663" t="s">
        <v>3338</v>
      </c>
      <c r="C7" s="1661" t="s">
        <v>31</v>
      </c>
      <c r="F7" s="1662" t="s">
        <v>1464</v>
      </c>
      <c r="H7" s="1662" t="s">
        <v>1465</v>
      </c>
      <c r="I7" s="1662" t="s">
        <v>1466</v>
      </c>
    </row>
    <row r="8" spans="1:23">
      <c r="A8" s="1660" t="s">
        <v>1467</v>
      </c>
      <c r="B8" s="1660" t="s">
        <v>1468</v>
      </c>
      <c r="C8" s="1661" t="s">
        <v>583</v>
      </c>
      <c r="F8" s="1662" t="s">
        <v>1469</v>
      </c>
      <c r="H8" s="1662"/>
      <c r="I8" s="1662" t="s">
        <v>1470</v>
      </c>
    </row>
    <row r="9" spans="1:23">
      <c r="A9" s="1660" t="s">
        <v>1471</v>
      </c>
      <c r="B9" s="1660" t="s">
        <v>1472</v>
      </c>
      <c r="C9" s="1661" t="s">
        <v>584</v>
      </c>
      <c r="F9" s="1662" t="s">
        <v>1473</v>
      </c>
      <c r="H9" s="1662"/>
    </row>
    <row r="10" spans="1:23">
      <c r="A10" s="1660" t="s">
        <v>1474</v>
      </c>
      <c r="B10" s="1660" t="s">
        <v>1475</v>
      </c>
      <c r="C10" s="1661" t="s">
        <v>585</v>
      </c>
      <c r="F10" s="1662" t="s">
        <v>16</v>
      </c>
    </row>
    <row r="11" spans="1:23">
      <c r="A11" s="1660" t="s">
        <v>1476</v>
      </c>
      <c r="B11" s="1660" t="s">
        <v>1477</v>
      </c>
      <c r="C11" s="1661" t="s">
        <v>586</v>
      </c>
    </row>
    <row r="12" spans="1:23">
      <c r="A12" s="1660" t="s">
        <v>1478</v>
      </c>
      <c r="B12" s="1660" t="s">
        <v>1479</v>
      </c>
      <c r="C12" s="1661" t="s">
        <v>587</v>
      </c>
    </row>
    <row r="13" spans="1:23">
      <c r="A13" s="1660" t="s">
        <v>1480</v>
      </c>
      <c r="B13" s="1660" t="s">
        <v>1481</v>
      </c>
      <c r="C13" s="1661" t="s">
        <v>588</v>
      </c>
    </row>
    <row r="14" spans="1:23">
      <c r="A14" s="1660" t="s">
        <v>1482</v>
      </c>
      <c r="B14" s="1660" t="s">
        <v>1483</v>
      </c>
      <c r="C14" s="1662" t="s">
        <v>16</v>
      </c>
    </row>
    <row r="15" spans="1:23">
      <c r="A15" s="1660" t="s">
        <v>1484</v>
      </c>
      <c r="B15" s="1660" t="s">
        <v>1485</v>
      </c>
      <c r="C15" s="1661"/>
    </row>
    <row r="16" spans="1:23">
      <c r="A16" s="1660" t="s">
        <v>1486</v>
      </c>
      <c r="B16" s="1660" t="s">
        <v>576</v>
      </c>
      <c r="C16" s="1661"/>
    </row>
    <row r="17" spans="1:3">
      <c r="A17" s="1660" t="s">
        <v>1487</v>
      </c>
      <c r="B17" s="1660" t="s">
        <v>2785</v>
      </c>
      <c r="C17" s="1661"/>
    </row>
    <row r="18" spans="1:3">
      <c r="A18" s="1660" t="s">
        <v>1488</v>
      </c>
      <c r="B18" s="1660" t="s">
        <v>2929</v>
      </c>
      <c r="C18" s="1661"/>
    </row>
    <row r="19" spans="1:3">
      <c r="A19" s="1660" t="s">
        <v>1489</v>
      </c>
      <c r="B19" s="1663" t="s">
        <v>3658</v>
      </c>
      <c r="C19" s="1661"/>
    </row>
    <row r="20" spans="1:3">
      <c r="A20" s="1660" t="s">
        <v>1490</v>
      </c>
      <c r="B20" s="1660" t="s">
        <v>577</v>
      </c>
      <c r="C20" s="1661"/>
    </row>
    <row r="21" spans="1:3">
      <c r="A21" s="1660" t="s">
        <v>1491</v>
      </c>
      <c r="B21" s="1660" t="s">
        <v>577</v>
      </c>
      <c r="C21" s="1661"/>
    </row>
    <row r="22" spans="1:3">
      <c r="A22" s="1660" t="s">
        <v>1492</v>
      </c>
      <c r="B22" s="1660" t="s">
        <v>577</v>
      </c>
      <c r="C22" s="1661"/>
    </row>
    <row r="23" spans="1:3">
      <c r="A23" s="1660" t="s">
        <v>1493</v>
      </c>
      <c r="B23" s="1660" t="s">
        <v>577</v>
      </c>
      <c r="C23" s="1661"/>
    </row>
    <row r="24" spans="1:3">
      <c r="A24" s="1660" t="s">
        <v>1494</v>
      </c>
      <c r="B24" s="1660" t="s">
        <v>577</v>
      </c>
      <c r="C24" s="1661"/>
    </row>
    <row r="25" spans="1:3">
      <c r="A25" s="1660" t="s">
        <v>1495</v>
      </c>
      <c r="B25" s="1660" t="s">
        <v>577</v>
      </c>
      <c r="C25" s="1661"/>
    </row>
    <row r="26" spans="1:3">
      <c r="A26" s="1660" t="s">
        <v>1496</v>
      </c>
      <c r="B26" s="1660" t="s">
        <v>577</v>
      </c>
      <c r="C26" s="1661"/>
    </row>
    <row r="27" spans="1:3">
      <c r="A27" s="1660" t="s">
        <v>577</v>
      </c>
      <c r="B27" s="1660" t="s">
        <v>577</v>
      </c>
      <c r="C27" s="1661"/>
    </row>
    <row r="28" spans="1:3">
      <c r="A28" s="1660" t="s">
        <v>577</v>
      </c>
      <c r="B28" s="1660" t="s">
        <v>577</v>
      </c>
      <c r="C28" s="1661"/>
    </row>
    <row r="29" spans="1:3">
      <c r="A29" s="1660" t="s">
        <v>577</v>
      </c>
      <c r="B29" s="1660" t="s">
        <v>577</v>
      </c>
      <c r="C29" s="1661"/>
    </row>
    <row r="30" spans="1:3">
      <c r="A30" s="1660" t="s">
        <v>577</v>
      </c>
      <c r="B30" s="1660" t="s">
        <v>577</v>
      </c>
      <c r="C30" s="1661"/>
    </row>
    <row r="31" spans="1:3">
      <c r="A31" s="1660" t="s">
        <v>577</v>
      </c>
      <c r="B31" s="1660" t="s">
        <v>577</v>
      </c>
      <c r="C31" s="1661"/>
    </row>
    <row r="32" spans="1:3">
      <c r="A32" s="1660" t="s">
        <v>577</v>
      </c>
      <c r="B32" s="1660" t="s">
        <v>577</v>
      </c>
      <c r="C32" s="1661"/>
    </row>
    <row r="33" spans="1:3">
      <c r="A33" s="1660" t="s">
        <v>577</v>
      </c>
      <c r="B33" s="1660" t="s">
        <v>577</v>
      </c>
      <c r="C33" s="1661"/>
    </row>
    <row r="34" spans="1:3">
      <c r="A34" s="1660" t="s">
        <v>577</v>
      </c>
      <c r="B34" s="1660" t="s">
        <v>577</v>
      </c>
      <c r="C34" s="1661"/>
    </row>
    <row r="35" spans="1:3">
      <c r="A35" s="1660" t="s">
        <v>577</v>
      </c>
      <c r="B35" s="1660" t="s">
        <v>577</v>
      </c>
      <c r="C35" s="1661"/>
    </row>
    <row r="36" spans="1:3">
      <c r="A36" s="1660" t="s">
        <v>577</v>
      </c>
      <c r="B36" s="1660" t="s">
        <v>577</v>
      </c>
      <c r="C36" s="1661"/>
    </row>
    <row r="37" spans="1:3">
      <c r="A37" s="1660" t="s">
        <v>577</v>
      </c>
      <c r="B37" s="1660" t="s">
        <v>577</v>
      </c>
      <c r="C37" s="1661"/>
    </row>
    <row r="38" spans="1:3">
      <c r="A38" s="1660" t="s">
        <v>577</v>
      </c>
      <c r="B38" s="1660" t="s">
        <v>577</v>
      </c>
      <c r="C38" s="1661"/>
    </row>
    <row r="39" spans="1:3">
      <c r="A39" s="1660" t="s">
        <v>577</v>
      </c>
      <c r="B39" s="1660" t="s">
        <v>577</v>
      </c>
      <c r="C39" s="1661"/>
    </row>
    <row r="40" spans="1:3">
      <c r="A40" s="1660" t="s">
        <v>577</v>
      </c>
      <c r="B40" s="1660" t="s">
        <v>577</v>
      </c>
      <c r="C40" s="1661"/>
    </row>
    <row r="41" spans="1:3">
      <c r="A41" s="1660" t="s">
        <v>577</v>
      </c>
      <c r="B41" s="1660" t="s">
        <v>577</v>
      </c>
      <c r="C41" s="1661"/>
    </row>
    <row r="42" spans="1:3">
      <c r="A42" s="1660" t="s">
        <v>577</v>
      </c>
      <c r="B42" s="1660" t="s">
        <v>577</v>
      </c>
      <c r="C42" s="1661"/>
    </row>
    <row r="43" spans="1:3">
      <c r="A43" s="1660" t="s">
        <v>577</v>
      </c>
      <c r="B43" s="1660" t="s">
        <v>577</v>
      </c>
      <c r="C43" s="1661"/>
    </row>
    <row r="44" spans="1:3">
      <c r="A44" s="1660" t="s">
        <v>577</v>
      </c>
      <c r="B44" s="1660" t="s">
        <v>577</v>
      </c>
      <c r="C44" s="1661"/>
    </row>
    <row r="45" spans="1:3">
      <c r="A45" s="1660" t="s">
        <v>577</v>
      </c>
      <c r="B45" s="1660" t="s">
        <v>577</v>
      </c>
      <c r="C45" s="1661"/>
    </row>
    <row r="46" spans="1:3">
      <c r="A46" s="1660" t="s">
        <v>577</v>
      </c>
      <c r="B46" s="1660" t="s">
        <v>577</v>
      </c>
      <c r="C46" s="1661"/>
    </row>
    <row r="47" spans="1:3">
      <c r="A47" s="1660" t="s">
        <v>577</v>
      </c>
      <c r="B47" s="1660" t="s">
        <v>577</v>
      </c>
      <c r="C47" s="1661"/>
    </row>
    <row r="48" spans="1:3">
      <c r="A48" s="1660" t="s">
        <v>577</v>
      </c>
      <c r="B48" s="1660" t="s">
        <v>577</v>
      </c>
      <c r="C48" s="1661"/>
    </row>
    <row r="49" spans="1:4">
      <c r="A49" s="1660" t="s">
        <v>577</v>
      </c>
      <c r="B49" s="1660" t="s">
        <v>577</v>
      </c>
      <c r="C49" s="1661"/>
    </row>
    <row r="50" spans="1:4">
      <c r="A50" s="1660" t="s">
        <v>577</v>
      </c>
      <c r="B50" s="1660" t="s">
        <v>577</v>
      </c>
      <c r="C50" s="1661"/>
    </row>
    <row r="51" spans="1:4">
      <c r="A51" s="1667" t="s">
        <v>644</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1008</v>
      </c>
    </row>
    <row r="52" spans="1:4">
      <c r="A52" s="1667" t="s">
        <v>645</v>
      </c>
      <c r="B52" s="1667" t="s">
        <v>646</v>
      </c>
      <c r="C52" s="1665" t="s">
        <v>647</v>
      </c>
      <c r="D52" s="1665" t="s">
        <v>648</v>
      </c>
    </row>
    <row r="53" spans="1:4">
      <c r="A53" s="3421" t="s">
        <v>649</v>
      </c>
      <c r="B53" s="1668" t="s">
        <v>650</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1"/>
      <c r="B54" s="1668" t="s">
        <v>651</v>
      </c>
      <c r="C54" s="1665" t="s">
        <v>1005</v>
      </c>
    </row>
    <row r="55" spans="1:4">
      <c r="A55" s="3421"/>
      <c r="B55" s="1668" t="s">
        <v>652</v>
      </c>
      <c r="C55" s="1665" t="s">
        <v>1006</v>
      </c>
    </row>
    <row r="56" spans="1:4">
      <c r="A56" s="3421"/>
      <c r="B56" s="1668" t="s">
        <v>653</v>
      </c>
      <c r="C56" s="1665" t="s">
        <v>1010</v>
      </c>
    </row>
    <row r="57" spans="1:4">
      <c r="A57" s="3421"/>
      <c r="B57" s="1668" t="s">
        <v>654</v>
      </c>
      <c r="C57" s="1665" t="s">
        <v>1007</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1" zoomScaleNormal="100" zoomScaleSheetLayoutView="100" workbookViewId="0">
      <selection activeCell="E17" sqref="E17:I17"/>
    </sheetView>
  </sheetViews>
  <sheetFormatPr defaultColWidth="10" defaultRowHeight="12.5"/>
  <cols>
    <col min="1" max="1" width="16.90625" style="1859" customWidth="1"/>
    <col min="2" max="2" width="10" style="1859" customWidth="1"/>
    <col min="3" max="3" width="11.453125" style="1859" customWidth="1"/>
    <col min="4" max="4" width="10" style="1859" customWidth="1"/>
    <col min="5" max="5" width="12.6328125" style="1859" customWidth="1"/>
    <col min="6" max="6" width="10" style="1859" customWidth="1"/>
    <col min="7" max="7" width="10.90625" style="1859" customWidth="1"/>
    <col min="8" max="8" width="10" style="1859" customWidth="1"/>
    <col min="9" max="9" width="11.0898437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2664</v>
      </c>
      <c r="B1" s="3422"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23"/>
      <c r="D1" s="3423"/>
      <c r="E1" s="3423"/>
      <c r="F1" s="3423"/>
      <c r="G1" s="3423"/>
      <c r="H1" s="3423"/>
      <c r="I1" s="3424"/>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ht="13">
      <c r="A2" s="2518" t="s">
        <v>2665</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ht="13">
      <c r="A3" s="298" t="s">
        <v>2666</v>
      </c>
      <c r="B3" s="2524">
        <v>44693</v>
      </c>
      <c r="C3" s="2525" t="s">
        <v>2667</v>
      </c>
      <c r="D3" s="2524">
        <f>B3</f>
        <v>44693</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2668</v>
      </c>
      <c r="B4" s="2526" t="s">
        <v>3165</v>
      </c>
      <c r="C4" s="2527">
        <f ca="1">SUMIF(注册房地产估价师,B4,估价师及机构信息!B3:B24)</f>
        <v>1120070131</v>
      </c>
      <c r="D4" s="2526" t="s">
        <v>3166</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5" customHeight="1" thickTop="1" thickBot="1">
      <c r="A5" s="2530" t="s">
        <v>2669</v>
      </c>
      <c r="B5" s="3197" t="s">
        <v>3279</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2670</v>
      </c>
      <c r="B6" s="3197" t="s">
        <v>3167</v>
      </c>
      <c r="C6" s="2534"/>
      <c r="D6" s="2535"/>
      <c r="E6" s="2812"/>
      <c r="F6" s="2814"/>
      <c r="G6" s="2814"/>
      <c r="H6" s="2814"/>
      <c r="I6" s="2814"/>
      <c r="J6" s="2590"/>
      <c r="K6" s="2764" t="str">
        <f>IF(COUNTIF(B6,"*上海银行*"),"上海银行","")</f>
        <v/>
      </c>
      <c r="L6" s="2762"/>
      <c r="M6" s="2762"/>
      <c r="N6" s="2590"/>
      <c r="O6" s="2601"/>
      <c r="P6" s="2590"/>
      <c r="Q6" s="2590"/>
      <c r="R6" s="2590"/>
    </row>
    <row r="7" spans="1:28" ht="23.15" customHeight="1">
      <c r="A7" s="2533" t="s">
        <v>2671</v>
      </c>
      <c r="B7" s="2536" t="str">
        <f>B5</f>
        <v>北京上德置业有限公司</v>
      </c>
      <c r="C7" s="2534"/>
      <c r="D7" s="2535"/>
      <c r="E7" s="2812"/>
      <c r="F7" s="2814"/>
      <c r="G7" s="2814"/>
      <c r="H7" s="2814"/>
      <c r="I7" s="2814"/>
      <c r="J7" s="2590"/>
      <c r="K7" s="2765"/>
      <c r="L7" s="2762"/>
      <c r="M7" s="2762"/>
      <c r="N7" s="2590"/>
      <c r="O7" s="2601"/>
      <c r="P7" s="2590"/>
      <c r="Q7" s="2590"/>
      <c r="R7" s="2590"/>
    </row>
    <row r="8" spans="1:28" ht="13">
      <c r="A8" s="2537" t="s">
        <v>2672</v>
      </c>
      <c r="B8" s="2538" t="s">
        <v>3168</v>
      </c>
      <c r="C8" s="2539"/>
      <c r="D8" s="3425" t="s">
        <v>2673</v>
      </c>
      <c r="E8" s="2540" t="s">
        <v>3169</v>
      </c>
      <c r="F8" s="2541"/>
      <c r="G8" s="2813"/>
      <c r="H8" s="2813"/>
      <c r="I8" s="2813"/>
      <c r="J8" s="2590"/>
      <c r="K8" s="2763"/>
      <c r="L8" s="2762"/>
      <c r="M8" s="2762"/>
      <c r="N8" s="2590"/>
      <c r="O8" s="2601"/>
      <c r="P8" s="2590"/>
      <c r="Q8" s="2590"/>
      <c r="R8" s="2590"/>
    </row>
    <row r="9" spans="1:28" ht="13.5" thickBot="1">
      <c r="A9" s="2542" t="s">
        <v>2674</v>
      </c>
      <c r="B9" s="2543" t="s">
        <v>3169</v>
      </c>
      <c r="C9" s="2544"/>
      <c r="D9" s="3426"/>
      <c r="E9" s="2543"/>
      <c r="F9" s="2545"/>
      <c r="G9" s="2815"/>
      <c r="H9" s="2815"/>
      <c r="I9" s="2815"/>
      <c r="J9" s="2590"/>
      <c r="K9" s="2765"/>
      <c r="L9" s="2762"/>
      <c r="M9" s="2762"/>
      <c r="N9" s="2590"/>
      <c r="O9" s="2601"/>
      <c r="P9" s="2590"/>
      <c r="Q9" s="2590"/>
      <c r="R9" s="2590"/>
    </row>
    <row r="10" spans="1:28" ht="13.5" thickTop="1">
      <c r="A10" s="2546" t="s">
        <v>2675</v>
      </c>
      <c r="B10" s="2547" t="s">
        <v>3170</v>
      </c>
      <c r="C10" s="2548"/>
      <c r="D10" s="2532"/>
      <c r="E10" s="2549" t="s">
        <v>2676</v>
      </c>
      <c r="F10" s="3198" t="s">
        <v>3280</v>
      </c>
      <c r="G10" s="2816"/>
      <c r="H10" s="2817"/>
      <c r="I10" s="2818"/>
      <c r="J10" s="2590"/>
      <c r="K10" s="2765"/>
      <c r="L10" s="2762"/>
      <c r="M10" s="2762"/>
      <c r="N10" s="2590"/>
      <c r="O10" s="2601"/>
      <c r="P10" s="2590"/>
      <c r="Q10" s="2590"/>
      <c r="R10" s="2590"/>
    </row>
    <row r="11" spans="1:28" ht="13">
      <c r="A11" s="2550" t="s">
        <v>2677</v>
      </c>
      <c r="B11" s="2551" t="s">
        <v>3171</v>
      </c>
      <c r="C11" s="2552"/>
      <c r="D11" s="2553"/>
      <c r="E11" s="2521"/>
      <c r="F11" s="2521"/>
      <c r="G11" s="2521"/>
      <c r="H11" s="2521"/>
      <c r="I11" s="2521"/>
      <c r="J11" s="2590"/>
      <c r="K11" s="2765"/>
      <c r="L11" s="2762"/>
      <c r="M11" s="2762"/>
      <c r="N11" s="2590"/>
      <c r="O11" s="2601"/>
      <c r="P11" s="2590"/>
      <c r="Q11" s="2590"/>
      <c r="R11" s="2590"/>
    </row>
    <row r="12" spans="1:28" ht="13">
      <c r="A12" s="2554" t="s">
        <v>2678</v>
      </c>
      <c r="B12" s="2551" t="s">
        <v>3172</v>
      </c>
      <c r="C12" s="319" t="s">
        <v>2679</v>
      </c>
      <c r="D12" s="2555" t="s">
        <v>2680</v>
      </c>
      <c r="E12" s="2555" t="s">
        <v>2681</v>
      </c>
      <c r="F12" s="2555" t="s">
        <v>2682</v>
      </c>
      <c r="G12" s="2555" t="s">
        <v>2683</v>
      </c>
      <c r="H12" s="2555" t="s">
        <v>2684</v>
      </c>
      <c r="I12" s="2555" t="s">
        <v>2685</v>
      </c>
      <c r="J12" s="2590"/>
      <c r="K12" s="2765"/>
      <c r="L12" s="2762"/>
      <c r="M12" s="2762"/>
      <c r="N12" s="2590"/>
      <c r="O12" s="2601"/>
      <c r="P12" s="2590"/>
      <c r="Q12" s="2590"/>
      <c r="R12" s="2590"/>
    </row>
    <row r="13" spans="1:28" ht="13">
      <c r="A13" s="1173"/>
      <c r="B13" s="2556"/>
      <c r="C13" s="2557" t="s">
        <v>2686</v>
      </c>
      <c r="D13" s="926"/>
      <c r="E13" s="3199">
        <v>56821</v>
      </c>
      <c r="F13" s="3199">
        <v>60474</v>
      </c>
      <c r="G13" s="3199">
        <v>60474</v>
      </c>
      <c r="H13" s="926"/>
      <c r="I13" s="926">
        <v>44823</v>
      </c>
      <c r="J13" s="2590"/>
      <c r="K13" s="2765"/>
      <c r="L13" s="2762"/>
      <c r="M13" s="2762"/>
      <c r="N13" s="2590"/>
      <c r="O13" s="2601"/>
      <c r="P13" s="2590"/>
      <c r="Q13" s="2590"/>
      <c r="R13" s="2590"/>
    </row>
    <row r="14" spans="1:28" ht="13">
      <c r="A14" s="1173"/>
      <c r="B14" s="2556"/>
      <c r="C14" s="2557" t="s">
        <v>2687</v>
      </c>
      <c r="D14" s="2558"/>
      <c r="E14" s="2558">
        <v>40</v>
      </c>
      <c r="F14" s="2558">
        <v>50</v>
      </c>
      <c r="G14" s="2558">
        <v>50</v>
      </c>
      <c r="H14" s="2558"/>
      <c r="I14" s="2558"/>
      <c r="J14" s="2590"/>
      <c r="K14" s="2766"/>
      <c r="L14" s="2762"/>
      <c r="M14" s="2762"/>
      <c r="N14" s="2590"/>
      <c r="O14" s="2601"/>
      <c r="P14" s="2590"/>
      <c r="Q14" s="2590"/>
      <c r="R14" s="2590"/>
    </row>
    <row r="15" spans="1:28" ht="13">
      <c r="A15" s="316"/>
      <c r="B15" s="2559"/>
      <c r="C15" s="2560" t="s">
        <v>2688</v>
      </c>
      <c r="D15" s="2561" t="str">
        <f>IF(B12="出让",IF(D13="","",ROUNDDOWN(MIN((D13-$D$3)/365,D14),2)),D14)</f>
        <v/>
      </c>
      <c r="E15" s="2561">
        <f>IF(B12="出让",IF(E13="","",ROUNDDOWN(MIN((E13-$D$3)/365,E14),2)),E14)</f>
        <v>33.22</v>
      </c>
      <c r="F15" s="2561">
        <f>IF(B12="出让",IF(F13="","",ROUNDDOWN(MIN((F13-$D$3)/365,F14),2)),F14)</f>
        <v>43.23</v>
      </c>
      <c r="G15" s="2561">
        <f>IF(B12="出让",IF(G13="","",ROUNDDOWN(MIN((G13-$D$3)/365,G14),2)),G14)</f>
        <v>43.23</v>
      </c>
      <c r="H15" s="2561" t="str">
        <f>IF(B12="出让",IF(H13="","",ROUNDDOWN(MIN((H13-$D$3)/365,H14),2)),H14)</f>
        <v/>
      </c>
      <c r="I15" s="2561">
        <f>IF(B12="出让",IF(I13="","",ROUNDDOWN(MIN((I13-$D$3)/365,I14),2)),I14)</f>
        <v>0.35</v>
      </c>
      <c r="J15" s="2590"/>
      <c r="K15" s="2767"/>
      <c r="L15" s="2602"/>
      <c r="M15" s="2602"/>
      <c r="N15" s="2658"/>
      <c r="O15" s="2602"/>
      <c r="P15" s="2658"/>
      <c r="Q15" s="2590"/>
      <c r="R15" s="2590"/>
    </row>
    <row r="16" spans="1:28" ht="13">
      <c r="A16" s="2549" t="s">
        <v>2689</v>
      </c>
      <c r="B16" s="3432"/>
      <c r="C16" s="3433"/>
      <c r="D16" s="3434"/>
      <c r="E16" s="2564" t="s">
        <v>2690</v>
      </c>
      <c r="F16" s="3435"/>
      <c r="G16" s="3436"/>
      <c r="H16" s="3436"/>
      <c r="I16" s="3437"/>
      <c r="J16" s="2590"/>
      <c r="K16" s="2767"/>
      <c r="L16" s="2602"/>
      <c r="M16" s="2602"/>
      <c r="N16" s="2658"/>
      <c r="O16" s="2602"/>
      <c r="P16" s="2658"/>
      <c r="Q16" s="2590"/>
      <c r="R16" s="2590"/>
    </row>
    <row r="17" spans="1:28" ht="13">
      <c r="A17" s="309" t="s">
        <v>2691</v>
      </c>
      <c r="B17" s="298" t="s">
        <v>2692</v>
      </c>
      <c r="C17" s="11">
        <f>'数据-汇总表'!E3</f>
        <v>175770.51</v>
      </c>
      <c r="D17" s="2473" t="s">
        <v>2693</v>
      </c>
      <c r="E17" s="3438" t="s">
        <v>2694</v>
      </c>
      <c r="F17" s="3439"/>
      <c r="G17" s="3439"/>
      <c r="H17" s="3439"/>
      <c r="I17" s="3440"/>
      <c r="J17" s="2590"/>
      <c r="K17" s="2768"/>
      <c r="L17" s="2602"/>
      <c r="M17" s="2602"/>
      <c r="N17" s="2658"/>
      <c r="O17" s="2602"/>
      <c r="P17" s="2658"/>
      <c r="Q17" s="2590"/>
      <c r="R17" s="2590"/>
      <c r="S17" s="2590"/>
      <c r="T17" s="2590"/>
      <c r="U17" s="2590"/>
      <c r="V17" s="2590"/>
    </row>
    <row r="18" spans="1:28" ht="26.5" thickBot="1">
      <c r="A18" s="2565" t="s">
        <v>2695</v>
      </c>
      <c r="B18" s="1182" t="s">
        <v>2696</v>
      </c>
      <c r="C18" s="2566">
        <f>'数据-汇总表'!D3</f>
        <v>35673.11</v>
      </c>
      <c r="D18" s="1184" t="s">
        <v>2697</v>
      </c>
      <c r="E18" s="3441" t="s">
        <v>2698</v>
      </c>
      <c r="F18" s="3442"/>
      <c r="G18" s="3442"/>
      <c r="H18" s="3442"/>
      <c r="I18" s="3443"/>
      <c r="J18" s="2590"/>
      <c r="K18" s="2768"/>
      <c r="L18" s="2602"/>
      <c r="M18" s="2602"/>
      <c r="N18" s="2658"/>
      <c r="O18" s="2602"/>
      <c r="P18" s="2658"/>
      <c r="Q18" s="2590"/>
      <c r="R18" s="2590"/>
      <c r="S18" s="2590"/>
      <c r="T18" s="2590"/>
      <c r="U18" s="2590"/>
      <c r="V18" s="2590"/>
    </row>
    <row r="19" spans="1:28" ht="40" thickTop="1" thickBot="1">
      <c r="A19" s="323" t="s">
        <v>1497</v>
      </c>
      <c r="B19" s="303" t="s">
        <v>2699</v>
      </c>
      <c r="C19" s="1677"/>
      <c r="D19" s="1678" t="s">
        <v>2700</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ht="13">
      <c r="A20" s="2782" t="s">
        <v>2701</v>
      </c>
      <c r="B20" s="3428" t="s">
        <v>2702</v>
      </c>
      <c r="C20" s="3429"/>
      <c r="D20" s="3430" t="s">
        <v>2703</v>
      </c>
      <c r="E20" s="3431"/>
      <c r="F20" s="2797" t="s">
        <v>1498</v>
      </c>
      <c r="G20" s="2814"/>
      <c r="H20" s="2814"/>
      <c r="I20" s="2814"/>
      <c r="J20" s="2590"/>
      <c r="K20" s="3427" t="s">
        <v>2704</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6.5" thickBot="1">
      <c r="A21" s="2782"/>
      <c r="B21" s="2783" t="s">
        <v>2705</v>
      </c>
      <c r="C21" s="2784" t="s">
        <v>1499</v>
      </c>
      <c r="D21" s="1682" t="s">
        <v>2706</v>
      </c>
      <c r="E21" s="2785" t="s">
        <v>1499</v>
      </c>
      <c r="F21" s="2798"/>
      <c r="G21" s="2814"/>
      <c r="H21" s="2814"/>
      <c r="I21" s="2814"/>
      <c r="J21" s="2590"/>
      <c r="K21" s="3427"/>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6.5" thickBot="1">
      <c r="A22" s="2782"/>
      <c r="B22" s="2786" t="s">
        <v>2707</v>
      </c>
      <c r="C22" s="2784" t="s">
        <v>1500</v>
      </c>
      <c r="D22" s="2813"/>
      <c r="E22" s="2813"/>
      <c r="F22" s="2813"/>
      <c r="G22" s="2814"/>
      <c r="H22" s="2814"/>
      <c r="I22" s="2814"/>
      <c r="J22" s="2590"/>
      <c r="K22" s="3427"/>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20"/>
      <c r="N22" s="2563"/>
      <c r="O22" s="2562"/>
      <c r="P22" s="2563"/>
      <c r="Q22" s="2521"/>
      <c r="R22" s="2521"/>
      <c r="S22" s="2521"/>
      <c r="T22" s="2521"/>
      <c r="U22" s="2521"/>
      <c r="V22" s="2521"/>
      <c r="W22" s="1859"/>
      <c r="X22" s="1859"/>
      <c r="Y22" s="1859"/>
      <c r="Z22" s="1859"/>
      <c r="AA22" s="1859"/>
      <c r="AB22" s="1859"/>
    </row>
    <row r="23" spans="1:28" ht="13">
      <c r="A23" s="2787" t="s">
        <v>2708</v>
      </c>
      <c r="B23" s="2651" t="s">
        <v>2709</v>
      </c>
      <c r="C23" s="2788"/>
      <c r="D23" s="2789" t="s">
        <v>2709</v>
      </c>
      <c r="E23" s="2790"/>
      <c r="F23" s="2813"/>
      <c r="G23" s="2814"/>
      <c r="H23" s="2814"/>
      <c r="I23" s="2814"/>
      <c r="J23" s="2590"/>
      <c r="K23" s="2769"/>
      <c r="L23" s="2625"/>
      <c r="M23" s="2762"/>
      <c r="N23" s="2658"/>
      <c r="O23" s="2602"/>
      <c r="P23" s="2658"/>
      <c r="Q23" s="2590"/>
      <c r="R23" s="2590"/>
      <c r="S23" s="2590"/>
      <c r="T23" s="2590"/>
      <c r="U23" s="2590"/>
      <c r="V23" s="2590"/>
    </row>
    <row r="24" spans="1:28" ht="13">
      <c r="A24" s="2787"/>
      <c r="B24" s="2651" t="s">
        <v>1501</v>
      </c>
      <c r="C24" s="2791"/>
      <c r="D24" s="2787" t="s">
        <v>1501</v>
      </c>
      <c r="E24" s="2792"/>
      <c r="F24" s="2813"/>
      <c r="G24" s="2814"/>
      <c r="H24" s="2814"/>
      <c r="I24" s="2814"/>
      <c r="J24" s="2590"/>
      <c r="K24" s="2769"/>
      <c r="L24" s="2625"/>
      <c r="M24" s="2762"/>
      <c r="N24" s="2658"/>
      <c r="O24" s="2602"/>
      <c r="P24" s="2658"/>
      <c r="Q24" s="2590"/>
      <c r="R24" s="2590"/>
      <c r="S24" s="2590"/>
      <c r="T24" s="2590"/>
      <c r="U24" s="2590"/>
      <c r="V24" s="2590"/>
    </row>
    <row r="25" spans="1:28" ht="13">
      <c r="A25" s="2787"/>
      <c r="B25" s="2651" t="s">
        <v>1502</v>
      </c>
      <c r="C25" s="2791"/>
      <c r="D25" s="2787" t="s">
        <v>1502</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1503</v>
      </c>
      <c r="C26" s="2795"/>
      <c r="D26" s="2793" t="s">
        <v>1503</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45" t="s">
        <v>2710</v>
      </c>
      <c r="B27" s="316" t="s">
        <v>2711</v>
      </c>
      <c r="C27" s="2567" t="s">
        <v>3288</v>
      </c>
      <c r="D27" s="2568"/>
      <c r="E27" s="2814"/>
      <c r="F27" s="2814"/>
      <c r="G27" s="2814"/>
      <c r="H27" s="2814"/>
      <c r="I27" s="2814"/>
      <c r="J27" s="2590"/>
      <c r="K27" s="2767"/>
      <c r="L27" s="2602"/>
      <c r="M27" s="2602"/>
      <c r="N27" s="2658"/>
      <c r="O27" s="2602"/>
      <c r="P27" s="2658"/>
      <c r="Q27" s="2590"/>
      <c r="R27" s="2590"/>
      <c r="S27" s="2590"/>
      <c r="T27" s="2590"/>
      <c r="U27" s="2590"/>
      <c r="V27" s="2590"/>
    </row>
    <row r="28" spans="1:28" ht="13">
      <c r="A28" s="3445"/>
      <c r="B28" s="298" t="s">
        <v>2712</v>
      </c>
      <c r="C28" s="2569" t="s">
        <v>3289</v>
      </c>
      <c r="D28" s="2570"/>
      <c r="E28" s="2814"/>
      <c r="F28" s="2814"/>
      <c r="G28" s="2814"/>
      <c r="H28" s="2814"/>
      <c r="I28" s="2814"/>
      <c r="J28" s="2590"/>
      <c r="K28" s="2765"/>
      <c r="L28" s="2762"/>
      <c r="M28" s="2762"/>
      <c r="N28" s="2590"/>
      <c r="O28" s="2601"/>
      <c r="P28" s="2590"/>
      <c r="Q28" s="2590"/>
      <c r="R28" s="2590"/>
      <c r="S28" s="2590"/>
      <c r="T28" s="2590"/>
      <c r="U28" s="2590"/>
      <c r="V28" s="2590"/>
    </row>
    <row r="29" spans="1:28" ht="13">
      <c r="A29" s="3445"/>
      <c r="B29" s="298" t="s">
        <v>2713</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ht="13">
      <c r="A30" s="3446"/>
      <c r="B30" s="298" t="s">
        <v>2714</v>
      </c>
      <c r="C30" s="3447"/>
      <c r="D30" s="3448"/>
      <c r="E30" s="2814"/>
      <c r="F30" s="2814"/>
      <c r="G30" s="2814"/>
      <c r="H30" s="2814"/>
      <c r="I30" s="2814"/>
      <c r="J30" s="2590"/>
      <c r="K30" s="2765"/>
      <c r="L30" s="2762"/>
      <c r="M30" s="2762"/>
      <c r="N30" s="2590"/>
      <c r="O30" s="2601"/>
      <c r="P30" s="2590"/>
      <c r="Q30" s="2590"/>
      <c r="R30" s="2590"/>
      <c r="S30" s="2590"/>
      <c r="T30" s="2590"/>
      <c r="U30" s="2590"/>
      <c r="V30" s="2590"/>
    </row>
    <row r="31" spans="1:28">
      <c r="A31" s="3449" t="s">
        <v>2715</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50"/>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50"/>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ht="13">
      <c r="A34" s="298" t="s">
        <v>2716</v>
      </c>
      <c r="B34" s="2142" t="s">
        <v>3282</v>
      </c>
      <c r="C34" s="2142" t="s">
        <v>3283</v>
      </c>
      <c r="D34" s="2142" t="s">
        <v>3284</v>
      </c>
      <c r="E34" s="2142" t="s">
        <v>3285</v>
      </c>
      <c r="F34" s="2142" t="s">
        <v>3286</v>
      </c>
      <c r="G34" s="2142" t="s">
        <v>3287</v>
      </c>
      <c r="H34" s="2142"/>
      <c r="I34" s="2814"/>
      <c r="J34" s="2590"/>
      <c r="K34" s="2578">
        <f>COUNTIF(B34:H34,"——")</f>
        <v>0</v>
      </c>
      <c r="L34" s="319" t="s">
        <v>2717</v>
      </c>
      <c r="M34" s="319" t="s">
        <v>2718</v>
      </c>
      <c r="N34" s="319" t="s">
        <v>2719</v>
      </c>
      <c r="O34" s="319" t="s">
        <v>2720</v>
      </c>
      <c r="P34" s="319" t="s">
        <v>2721</v>
      </c>
      <c r="Q34" s="319" t="s">
        <v>2722</v>
      </c>
      <c r="R34" s="319" t="s">
        <v>2723</v>
      </c>
      <c r="S34" s="3444" t="s">
        <v>2724</v>
      </c>
      <c r="T34" s="2579" t="str">
        <f>NUMBERSTRING(7-K34,1)&amp;"通"</f>
        <v>七通</v>
      </c>
      <c r="U34" s="2590"/>
      <c r="V34" s="2590"/>
    </row>
    <row r="35" spans="1:30">
      <c r="A35" s="2580"/>
      <c r="B35" s="3451" t="s">
        <v>2725</v>
      </c>
      <c r="C35" s="3451"/>
      <c r="D35" s="3451"/>
      <c r="E35" s="3451"/>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44"/>
      <c r="T35" s="325" t="str">
        <f>IF(T34="一通",L35,IF(T34="二通",M35,IF(T34="三通",N35,IF(T34="四通",O35,IF(T34="五通",P35,IF(T34="六通",Q35,R35))))))</f>
        <v>通路、通电、通讯、通上水、通下水、燃气、</v>
      </c>
      <c r="U35" s="2590"/>
      <c r="V35" s="2590"/>
    </row>
    <row r="36" spans="1:30" ht="13">
      <c r="A36" s="2581"/>
      <c r="B36" s="661" t="s">
        <v>2681</v>
      </c>
      <c r="C36" s="661" t="s">
        <v>2682</v>
      </c>
      <c r="D36" s="661" t="s">
        <v>2680</v>
      </c>
      <c r="E36" s="661" t="s">
        <v>2685</v>
      </c>
      <c r="F36" s="2819"/>
      <c r="G36" s="2814"/>
      <c r="H36" s="2814"/>
      <c r="I36" s="2814"/>
      <c r="J36" s="2590"/>
      <c r="K36" s="2765"/>
      <c r="L36" s="2762"/>
      <c r="M36" s="2762"/>
      <c r="N36" s="2590"/>
      <c r="O36" s="2601"/>
      <c r="P36" s="2590"/>
      <c r="Q36" s="2590"/>
      <c r="R36" s="2590"/>
      <c r="S36" s="2590"/>
      <c r="T36" s="2590"/>
      <c r="U36" s="2590"/>
      <c r="V36" s="2590"/>
    </row>
    <row r="37" spans="1:30" ht="13">
      <c r="A37" s="2780" t="s">
        <v>2726</v>
      </c>
      <c r="B37" s="3200" t="s">
        <v>56</v>
      </c>
      <c r="C37" s="3200" t="s">
        <v>56</v>
      </c>
      <c r="D37" s="3200" t="s">
        <v>56</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2727</v>
      </c>
      <c r="B38" s="3201" t="s">
        <v>3281</v>
      </c>
      <c r="C38" s="3201" t="s">
        <v>3281</v>
      </c>
      <c r="D38" s="3201" t="s">
        <v>3281</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 thickTop="1" thickBot="1">
      <c r="A39" s="2584" t="s">
        <v>2728</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ht="13">
      <c r="A41" s="2587" t="s">
        <v>2729</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6">
      <c r="A42" s="319" t="s">
        <v>2730</v>
      </c>
      <c r="B42" s="11" t="s">
        <v>2731</v>
      </c>
      <c r="C42" s="11" t="s">
        <v>2732</v>
      </c>
      <c r="D42" s="11" t="s">
        <v>2733</v>
      </c>
      <c r="E42" s="11" t="s">
        <v>2734</v>
      </c>
      <c r="F42" s="11" t="s">
        <v>2735</v>
      </c>
      <c r="G42" s="11" t="s">
        <v>2736</v>
      </c>
      <c r="H42" s="11" t="s">
        <v>2737</v>
      </c>
      <c r="I42" s="11" t="s">
        <v>2738</v>
      </c>
      <c r="J42" s="2776" t="s">
        <v>2739</v>
      </c>
      <c r="K42" s="2777" t="s">
        <v>2740</v>
      </c>
      <c r="L42" s="2777" t="s">
        <v>2741</v>
      </c>
      <c r="M42" s="2777" t="s">
        <v>2742</v>
      </c>
      <c r="N42" s="2770" t="s">
        <v>2743</v>
      </c>
      <c r="O42" s="2770" t="s">
        <v>2744</v>
      </c>
      <c r="P42" s="2770" t="s">
        <v>2745</v>
      </c>
      <c r="Q42" s="2771" t="s">
        <v>2746</v>
      </c>
      <c r="R42" s="2771" t="s">
        <v>2747</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C18"/>
    </sheetView>
  </sheetViews>
  <sheetFormatPr defaultColWidth="8.90625" defaultRowHeight="14"/>
  <cols>
    <col min="1" max="1" width="10.6328125" style="1687" customWidth="1"/>
    <col min="2" max="2" width="11" style="1687" customWidth="1"/>
    <col min="3" max="3" width="10.36328125" style="1687" customWidth="1"/>
    <col min="4" max="4" width="9.08984375" style="1687" customWidth="1"/>
    <col min="5" max="6" width="10" style="1748" customWidth="1"/>
    <col min="7" max="8" width="10" style="1687" customWidth="1"/>
    <col min="9" max="9" width="10.6328125" style="1687" customWidth="1"/>
    <col min="10" max="10" width="9.453125" style="1687" customWidth="1"/>
    <col min="11" max="11" width="11" style="1687" customWidth="1"/>
    <col min="12" max="14" width="9.453125" style="1687" customWidth="1"/>
    <col min="15" max="16" width="9.90625" style="1687" customWidth="1"/>
    <col min="17" max="17" width="9.36328125" style="1687" hidden="1" customWidth="1"/>
    <col min="18" max="18" width="9.08984375" style="1687" hidden="1" customWidth="1"/>
    <col min="19" max="28" width="10.90625" style="1687" hidden="1" customWidth="1"/>
    <col min="29" max="29" width="11" style="1687" bestFit="1" customWidth="1"/>
    <col min="30" max="30" width="10" style="1687" bestFit="1" customWidth="1"/>
    <col min="31" max="31" width="9.90625" style="1687" customWidth="1"/>
    <col min="32" max="46" width="9.453125" style="1687" customWidth="1"/>
    <col min="47" max="47" width="18.08984375" style="1687" customWidth="1"/>
    <col min="48" max="50" width="9.90625" style="1687" customWidth="1"/>
    <col min="51" max="55" width="10.453125" style="1687" bestFit="1" customWidth="1"/>
    <col min="56" max="56" width="9.453125" style="1687" bestFit="1" customWidth="1"/>
    <col min="57" max="63" width="9.08984375" style="1687" bestFit="1" customWidth="1"/>
    <col min="64" max="64" width="9.453125" style="1687" bestFit="1" customWidth="1"/>
    <col min="65" max="65" width="9.08984375" style="1687" bestFit="1" customWidth="1"/>
    <col min="66" max="66" width="9.453125" style="1687" bestFit="1" customWidth="1"/>
    <col min="67" max="69" width="9.08984375" style="1687" bestFit="1" customWidth="1"/>
    <col min="70" max="70" width="9.453125" style="1687" bestFit="1" customWidth="1"/>
    <col min="71" max="71" width="9" style="1687" customWidth="1"/>
    <col min="72" max="72" width="9.08984375" style="1687" bestFit="1" customWidth="1"/>
    <col min="73" max="16384" width="8.90625" style="1687"/>
  </cols>
  <sheetData>
    <row r="1" spans="1:72" ht="21">
      <c r="A1" s="1688" t="s">
        <v>1504</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1505</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6">
      <c r="A2" s="11" t="s">
        <v>1506</v>
      </c>
      <c r="B2" s="11" t="s">
        <v>1507</v>
      </c>
      <c r="C2" s="11" t="s">
        <v>1508</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1509</v>
      </c>
      <c r="AZ2" s="1140" t="s">
        <v>1510</v>
      </c>
      <c r="BA2" s="11" t="s">
        <v>1511</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3">
      <c r="A3" s="13">
        <v>35673.11</v>
      </c>
      <c r="B3" s="14">
        <f>IF(C3="否",G5-AT5,G5)</f>
        <v>175770.51</v>
      </c>
      <c r="C3" s="1694" t="s">
        <v>1512</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3">
      <c r="A5" s="15" t="s">
        <v>1513</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1513</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3">
      <c r="A6" s="15" t="s">
        <v>1514</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1514</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6">
      <c r="A7" s="1683" t="s">
        <v>1515</v>
      </c>
      <c r="B7" s="1683" t="s">
        <v>1516</v>
      </c>
      <c r="C7" s="1683" t="s">
        <v>1517</v>
      </c>
      <c r="D7" s="1683" t="s">
        <v>1518</v>
      </c>
      <c r="E7" s="1683" t="s">
        <v>1519</v>
      </c>
      <c r="F7" s="1683" t="s">
        <v>1520</v>
      </c>
      <c r="G7" s="1704" t="s">
        <v>1521</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1522</v>
      </c>
      <c r="AV7" s="23" t="s">
        <v>1523</v>
      </c>
      <c r="AW7" s="1692" t="s">
        <v>1524</v>
      </c>
      <c r="AX7" s="23" t="s">
        <v>1517</v>
      </c>
      <c r="AY7" s="1460" t="s">
        <v>1525</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6">
      <c r="A8" s="1708"/>
      <c r="B8" s="1708"/>
      <c r="C8" s="1708"/>
      <c r="D8" s="1708"/>
      <c r="E8" s="1708"/>
      <c r="F8" s="1708"/>
      <c r="G8" s="1709" t="s">
        <v>1526</v>
      </c>
      <c r="H8" s="1710" t="s">
        <v>1527</v>
      </c>
      <c r="I8" s="1711"/>
      <c r="J8" s="1473"/>
      <c r="K8" s="1473"/>
      <c r="L8" s="1473"/>
      <c r="M8" s="1473"/>
      <c r="N8" s="1473"/>
      <c r="O8" s="1473"/>
      <c r="P8" s="1473"/>
      <c r="Q8" s="1473"/>
      <c r="R8" s="1473"/>
      <c r="S8" s="1473"/>
      <c r="T8" s="1473"/>
      <c r="U8" s="1473"/>
      <c r="V8" s="1712"/>
      <c r="W8" s="1473"/>
      <c r="X8" s="1473"/>
      <c r="Y8" s="1473"/>
      <c r="Z8" s="1473"/>
      <c r="AA8" s="1712"/>
      <c r="AB8" s="1713"/>
      <c r="AC8" s="879" t="s">
        <v>1528</v>
      </c>
      <c r="AD8" s="1714"/>
      <c r="AE8" s="1706"/>
      <c r="AF8" s="1473"/>
      <c r="AG8" s="1473"/>
      <c r="AH8" s="1473"/>
      <c r="AI8" s="1473"/>
      <c r="AJ8" s="1473"/>
      <c r="AK8" s="1473"/>
      <c r="AL8" s="1473"/>
      <c r="AM8" s="1473"/>
      <c r="AN8" s="1473"/>
      <c r="AO8" s="1473"/>
      <c r="AP8" s="1473"/>
      <c r="AQ8" s="1473"/>
      <c r="AR8" s="1473"/>
      <c r="AS8" s="1473"/>
      <c r="AT8" s="1162" t="s">
        <v>1529</v>
      </c>
      <c r="AU8" s="1708" t="s">
        <v>1530</v>
      </c>
      <c r="AV8" s="1162"/>
      <c r="AW8" s="1691"/>
      <c r="AX8" s="1162"/>
      <c r="AY8" s="1692" t="s">
        <v>1531</v>
      </c>
      <c r="AZ8" s="1472" t="s">
        <v>1532</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3">
      <c r="A9" s="1708"/>
      <c r="B9" s="1708"/>
      <c r="C9" s="1708"/>
      <c r="D9" s="1708"/>
      <c r="E9" s="1708"/>
      <c r="F9" s="1708"/>
      <c r="G9" s="1162"/>
      <c r="H9" s="1716" t="s">
        <v>1533</v>
      </c>
      <c r="I9" s="1717" t="s">
        <v>3174</v>
      </c>
      <c r="J9" s="879"/>
      <c r="K9" s="1717" t="s">
        <v>3175</v>
      </c>
      <c r="L9" s="879"/>
      <c r="M9" s="1717" t="s">
        <v>3174</v>
      </c>
      <c r="N9" s="879"/>
      <c r="O9" s="1717" t="s">
        <v>3175</v>
      </c>
      <c r="P9" s="879"/>
      <c r="Q9" s="1717"/>
      <c r="R9" s="879"/>
      <c r="S9" s="1717"/>
      <c r="T9" s="879"/>
      <c r="U9" s="1717"/>
      <c r="V9" s="879"/>
      <c r="W9" s="1717"/>
      <c r="X9" s="1718"/>
      <c r="Y9" s="1717"/>
      <c r="Z9" s="879"/>
      <c r="AA9" s="1717"/>
      <c r="AB9" s="879"/>
      <c r="AC9" s="1709" t="s">
        <v>1533</v>
      </c>
      <c r="AD9" s="15" t="s">
        <v>1534</v>
      </c>
      <c r="AE9" s="1168"/>
      <c r="AF9" s="15" t="s">
        <v>1535</v>
      </c>
      <c r="AG9" s="1168"/>
      <c r="AH9" s="15" t="s">
        <v>1534</v>
      </c>
      <c r="AI9" s="1168"/>
      <c r="AJ9" s="15" t="s">
        <v>1535</v>
      </c>
      <c r="AK9" s="1168"/>
      <c r="AL9" s="15" t="s">
        <v>1534</v>
      </c>
      <c r="AM9" s="1168"/>
      <c r="AN9" s="15" t="s">
        <v>1535</v>
      </c>
      <c r="AO9" s="1168"/>
      <c r="AP9" s="15" t="s">
        <v>1534</v>
      </c>
      <c r="AQ9" s="1168"/>
      <c r="AR9" s="15" t="s">
        <v>1535</v>
      </c>
      <c r="AS9" s="1719"/>
      <c r="AT9" s="1708"/>
      <c r="AU9" s="1708" t="s">
        <v>1536</v>
      </c>
      <c r="AV9" s="1162"/>
      <c r="AW9" s="1691"/>
      <c r="AX9" s="1162"/>
      <c r="AY9" s="28"/>
      <c r="AZ9" s="28" t="s">
        <v>1526</v>
      </c>
      <c r="BA9" s="1720" t="s">
        <v>1537</v>
      </c>
      <c r="BB9" s="1721"/>
      <c r="BC9" s="1180"/>
      <c r="BD9" s="1180"/>
      <c r="BE9" s="1180"/>
      <c r="BF9" s="1180"/>
      <c r="BG9" s="1180"/>
      <c r="BH9" s="1180"/>
      <c r="BI9" s="1180"/>
      <c r="BJ9" s="1180"/>
      <c r="BK9" s="1722"/>
      <c r="BL9" s="15" t="s">
        <v>1538</v>
      </c>
      <c r="BM9" s="1473"/>
      <c r="BN9" s="1711"/>
      <c r="BO9" s="1473"/>
      <c r="BP9" s="1473"/>
      <c r="BQ9" s="1473"/>
      <c r="BR9" s="1473"/>
      <c r="BS9" s="1473"/>
      <c r="BT9" s="26"/>
    </row>
    <row r="10" spans="1:72" s="1715" customFormat="1" ht="13">
      <c r="A10" s="1708"/>
      <c r="B10" s="1708"/>
      <c r="C10" s="1708"/>
      <c r="D10" s="1708"/>
      <c r="E10" s="1708"/>
      <c r="F10" s="1708"/>
      <c r="G10" s="1162"/>
      <c r="H10" s="28"/>
      <c r="I10" s="1717" t="s">
        <v>1099</v>
      </c>
      <c r="J10" s="879"/>
      <c r="K10" s="1717" t="s">
        <v>1099</v>
      </c>
      <c r="L10" s="879"/>
      <c r="M10" s="1723" t="s">
        <v>27</v>
      </c>
      <c r="N10" s="879"/>
      <c r="O10" s="1723" t="s">
        <v>3330</v>
      </c>
      <c r="P10" s="879"/>
      <c r="Q10" s="1723"/>
      <c r="R10" s="879"/>
      <c r="S10" s="1723"/>
      <c r="T10" s="879"/>
      <c r="U10" s="1723"/>
      <c r="V10" s="879"/>
      <c r="W10" s="1723"/>
      <c r="X10" s="879"/>
      <c r="Y10" s="1723"/>
      <c r="Z10" s="879"/>
      <c r="AA10" s="1723"/>
      <c r="AB10" s="879"/>
      <c r="AC10" s="1162"/>
      <c r="AD10" s="15" t="s">
        <v>1539</v>
      </c>
      <c r="AE10" s="1724"/>
      <c r="AF10" s="15" t="s">
        <v>1539</v>
      </c>
      <c r="AG10" s="1724"/>
      <c r="AH10" s="15" t="s">
        <v>1540</v>
      </c>
      <c r="AI10" s="1724"/>
      <c r="AJ10" s="15" t="s">
        <v>1540</v>
      </c>
      <c r="AK10" s="1724"/>
      <c r="AL10" s="15" t="s">
        <v>1541</v>
      </c>
      <c r="AM10" s="1168"/>
      <c r="AN10" s="15" t="s">
        <v>1541</v>
      </c>
      <c r="AO10" s="1168"/>
      <c r="AP10" s="15" t="s">
        <v>1542</v>
      </c>
      <c r="AQ10" s="1168"/>
      <c r="AR10" s="15" t="s">
        <v>1542</v>
      </c>
      <c r="AS10" s="1168"/>
      <c r="AT10" s="1708"/>
      <c r="AU10" s="1708"/>
      <c r="AV10" s="1162"/>
      <c r="AW10" s="1691"/>
      <c r="AX10" s="1162"/>
      <c r="AY10" s="28"/>
      <c r="AZ10" s="28"/>
      <c r="BA10" s="1725" t="s">
        <v>1533</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1533</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3">
      <c r="A11" s="1708"/>
      <c r="B11" s="1708"/>
      <c r="C11" s="1708"/>
      <c r="D11" s="1708"/>
      <c r="E11" s="1708"/>
      <c r="F11" s="1708"/>
      <c r="G11" s="1162"/>
      <c r="H11" s="1725"/>
      <c r="I11" s="1728" t="s">
        <v>3328</v>
      </c>
      <c r="J11" s="1729"/>
      <c r="K11" s="1728" t="s">
        <v>3328</v>
      </c>
      <c r="L11" s="1729"/>
      <c r="M11" s="1728" t="s">
        <v>3329</v>
      </c>
      <c r="N11" s="1729"/>
      <c r="O11" s="1728" t="s">
        <v>3330</v>
      </c>
      <c r="P11" s="1729"/>
      <c r="Q11" s="1728"/>
      <c r="R11" s="1729"/>
      <c r="S11" s="1728"/>
      <c r="T11" s="1729"/>
      <c r="U11" s="1728"/>
      <c r="V11" s="1729"/>
      <c r="W11" s="1728"/>
      <c r="X11" s="1729"/>
      <c r="Y11" s="1728"/>
      <c r="Z11" s="1729"/>
      <c r="AA11" s="1728"/>
      <c r="AB11" s="1729"/>
      <c r="AC11" s="1162"/>
      <c r="AD11" s="1730" t="s">
        <v>1543</v>
      </c>
      <c r="AE11" s="1474"/>
      <c r="AF11" s="1730" t="s">
        <v>1543</v>
      </c>
      <c r="AG11" s="1474"/>
      <c r="AH11" s="1730" t="s">
        <v>1544</v>
      </c>
      <c r="AI11" s="1731"/>
      <c r="AJ11" s="1730" t="s">
        <v>1544</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3">
      <c r="A12" s="1733"/>
      <c r="B12" s="1733"/>
      <c r="C12" s="1733"/>
      <c r="D12" s="1733"/>
      <c r="E12" s="1733"/>
      <c r="F12" s="1733"/>
      <c r="G12" s="30"/>
      <c r="H12" s="1734"/>
      <c r="I12" s="1462"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59" t="s">
        <v>1546</v>
      </c>
      <c r="W12" s="11" t="s">
        <v>1545</v>
      </c>
      <c r="X12" s="11" t="s">
        <v>1546</v>
      </c>
      <c r="Y12" s="11" t="s">
        <v>1545</v>
      </c>
      <c r="Z12" s="11" t="s">
        <v>1546</v>
      </c>
      <c r="AA12" s="11" t="s">
        <v>1545</v>
      </c>
      <c r="AB12" s="11" t="s">
        <v>1546</v>
      </c>
      <c r="AC12" s="1735"/>
      <c r="AD12" s="1462"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33" t="s">
        <v>1546</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3">
      <c r="A14" s="1142"/>
      <c r="B14" s="1142"/>
      <c r="C14" s="1684" t="s">
        <v>3654</v>
      </c>
      <c r="D14" s="1739" t="s">
        <v>3173</v>
      </c>
      <c r="E14" s="16">
        <f>IF($C$3="是",ROUND($A$3*G14/$B$3,2),ROUND($A$3*(G14-AT14)/$B$3,2))</f>
        <v>5294.8</v>
      </c>
      <c r="F14" s="32"/>
      <c r="G14" s="33">
        <f>H14+AC14+AT14</f>
        <v>26088.83</v>
      </c>
      <c r="H14" s="20">
        <f>SUMIF(I$12:AB$12,"总值",I14:AB14)</f>
        <v>26088.83</v>
      </c>
      <c r="I14" s="1740"/>
      <c r="J14" s="1740"/>
      <c r="K14" s="1740"/>
      <c r="L14" s="1740"/>
      <c r="M14" s="1740">
        <f>面积及拆分价值!C3-'数据-基础表'!M13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3">
      <c r="A15" s="1142"/>
      <c r="B15" s="1142"/>
      <c r="C15" s="1684" t="s">
        <v>3291</v>
      </c>
      <c r="D15" s="1739" t="s">
        <v>3173</v>
      </c>
      <c r="E15" s="16">
        <f>IF($C$3="是",ROUND($A$3*G15/$B$3,2),ROUND($A$3*(G15-AT15)/$B$3,2))</f>
        <v>4080.37</v>
      </c>
      <c r="F15" s="32"/>
      <c r="G15" s="33">
        <f>H15+AC15+AT15</f>
        <v>20105.009999999998</v>
      </c>
      <c r="H15" s="20">
        <f>SUMIF(I$12:AB$12,"总值",I15:AB15)</f>
        <v>20105.009999999998</v>
      </c>
      <c r="I15" s="1740"/>
      <c r="J15" s="1740"/>
      <c r="K15" s="1740"/>
      <c r="L15" s="1740"/>
      <c r="M15" s="1740">
        <f>面积及拆分价值!C4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3">
      <c r="A16" s="1142"/>
      <c r="B16" s="1142"/>
      <c r="C16" s="1684" t="s">
        <v>3292</v>
      </c>
      <c r="D16" s="1739" t="s">
        <v>3173</v>
      </c>
      <c r="E16" s="16">
        <f>IF($C$3="是",ROUND($A$3*G16/$B$3,2),ROUND($A$3*(G16-AT16)/$B$3,2))</f>
        <v>4630.93</v>
      </c>
      <c r="F16" s="32"/>
      <c r="G16" s="33">
        <f>H16+AC16+AT16</f>
        <v>22817.759999999998</v>
      </c>
      <c r="H16" s="20">
        <f>SUMIF(I$12:AB$12,"总值",I16:AB16)</f>
        <v>22817.759999999998</v>
      </c>
      <c r="I16" s="1740"/>
      <c r="J16" s="1740"/>
      <c r="K16" s="1740"/>
      <c r="L16" s="1740"/>
      <c r="M16" s="1740">
        <f>面积及拆分价值!C5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3">
      <c r="A17" s="1142"/>
      <c r="B17" s="1142"/>
      <c r="C17" s="1684" t="s">
        <v>3293</v>
      </c>
      <c r="D17" s="1739" t="s">
        <v>3173</v>
      </c>
      <c r="E17" s="16">
        <f>IF($C$3="是",ROUND($A$3*G17/$B$3,2),ROUND($A$3*(G17-AT17)/$B$3,2))</f>
        <v>7346.24</v>
      </c>
      <c r="F17" s="32"/>
      <c r="G17" s="33">
        <f>H17+AC17+AT17</f>
        <v>36196.78</v>
      </c>
      <c r="H17" s="20">
        <f>SUMIF(I$12:AB$12,"总值",I17:AB17)</f>
        <v>36196.78</v>
      </c>
      <c r="I17" s="1740">
        <f>面积及拆分价值!F6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5">
      <c r="A18" s="9"/>
      <c r="B18" s="34"/>
      <c r="C18" s="34" t="s">
        <v>3294</v>
      </c>
      <c r="D18" s="1739" t="s">
        <v>3173</v>
      </c>
      <c r="E18" s="35">
        <f t="shared" ref="E18:E112" si="7">IF($C$3="是",ROUND($A$3*G18/$B$3,2),ROUND($A$3*(G18-AT18)/$B$3,2))</f>
        <v>14320.78</v>
      </c>
      <c r="F18" s="36"/>
      <c r="G18" s="37">
        <f t="shared" ref="G18:G109" si="8">H18+AC18+AT18</f>
        <v>70562.13</v>
      </c>
      <c r="H18" s="38">
        <f t="shared" ref="H18:H109" si="9">SUMIF(I$12:AB$12,"总值",I18:AB18)</f>
        <v>70562.13</v>
      </c>
      <c r="I18" s="39"/>
      <c r="J18" s="39"/>
      <c r="K18" s="39">
        <f>面积及拆分价值!H7</f>
        <v>10983.66</v>
      </c>
      <c r="L18" s="39"/>
      <c r="M18" s="39"/>
      <c r="N18" s="39"/>
      <c r="O18" s="39">
        <f>面积及拆分价值!I7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6"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52" t="s">
        <v>0</v>
      </c>
      <c r="B1" s="3452" t="s">
        <v>4</v>
      </c>
      <c r="C1" s="3452" t="s">
        <v>5</v>
      </c>
      <c r="D1" s="3453" t="s">
        <v>53</v>
      </c>
      <c r="E1" s="3453" t="s">
        <v>54</v>
      </c>
      <c r="F1" s="3453"/>
      <c r="G1" s="3453"/>
      <c r="H1" s="3453"/>
      <c r="I1" s="3453"/>
      <c r="J1" s="3453"/>
      <c r="K1" s="3453"/>
      <c r="L1" s="3453"/>
      <c r="M1" s="3453"/>
    </row>
    <row r="2" spans="1:13" ht="27" customHeight="1">
      <c r="A2" s="3452"/>
      <c r="B2" s="3452"/>
      <c r="C2" s="3452"/>
      <c r="D2" s="3453"/>
      <c r="E2" s="3453" t="s">
        <v>37</v>
      </c>
      <c r="F2" s="3453" t="s">
        <v>38</v>
      </c>
      <c r="G2" s="3453"/>
      <c r="H2" s="3453"/>
      <c r="I2" s="3453"/>
      <c r="J2" s="3453" t="s">
        <v>39</v>
      </c>
      <c r="K2" s="3453"/>
      <c r="L2" s="3453"/>
      <c r="M2" s="3453"/>
    </row>
    <row r="3" spans="1:13" ht="45">
      <c r="A3" s="3452"/>
      <c r="B3" s="3452"/>
      <c r="C3" s="3452"/>
      <c r="D3" s="3453"/>
      <c r="E3" s="345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3" t="s">
        <v>55</v>
      </c>
      <c r="B9" s="3453"/>
      <c r="C9" s="34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26"/>
  <sheetViews>
    <sheetView tabSelected="1" topLeftCell="A10" workbookViewId="0">
      <selection activeCell="N15" sqref="N15"/>
    </sheetView>
  </sheetViews>
  <sheetFormatPr defaultColWidth="8.7265625" defaultRowHeight="14"/>
  <cols>
    <col min="1" max="1" width="5.453125" style="3311" customWidth="1"/>
    <col min="2" max="2" width="6.7265625" style="3311" customWidth="1"/>
    <col min="3" max="3" width="11.36328125" style="3311" bestFit="1" customWidth="1"/>
    <col min="4" max="4" width="8.7265625" style="3311"/>
    <col min="5" max="5" width="11.1796875" style="3311" customWidth="1"/>
    <col min="6" max="6" width="14.08984375" style="3311" customWidth="1"/>
    <col min="7" max="9" width="8.7265625" style="3311"/>
    <col min="10" max="10" width="11.36328125" style="3311" bestFit="1" customWidth="1"/>
    <col min="11" max="11" width="12" style="3311" bestFit="1" customWidth="1"/>
    <col min="12" max="12" width="10.6328125" style="3311" customWidth="1"/>
    <col min="13" max="13" width="10.36328125" style="3311" bestFit="1" customWidth="1"/>
    <col min="14" max="16384" width="8.7265625" style="3311"/>
  </cols>
  <sheetData>
    <row r="1" spans="1:14">
      <c r="A1" s="3454" t="s">
        <v>3295</v>
      </c>
      <c r="B1" s="3454" t="s">
        <v>3296</v>
      </c>
      <c r="C1" s="3454" t="s">
        <v>3297</v>
      </c>
      <c r="D1" s="3456" t="s">
        <v>3298</v>
      </c>
      <c r="E1" s="3457"/>
      <c r="F1" s="3457"/>
      <c r="G1" s="3456" t="s">
        <v>3299</v>
      </c>
      <c r="H1" s="3457"/>
      <c r="I1" s="3457"/>
      <c r="J1" s="3458"/>
    </row>
    <row r="2" spans="1:14">
      <c r="A2" s="3455"/>
      <c r="B2" s="3455"/>
      <c r="C2" s="3455"/>
      <c r="D2" s="3312" t="s">
        <v>3300</v>
      </c>
      <c r="E2" s="3312" t="s">
        <v>3301</v>
      </c>
      <c r="F2" s="3312" t="s">
        <v>3302</v>
      </c>
      <c r="G2" s="3312" t="s">
        <v>3300</v>
      </c>
      <c r="H2" s="3312" t="s">
        <v>3303</v>
      </c>
      <c r="I2" s="3312" t="s">
        <v>3304</v>
      </c>
      <c r="J2" s="3312" t="s">
        <v>3305</v>
      </c>
    </row>
    <row r="3" spans="1:14">
      <c r="A3" s="3313">
        <v>1</v>
      </c>
      <c r="B3" s="3312" t="s">
        <v>3306</v>
      </c>
      <c r="C3" s="3312">
        <f>SUM(D3,G3)</f>
        <v>26088.83</v>
      </c>
      <c r="D3" s="3312">
        <f>SUM(E3:F3)</f>
        <v>26088.83</v>
      </c>
      <c r="E3" s="3312">
        <v>26088.83</v>
      </c>
      <c r="F3" s="3312"/>
      <c r="G3" s="3312">
        <f>SUM(H3:J3)</f>
        <v>0</v>
      </c>
      <c r="H3" s="3312"/>
      <c r="I3" s="3312"/>
      <c r="J3" s="3312"/>
      <c r="K3" s="3311" t="s">
        <v>3307</v>
      </c>
      <c r="M3" s="3340" t="s">
        <v>3589</v>
      </c>
      <c r="N3" s="3341">
        <v>26836</v>
      </c>
    </row>
    <row r="4" spans="1:14">
      <c r="A4" s="3313">
        <v>2</v>
      </c>
      <c r="B4" s="3312" t="s">
        <v>3308</v>
      </c>
      <c r="C4" s="3312">
        <f>SUM(D4,G4)</f>
        <v>20105.009999999998</v>
      </c>
      <c r="D4" s="3312">
        <f>SUM(E4:F4)</f>
        <v>20105.009999999998</v>
      </c>
      <c r="E4" s="3312">
        <v>20105.009999999998</v>
      </c>
      <c r="F4" s="3312"/>
      <c r="G4" s="3312">
        <f t="shared" ref="G4:G7" si="0">SUM(H4:J4)</f>
        <v>0</v>
      </c>
      <c r="H4" s="3312"/>
      <c r="I4" s="3312"/>
      <c r="J4" s="3312"/>
      <c r="K4" s="3311" t="s">
        <v>3309</v>
      </c>
      <c r="M4" s="3341" t="s">
        <v>3638</v>
      </c>
      <c r="N4" s="3342">
        <f>N3/(F6+H7)</f>
        <v>0.56879503455245428</v>
      </c>
    </row>
    <row r="5" spans="1:14">
      <c r="A5" s="3313">
        <v>3</v>
      </c>
      <c r="B5" s="3312" t="s">
        <v>3310</v>
      </c>
      <c r="C5" s="3312">
        <f>SUM(D5,G5)</f>
        <v>22817.759999999998</v>
      </c>
      <c r="D5" s="3312">
        <f>SUM(E5:F5)</f>
        <v>22817.759999999998</v>
      </c>
      <c r="E5" s="3312">
        <v>22817.759999999998</v>
      </c>
      <c r="F5" s="3312"/>
      <c r="G5" s="3312">
        <f t="shared" si="0"/>
        <v>0</v>
      </c>
      <c r="H5" s="3312"/>
      <c r="I5" s="3312"/>
      <c r="J5" s="3312"/>
      <c r="K5" s="3311" t="s">
        <v>3307</v>
      </c>
    </row>
    <row r="6" spans="1:14">
      <c r="A6" s="3313">
        <v>4</v>
      </c>
      <c r="B6" s="3312" t="s">
        <v>3311</v>
      </c>
      <c r="C6" s="3312">
        <f>SUM(D6,G6)</f>
        <v>36196.78</v>
      </c>
      <c r="D6" s="3312">
        <f>SUM(E6:F6)</f>
        <v>36196.78</v>
      </c>
      <c r="E6" s="3312"/>
      <c r="F6" s="3312">
        <v>36196.78</v>
      </c>
      <c r="G6" s="3312">
        <f t="shared" si="0"/>
        <v>0</v>
      </c>
      <c r="H6" s="3312"/>
      <c r="I6" s="3312"/>
      <c r="J6" s="3312"/>
      <c r="K6" s="3311" t="s">
        <v>3312</v>
      </c>
    </row>
    <row r="7" spans="1:14">
      <c r="A7" s="3313">
        <v>5</v>
      </c>
      <c r="B7" s="3312" t="s">
        <v>3313</v>
      </c>
      <c r="C7" s="3312">
        <f>SUM(D7,G7)</f>
        <v>71619.98000000001</v>
      </c>
      <c r="D7" s="3312"/>
      <c r="E7" s="3312"/>
      <c r="F7" s="3312"/>
      <c r="G7" s="3312">
        <f t="shared" si="0"/>
        <v>71619.98000000001</v>
      </c>
      <c r="H7" s="3312">
        <v>10983.66</v>
      </c>
      <c r="I7" s="3312">
        <v>59578.47</v>
      </c>
      <c r="J7" s="3312">
        <v>1057.8499999999999</v>
      </c>
    </row>
    <row r="8" spans="1:14">
      <c r="A8" s="3312"/>
      <c r="B8" s="3312" t="s">
        <v>3300</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3314</v>
      </c>
      <c r="I9" s="3312" t="s">
        <v>3315</v>
      </c>
      <c r="J9" s="3312"/>
    </row>
    <row r="11" spans="1:14">
      <c r="E11" s="3311" t="s">
        <v>3341</v>
      </c>
      <c r="G11" s="3311" t="s">
        <v>1076</v>
      </c>
    </row>
    <row r="12" spans="1:14">
      <c r="B12" s="3311" t="s">
        <v>3311</v>
      </c>
      <c r="C12" s="3311" t="s">
        <v>3316</v>
      </c>
      <c r="D12" s="3311">
        <v>13627.39</v>
      </c>
      <c r="E12" s="3311">
        <v>1</v>
      </c>
      <c r="G12" s="3311">
        <v>6</v>
      </c>
      <c r="I12" s="3311">
        <f ca="1">I17/F17</f>
        <v>20230.36747064583</v>
      </c>
    </row>
    <row r="13" spans="1:14">
      <c r="C13" s="3311" t="s">
        <v>3317</v>
      </c>
      <c r="D13" s="3311">
        <v>12365.68</v>
      </c>
      <c r="E13" s="3311">
        <v>0.7</v>
      </c>
      <c r="G13" s="3311">
        <f>G12*E13</f>
        <v>4.1999999999999993</v>
      </c>
    </row>
    <row r="14" spans="1:14">
      <c r="C14" s="3311" t="s">
        <v>3318</v>
      </c>
      <c r="D14" s="3311">
        <v>10764.91</v>
      </c>
      <c r="E14" s="3311">
        <v>0.6</v>
      </c>
      <c r="G14" s="3311">
        <f>G12*E14</f>
        <v>3.5999999999999996</v>
      </c>
    </row>
    <row r="15" spans="1:14">
      <c r="C15" s="3311" t="s">
        <v>3319</v>
      </c>
      <c r="D15" s="3311">
        <v>143.5</v>
      </c>
      <c r="F15" s="3320">
        <f>(E12*D12+E13*D13+E14*D14)/(D12+D13+D14)</f>
        <v>0.7819339365220831</v>
      </c>
      <c r="G15" s="3321">
        <f>F15*G12</f>
        <v>4.6916036191324988</v>
      </c>
      <c r="H15" s="3311" t="s">
        <v>3342</v>
      </c>
      <c r="J15" s="3752">
        <f>(F15*F6)/(F15*F6+F16*H7)</f>
        <v>0.83749732535927079</v>
      </c>
    </row>
    <row r="16" spans="1:14">
      <c r="D16" s="3311">
        <f>SUM(D12:D15)</f>
        <v>36901.479999999996</v>
      </c>
      <c r="F16" s="3311">
        <v>0.5</v>
      </c>
      <c r="G16" s="3311">
        <f>G12*F16</f>
        <v>3</v>
      </c>
      <c r="H16" s="3311" t="s">
        <v>3343</v>
      </c>
      <c r="J16" s="3750"/>
    </row>
    <row r="17" spans="3:12">
      <c r="F17" s="3339">
        <f>(F15*F6+F16*H7)/(F6+H7)</f>
        <v>0.71629939599596371</v>
      </c>
      <c r="G17" s="3320">
        <f>(G15*F6+G16*H7)/(F6+H7)</f>
        <v>4.2977963759757829</v>
      </c>
      <c r="H17" s="3311" t="s">
        <v>3344</v>
      </c>
      <c r="I17" s="3311">
        <f ca="1">结果表!G20</f>
        <v>14491</v>
      </c>
    </row>
    <row r="19" spans="3:12">
      <c r="C19" s="3748" t="s">
        <v>3665</v>
      </c>
      <c r="D19" s="3749">
        <f ca="1">结果表!G19</f>
        <v>254711</v>
      </c>
    </row>
    <row r="20" spans="3:12">
      <c r="C20" s="3748" t="s">
        <v>3666</v>
      </c>
      <c r="D20" s="3749">
        <f>结果表!D30</f>
        <v>1403</v>
      </c>
      <c r="I20" s="3753"/>
      <c r="J20" s="3753" t="s">
        <v>2824</v>
      </c>
      <c r="K20" s="3753" t="s">
        <v>3672</v>
      </c>
      <c r="L20" s="3753" t="s">
        <v>3673</v>
      </c>
    </row>
    <row r="21" spans="3:12">
      <c r="I21" s="3753" t="s">
        <v>3654</v>
      </c>
      <c r="J21" s="3753">
        <f>'数据-基础表'!G14</f>
        <v>26088.83</v>
      </c>
      <c r="K21" s="3753">
        <f ca="1">ROUND(J21/(J21+J22+J23)*F24,0)</f>
        <v>47418</v>
      </c>
      <c r="L21" s="3754">
        <f ca="1">K21*10000/J21</f>
        <v>18175.594689374724</v>
      </c>
    </row>
    <row r="22" spans="3:12">
      <c r="C22" s="3750"/>
      <c r="D22" s="3751" t="s">
        <v>3668</v>
      </c>
      <c r="E22" s="3751" t="s">
        <v>3670</v>
      </c>
      <c r="F22" s="3751" t="s">
        <v>3671</v>
      </c>
      <c r="I22" s="3753" t="s">
        <v>3291</v>
      </c>
      <c r="J22" s="3753">
        <f>'数据-基础表'!G15</f>
        <v>20105.009999999998</v>
      </c>
      <c r="K22" s="3753">
        <f ca="1">ROUND(J22/(J22+J23+J21)*F24,0)</f>
        <v>36542</v>
      </c>
      <c r="L22" s="3754">
        <f t="shared" ref="L22:L25" ca="1" si="2">K22*10000/J22</f>
        <v>18175.569174051645</v>
      </c>
    </row>
    <row r="23" spans="3:12">
      <c r="C23" s="3751" t="s">
        <v>183</v>
      </c>
      <c r="D23" s="3750">
        <f ca="1">'收益法（汇总）'!B6</f>
        <v>101206</v>
      </c>
      <c r="E23" s="3750">
        <f ca="1">ROUND(D23/$D$26*$D$19,0)</f>
        <v>115694</v>
      </c>
      <c r="F23" s="3750">
        <f ca="1">E23-D20</f>
        <v>114291</v>
      </c>
      <c r="I23" s="3753" t="s">
        <v>3292</v>
      </c>
      <c r="J23" s="3753">
        <f>'数据-基础表'!G16</f>
        <v>22817.759999999998</v>
      </c>
      <c r="K23" s="3753">
        <f ca="1">F24-K21-K22</f>
        <v>41474</v>
      </c>
      <c r="L23" s="3754">
        <f t="shared" ca="1" si="2"/>
        <v>18176.192579815022</v>
      </c>
    </row>
    <row r="24" spans="3:12">
      <c r="C24" s="3751" t="s">
        <v>184</v>
      </c>
      <c r="D24" s="3750">
        <f ca="1">'收益法（汇总）'!B9</f>
        <v>109727</v>
      </c>
      <c r="E24" s="3750">
        <f ca="1">ROUND(D24/$D$26*$D$19,0)</f>
        <v>125434</v>
      </c>
      <c r="F24" s="3750">
        <f ca="1">E24</f>
        <v>125434</v>
      </c>
      <c r="I24" s="3753" t="s">
        <v>3293</v>
      </c>
      <c r="J24" s="3753">
        <f>'数据-基础表'!G17</f>
        <v>36196.78</v>
      </c>
      <c r="K24" s="3753">
        <f ca="1">ROUND(J15*F23,0)</f>
        <v>95718</v>
      </c>
      <c r="L24" s="3754">
        <f t="shared" ca="1" si="2"/>
        <v>26443.788646393408</v>
      </c>
    </row>
    <row r="25" spans="3:12">
      <c r="C25" s="3751" t="s">
        <v>3667</v>
      </c>
      <c r="D25" s="3750">
        <f ca="1">'收益法（汇总）'!B8</f>
        <v>11882</v>
      </c>
      <c r="E25" s="3750">
        <f ca="1">ROUND(D25/$D$26*$D$19,0)</f>
        <v>13583</v>
      </c>
      <c r="F25" s="3750">
        <f ca="1">E25</f>
        <v>13583</v>
      </c>
      <c r="I25" s="3753" t="s">
        <v>3294</v>
      </c>
      <c r="J25" s="3753">
        <f>'数据-基础表'!G18</f>
        <v>70562.13</v>
      </c>
      <c r="K25" s="3753">
        <f ca="1">F23-K24+F25</f>
        <v>32156</v>
      </c>
      <c r="L25" s="3754">
        <f t="shared" ca="1" si="2"/>
        <v>4557.1186697453713</v>
      </c>
    </row>
    <row r="26" spans="3:12">
      <c r="C26" s="3751" t="s">
        <v>3669</v>
      </c>
      <c r="D26" s="3750">
        <f ca="1">SUM(D23:D25)</f>
        <v>222815</v>
      </c>
      <c r="E26" s="3750">
        <f ca="1">SUM(E23:E25)</f>
        <v>254711</v>
      </c>
      <c r="F26" s="3750">
        <f ca="1">SUM(F23:F25)</f>
        <v>253308</v>
      </c>
      <c r="I26" s="3753"/>
      <c r="J26" s="3753">
        <f>SUM(J21:J25)</f>
        <v>175770.51</v>
      </c>
      <c r="K26" s="3753">
        <f t="shared" ref="K26:L26" ca="1" si="3">SUM(K21:K25)</f>
        <v>253308</v>
      </c>
      <c r="L26" s="3754">
        <f t="shared" ca="1" si="3"/>
        <v>85528.263759380163</v>
      </c>
    </row>
  </sheetData>
  <mergeCells count="5">
    <mergeCell ref="A1:A2"/>
    <mergeCell ref="B1:B2"/>
    <mergeCell ref="C1:C2"/>
    <mergeCell ref="D1:F1"/>
    <mergeCell ref="G1:J1"/>
  </mergeCells>
  <phoneticPr fontId="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265625" defaultRowHeight="14"/>
  <cols>
    <col min="1" max="1" width="8.7265625" style="3314"/>
    <col min="2" max="2" width="11.7265625" style="3314" customWidth="1"/>
    <col min="3" max="4" width="8.7265625" style="3314"/>
    <col min="5" max="6" width="12.6328125" style="3314" customWidth="1"/>
    <col min="7" max="16384" width="8.7265625" style="3311"/>
  </cols>
  <sheetData>
    <row r="1" spans="1:6">
      <c r="A1" s="3313" t="s">
        <v>3295</v>
      </c>
      <c r="B1" s="3313" t="s">
        <v>3320</v>
      </c>
      <c r="C1" s="3313" t="s">
        <v>3321</v>
      </c>
      <c r="D1" s="3352" t="s">
        <v>3642</v>
      </c>
      <c r="E1" s="3313" t="s">
        <v>3322</v>
      </c>
      <c r="F1" s="3352" t="s">
        <v>3639</v>
      </c>
    </row>
    <row r="2" spans="1:6">
      <c r="A2" s="3313">
        <v>1</v>
      </c>
      <c r="B2" s="3313" t="s">
        <v>3306</v>
      </c>
      <c r="C2" s="3313">
        <v>401</v>
      </c>
      <c r="D2" s="3313">
        <v>4</v>
      </c>
      <c r="E2" s="3313">
        <v>736.03</v>
      </c>
      <c r="F2" s="3352" t="s">
        <v>3301</v>
      </c>
    </row>
    <row r="3" spans="1:6">
      <c r="A3" s="3313">
        <v>2</v>
      </c>
      <c r="B3" s="3313" t="s">
        <v>3306</v>
      </c>
      <c r="C3" s="3313">
        <v>402</v>
      </c>
      <c r="D3" s="3313">
        <v>4</v>
      </c>
      <c r="E3" s="3313">
        <v>826.37</v>
      </c>
      <c r="F3" s="3352" t="s">
        <v>3301</v>
      </c>
    </row>
    <row r="4" spans="1:6">
      <c r="A4" s="3313">
        <v>3</v>
      </c>
      <c r="B4" s="3313" t="s">
        <v>3306</v>
      </c>
      <c r="C4" s="3313">
        <v>403</v>
      </c>
      <c r="D4" s="3313">
        <v>4</v>
      </c>
      <c r="E4" s="3313">
        <v>691.37</v>
      </c>
      <c r="F4" s="3352" t="s">
        <v>3301</v>
      </c>
    </row>
    <row r="5" spans="1:6">
      <c r="A5" s="3313">
        <v>4</v>
      </c>
      <c r="B5" s="3313" t="s">
        <v>3306</v>
      </c>
      <c r="C5" s="3313">
        <v>501</v>
      </c>
      <c r="D5" s="3313">
        <v>5</v>
      </c>
      <c r="E5" s="3313">
        <v>640.34</v>
      </c>
      <c r="F5" s="3352" t="s">
        <v>3301</v>
      </c>
    </row>
    <row r="6" spans="1:6">
      <c r="A6" s="3313">
        <v>5</v>
      </c>
      <c r="B6" s="3313" t="s">
        <v>3306</v>
      </c>
      <c r="C6" s="3313">
        <v>502</v>
      </c>
      <c r="D6" s="3313">
        <v>5</v>
      </c>
      <c r="E6" s="3313">
        <v>663.57</v>
      </c>
      <c r="F6" s="3352" t="s">
        <v>3301</v>
      </c>
    </row>
    <row r="7" spans="1:6">
      <c r="A7" s="3313">
        <v>6</v>
      </c>
      <c r="B7" s="3313" t="s">
        <v>3306</v>
      </c>
      <c r="C7" s="3313">
        <v>503</v>
      </c>
      <c r="D7" s="3313">
        <v>5</v>
      </c>
      <c r="E7" s="3313">
        <v>687.15</v>
      </c>
      <c r="F7" s="3352" t="s">
        <v>3301</v>
      </c>
    </row>
    <row r="8" spans="1:6">
      <c r="A8" s="3313">
        <v>7</v>
      </c>
      <c r="B8" s="3313" t="s">
        <v>3306</v>
      </c>
      <c r="C8" s="3313">
        <v>504</v>
      </c>
      <c r="D8" s="3313">
        <v>5</v>
      </c>
      <c r="E8" s="3313">
        <v>657.28</v>
      </c>
      <c r="F8" s="3352" t="s">
        <v>3301</v>
      </c>
    </row>
    <row r="9" spans="1:6">
      <c r="A9" s="3313">
        <v>8</v>
      </c>
      <c r="B9" s="3313" t="s">
        <v>3306</v>
      </c>
      <c r="C9" s="3313">
        <v>601</v>
      </c>
      <c r="D9" s="3313">
        <v>6</v>
      </c>
      <c r="E9" s="3313">
        <v>640.34</v>
      </c>
      <c r="F9" s="3352" t="s">
        <v>3301</v>
      </c>
    </row>
    <row r="10" spans="1:6">
      <c r="A10" s="3313">
        <v>9</v>
      </c>
      <c r="B10" s="3313" t="s">
        <v>3290</v>
      </c>
      <c r="C10" s="3313">
        <v>602</v>
      </c>
      <c r="D10" s="3313">
        <v>6</v>
      </c>
      <c r="E10" s="3313">
        <v>663.57</v>
      </c>
      <c r="F10" s="3352" t="s">
        <v>3301</v>
      </c>
    </row>
    <row r="11" spans="1:6">
      <c r="A11" s="3313">
        <v>10</v>
      </c>
      <c r="B11" s="3313" t="s">
        <v>3290</v>
      </c>
      <c r="C11" s="3313">
        <v>603</v>
      </c>
      <c r="D11" s="3313">
        <v>6</v>
      </c>
      <c r="E11" s="3313">
        <v>687.15</v>
      </c>
      <c r="F11" s="3352" t="s">
        <v>3301</v>
      </c>
    </row>
    <row r="12" spans="1:6">
      <c r="A12" s="3313">
        <v>11</v>
      </c>
      <c r="B12" s="3313" t="s">
        <v>3290</v>
      </c>
      <c r="C12" s="3313">
        <v>604</v>
      </c>
      <c r="D12" s="3313">
        <v>6</v>
      </c>
      <c r="E12" s="3313">
        <v>657.28</v>
      </c>
      <c r="F12" s="3352" t="s">
        <v>3301</v>
      </c>
    </row>
    <row r="13" spans="1:6">
      <c r="A13" s="3313">
        <v>12</v>
      </c>
      <c r="B13" s="3313" t="s">
        <v>3290</v>
      </c>
      <c r="C13" s="3313">
        <v>701</v>
      </c>
      <c r="D13" s="3313">
        <v>7</v>
      </c>
      <c r="E13" s="3313">
        <v>640.34</v>
      </c>
      <c r="F13" s="3352" t="s">
        <v>3301</v>
      </c>
    </row>
    <row r="14" spans="1:6">
      <c r="A14" s="3313">
        <v>13</v>
      </c>
      <c r="B14" s="3313" t="s">
        <v>3290</v>
      </c>
      <c r="C14" s="3313">
        <v>702</v>
      </c>
      <c r="D14" s="3313">
        <v>7</v>
      </c>
      <c r="E14" s="3313">
        <v>663.57</v>
      </c>
      <c r="F14" s="3352" t="s">
        <v>3301</v>
      </c>
    </row>
    <row r="15" spans="1:6">
      <c r="A15" s="3313">
        <v>14</v>
      </c>
      <c r="B15" s="3313" t="s">
        <v>3290</v>
      </c>
      <c r="C15" s="3313">
        <v>703</v>
      </c>
      <c r="D15" s="3313">
        <v>7</v>
      </c>
      <c r="E15" s="3313">
        <v>687.15</v>
      </c>
      <c r="F15" s="3352" t="s">
        <v>3301</v>
      </c>
    </row>
    <row r="16" spans="1:6">
      <c r="A16" s="3313">
        <v>15</v>
      </c>
      <c r="B16" s="3313" t="s">
        <v>3290</v>
      </c>
      <c r="C16" s="3313">
        <v>704</v>
      </c>
      <c r="D16" s="3313">
        <v>7</v>
      </c>
      <c r="E16" s="3313">
        <v>657.28</v>
      </c>
      <c r="F16" s="3352" t="s">
        <v>3301</v>
      </c>
    </row>
    <row r="17" spans="1:6">
      <c r="A17" s="3313">
        <v>16</v>
      </c>
      <c r="B17" s="3313" t="s">
        <v>3290</v>
      </c>
      <c r="C17" s="3313">
        <v>801</v>
      </c>
      <c r="D17" s="3313">
        <v>8</v>
      </c>
      <c r="E17" s="3313">
        <v>640.34</v>
      </c>
      <c r="F17" s="3352" t="s">
        <v>3301</v>
      </c>
    </row>
    <row r="18" spans="1:6">
      <c r="A18" s="3313">
        <v>17</v>
      </c>
      <c r="B18" s="3313" t="s">
        <v>3290</v>
      </c>
      <c r="C18" s="3313">
        <v>802</v>
      </c>
      <c r="D18" s="3313">
        <v>8</v>
      </c>
      <c r="E18" s="3313">
        <v>663.57</v>
      </c>
      <c r="F18" s="3352" t="s">
        <v>3301</v>
      </c>
    </row>
    <row r="19" spans="1:6">
      <c r="A19" s="3313">
        <v>18</v>
      </c>
      <c r="B19" s="3313" t="s">
        <v>3290</v>
      </c>
      <c r="C19" s="3313">
        <v>803</v>
      </c>
      <c r="D19" s="3313">
        <v>8</v>
      </c>
      <c r="E19" s="3313">
        <v>687.15</v>
      </c>
      <c r="F19" s="3352" t="s">
        <v>3301</v>
      </c>
    </row>
    <row r="20" spans="1:6">
      <c r="A20" s="3313">
        <v>19</v>
      </c>
      <c r="B20" s="3313" t="s">
        <v>3290</v>
      </c>
      <c r="C20" s="3313">
        <v>804</v>
      </c>
      <c r="D20" s="3313">
        <v>8</v>
      </c>
      <c r="E20" s="3313">
        <v>657.28</v>
      </c>
      <c r="F20" s="3352" t="s">
        <v>3301</v>
      </c>
    </row>
    <row r="21" spans="1:6">
      <c r="A21" s="3313">
        <v>20</v>
      </c>
      <c r="B21" s="3313" t="s">
        <v>3290</v>
      </c>
      <c r="C21" s="3313">
        <v>901</v>
      </c>
      <c r="D21" s="3313">
        <v>9</v>
      </c>
      <c r="E21" s="3313">
        <v>640.34</v>
      </c>
      <c r="F21" s="3352" t="s">
        <v>3301</v>
      </c>
    </row>
    <row r="22" spans="1:6">
      <c r="A22" s="3313">
        <v>21</v>
      </c>
      <c r="B22" s="3313" t="s">
        <v>3290</v>
      </c>
      <c r="C22" s="3313">
        <v>902</v>
      </c>
      <c r="D22" s="3313">
        <v>9</v>
      </c>
      <c r="E22" s="3313">
        <v>663.57</v>
      </c>
      <c r="F22" s="3352" t="s">
        <v>3301</v>
      </c>
    </row>
    <row r="23" spans="1:6">
      <c r="A23" s="3313">
        <v>22</v>
      </c>
      <c r="B23" s="3313" t="s">
        <v>3290</v>
      </c>
      <c r="C23" s="3313">
        <v>903</v>
      </c>
      <c r="D23" s="3313">
        <v>9</v>
      </c>
      <c r="E23" s="3313">
        <v>687.15</v>
      </c>
      <c r="F23" s="3352" t="s">
        <v>3301</v>
      </c>
    </row>
    <row r="24" spans="1:6">
      <c r="A24" s="3313">
        <v>23</v>
      </c>
      <c r="B24" s="3313" t="s">
        <v>3290</v>
      </c>
      <c r="C24" s="3313">
        <v>904</v>
      </c>
      <c r="D24" s="3313">
        <v>9</v>
      </c>
      <c r="E24" s="3313">
        <v>657.28</v>
      </c>
      <c r="F24" s="3352" t="s">
        <v>3301</v>
      </c>
    </row>
    <row r="25" spans="1:6">
      <c r="A25" s="3313">
        <v>24</v>
      </c>
      <c r="B25" s="3313" t="s">
        <v>3290</v>
      </c>
      <c r="C25" s="3313">
        <v>1001</v>
      </c>
      <c r="D25" s="3313">
        <v>10</v>
      </c>
      <c r="E25" s="3313">
        <v>640.34</v>
      </c>
      <c r="F25" s="3352" t="s">
        <v>3301</v>
      </c>
    </row>
    <row r="26" spans="1:6">
      <c r="A26" s="3313">
        <v>25</v>
      </c>
      <c r="B26" s="3313" t="s">
        <v>3290</v>
      </c>
      <c r="C26" s="3313">
        <v>1002</v>
      </c>
      <c r="D26" s="3313">
        <v>10</v>
      </c>
      <c r="E26" s="3313">
        <v>663.57</v>
      </c>
      <c r="F26" s="3352" t="s">
        <v>3301</v>
      </c>
    </row>
    <row r="27" spans="1:6">
      <c r="A27" s="3313">
        <v>26</v>
      </c>
      <c r="B27" s="3313" t="s">
        <v>3290</v>
      </c>
      <c r="C27" s="3313">
        <v>1003</v>
      </c>
      <c r="D27" s="3313">
        <v>10</v>
      </c>
      <c r="E27" s="3313">
        <v>687.15</v>
      </c>
      <c r="F27" s="3352" t="s">
        <v>3301</v>
      </c>
    </row>
    <row r="28" spans="1:6">
      <c r="A28" s="3313">
        <v>27</v>
      </c>
      <c r="B28" s="3313" t="s">
        <v>3290</v>
      </c>
      <c r="C28" s="3313">
        <v>1004</v>
      </c>
      <c r="D28" s="3313">
        <v>10</v>
      </c>
      <c r="E28" s="3313">
        <v>657.28</v>
      </c>
      <c r="F28" s="3352" t="s">
        <v>3301</v>
      </c>
    </row>
    <row r="29" spans="1:6">
      <c r="A29" s="3313">
        <v>28</v>
      </c>
      <c r="B29" s="3313" t="s">
        <v>3290</v>
      </c>
      <c r="C29" s="3313">
        <v>1101</v>
      </c>
      <c r="D29" s="3313">
        <v>11</v>
      </c>
      <c r="E29" s="3313">
        <v>640.34</v>
      </c>
      <c r="F29" s="3352" t="s">
        <v>3301</v>
      </c>
    </row>
    <row r="30" spans="1:6">
      <c r="A30" s="3313">
        <v>29</v>
      </c>
      <c r="B30" s="3313" t="s">
        <v>3290</v>
      </c>
      <c r="C30" s="3313">
        <v>1102</v>
      </c>
      <c r="D30" s="3313">
        <v>11</v>
      </c>
      <c r="E30" s="3313">
        <v>663.57</v>
      </c>
      <c r="F30" s="3352" t="s">
        <v>3301</v>
      </c>
    </row>
    <row r="31" spans="1:6">
      <c r="A31" s="3313">
        <v>30</v>
      </c>
      <c r="B31" s="3313" t="s">
        <v>3290</v>
      </c>
      <c r="C31" s="3313">
        <v>1103</v>
      </c>
      <c r="D31" s="3313">
        <v>11</v>
      </c>
      <c r="E31" s="3313">
        <v>687.15</v>
      </c>
      <c r="F31" s="3352" t="s">
        <v>3301</v>
      </c>
    </row>
    <row r="32" spans="1:6">
      <c r="A32" s="3313">
        <v>31</v>
      </c>
      <c r="B32" s="3313" t="s">
        <v>3290</v>
      </c>
      <c r="C32" s="3313">
        <v>1104</v>
      </c>
      <c r="D32" s="3313">
        <v>11</v>
      </c>
      <c r="E32" s="3313">
        <v>657.28</v>
      </c>
      <c r="F32" s="3352" t="s">
        <v>3301</v>
      </c>
    </row>
    <row r="33" spans="1:6">
      <c r="A33" s="3313">
        <v>32</v>
      </c>
      <c r="B33" s="3313" t="s">
        <v>3290</v>
      </c>
      <c r="C33" s="3313">
        <v>1201</v>
      </c>
      <c r="D33" s="3313">
        <v>12</v>
      </c>
      <c r="E33" s="3313">
        <v>640.34</v>
      </c>
      <c r="F33" s="3352" t="s">
        <v>3301</v>
      </c>
    </row>
    <row r="34" spans="1:6">
      <c r="A34" s="3313">
        <v>33</v>
      </c>
      <c r="B34" s="3313" t="s">
        <v>3290</v>
      </c>
      <c r="C34" s="3313">
        <v>1202</v>
      </c>
      <c r="D34" s="3313">
        <v>12</v>
      </c>
      <c r="E34" s="3313">
        <v>663.57</v>
      </c>
      <c r="F34" s="3352" t="s">
        <v>3301</v>
      </c>
    </row>
    <row r="35" spans="1:6">
      <c r="A35" s="3313">
        <v>34</v>
      </c>
      <c r="B35" s="3313" t="s">
        <v>3290</v>
      </c>
      <c r="C35" s="3313">
        <v>1203</v>
      </c>
      <c r="D35" s="3313">
        <v>12</v>
      </c>
      <c r="E35" s="3313">
        <v>687.15</v>
      </c>
      <c r="F35" s="3352" t="s">
        <v>3301</v>
      </c>
    </row>
    <row r="36" spans="1:6">
      <c r="A36" s="3313">
        <v>35</v>
      </c>
      <c r="B36" s="3313" t="s">
        <v>3290</v>
      </c>
      <c r="C36" s="3313">
        <v>1204</v>
      </c>
      <c r="D36" s="3313">
        <v>12</v>
      </c>
      <c r="E36" s="3313">
        <v>657.28</v>
      </c>
      <c r="F36" s="3352" t="s">
        <v>3301</v>
      </c>
    </row>
    <row r="37" spans="1:6">
      <c r="A37" s="3313">
        <v>36</v>
      </c>
      <c r="B37" s="3313" t="s">
        <v>3290</v>
      </c>
      <c r="C37" s="3313">
        <v>1301</v>
      </c>
      <c r="D37" s="3313">
        <v>13</v>
      </c>
      <c r="E37" s="3313">
        <v>640.34</v>
      </c>
      <c r="F37" s="3352" t="s">
        <v>3301</v>
      </c>
    </row>
    <row r="38" spans="1:6">
      <c r="A38" s="3313">
        <v>37</v>
      </c>
      <c r="B38" s="3313" t="s">
        <v>3290</v>
      </c>
      <c r="C38" s="3313">
        <v>1302</v>
      </c>
      <c r="D38" s="3313">
        <v>13</v>
      </c>
      <c r="E38" s="3313">
        <v>663.57</v>
      </c>
      <c r="F38" s="3352" t="s">
        <v>3301</v>
      </c>
    </row>
    <row r="39" spans="1:6">
      <c r="A39" s="3313">
        <v>38</v>
      </c>
      <c r="B39" s="3313" t="s">
        <v>3290</v>
      </c>
      <c r="C39" s="3313">
        <v>1303</v>
      </c>
      <c r="D39" s="3313">
        <v>13</v>
      </c>
      <c r="E39" s="3313">
        <v>687.15</v>
      </c>
      <c r="F39" s="3352" t="s">
        <v>3301</v>
      </c>
    </row>
    <row r="40" spans="1:6">
      <c r="A40" s="3313">
        <v>39</v>
      </c>
      <c r="B40" s="3313" t="s">
        <v>3290</v>
      </c>
      <c r="C40" s="3313">
        <v>1304</v>
      </c>
      <c r="D40" s="3313">
        <v>13</v>
      </c>
      <c r="E40" s="3313">
        <v>657.28</v>
      </c>
      <c r="F40" s="3352" t="s">
        <v>3301</v>
      </c>
    </row>
    <row r="41" spans="1:6">
      <c r="A41" s="3456" t="s">
        <v>3323</v>
      </c>
      <c r="B41" s="3457"/>
      <c r="C41" s="3458"/>
      <c r="D41" s="3322"/>
      <c r="E41" s="3313">
        <f>SUM(E2:E40)</f>
        <v>26088.83</v>
      </c>
      <c r="F41" s="3352" t="s">
        <v>3641</v>
      </c>
    </row>
    <row r="42" spans="1:6">
      <c r="A42" s="3313">
        <v>40</v>
      </c>
      <c r="B42" s="3313" t="s">
        <v>3324</v>
      </c>
      <c r="C42" s="3313">
        <v>401</v>
      </c>
      <c r="D42" s="3313">
        <v>4</v>
      </c>
      <c r="E42" s="3313">
        <v>649.45000000000005</v>
      </c>
      <c r="F42" s="3352" t="s">
        <v>3301</v>
      </c>
    </row>
    <row r="43" spans="1:6">
      <c r="A43" s="3313">
        <v>41</v>
      </c>
      <c r="B43" s="3313" t="s">
        <v>3324</v>
      </c>
      <c r="C43" s="3313">
        <v>402</v>
      </c>
      <c r="D43" s="3313">
        <v>4</v>
      </c>
      <c r="E43" s="3313">
        <v>655.77</v>
      </c>
      <c r="F43" s="3352" t="s">
        <v>3301</v>
      </c>
    </row>
    <row r="44" spans="1:6">
      <c r="A44" s="3313">
        <v>42</v>
      </c>
      <c r="B44" s="3313" t="s">
        <v>3324</v>
      </c>
      <c r="C44" s="3313">
        <v>403</v>
      </c>
      <c r="D44" s="3313">
        <v>4</v>
      </c>
      <c r="E44" s="3313">
        <v>637.03</v>
      </c>
      <c r="F44" s="3352" t="s">
        <v>3301</v>
      </c>
    </row>
    <row r="45" spans="1:6">
      <c r="A45" s="3313">
        <v>43</v>
      </c>
      <c r="B45" s="3313" t="s">
        <v>3324</v>
      </c>
      <c r="C45" s="3313">
        <v>501</v>
      </c>
      <c r="D45" s="3313">
        <v>5</v>
      </c>
      <c r="E45" s="3313">
        <v>743.98</v>
      </c>
      <c r="F45" s="3352" t="s">
        <v>3301</v>
      </c>
    </row>
    <row r="46" spans="1:6">
      <c r="A46" s="3313">
        <v>44</v>
      </c>
      <c r="B46" s="3313" t="s">
        <v>3324</v>
      </c>
      <c r="C46" s="3313">
        <v>502</v>
      </c>
      <c r="D46" s="3313">
        <v>5</v>
      </c>
      <c r="E46" s="3313">
        <v>796.57</v>
      </c>
      <c r="F46" s="3352" t="s">
        <v>3301</v>
      </c>
    </row>
    <row r="47" spans="1:6">
      <c r="A47" s="3313">
        <v>45</v>
      </c>
      <c r="B47" s="3313" t="s">
        <v>3324</v>
      </c>
      <c r="C47" s="3313">
        <v>503</v>
      </c>
      <c r="D47" s="3313">
        <v>5</v>
      </c>
      <c r="E47" s="3313">
        <v>840.04</v>
      </c>
      <c r="F47" s="3352" t="s">
        <v>3301</v>
      </c>
    </row>
    <row r="48" spans="1:6">
      <c r="A48" s="3313">
        <v>46</v>
      </c>
      <c r="B48" s="3313" t="s">
        <v>3324</v>
      </c>
      <c r="C48" s="3313">
        <v>601</v>
      </c>
      <c r="D48" s="3313">
        <v>6</v>
      </c>
      <c r="E48" s="3313">
        <v>743.98</v>
      </c>
      <c r="F48" s="3352" t="s">
        <v>3301</v>
      </c>
    </row>
    <row r="49" spans="1:6">
      <c r="A49" s="3313">
        <v>47</v>
      </c>
      <c r="B49" s="3313" t="s">
        <v>3324</v>
      </c>
      <c r="C49" s="3313">
        <v>602</v>
      </c>
      <c r="D49" s="3313">
        <v>6</v>
      </c>
      <c r="E49" s="3313">
        <v>796.57</v>
      </c>
      <c r="F49" s="3352" t="s">
        <v>3301</v>
      </c>
    </row>
    <row r="50" spans="1:6">
      <c r="A50" s="3313">
        <v>48</v>
      </c>
      <c r="B50" s="3313" t="s">
        <v>3324</v>
      </c>
      <c r="C50" s="3313">
        <v>603</v>
      </c>
      <c r="D50" s="3313">
        <v>6</v>
      </c>
      <c r="E50" s="3313">
        <v>840.04</v>
      </c>
      <c r="F50" s="3352" t="s">
        <v>3301</v>
      </c>
    </row>
    <row r="51" spans="1:6">
      <c r="A51" s="3313">
        <v>49</v>
      </c>
      <c r="B51" s="3313" t="s">
        <v>3324</v>
      </c>
      <c r="C51" s="3313">
        <v>701</v>
      </c>
      <c r="D51" s="3313">
        <v>7</v>
      </c>
      <c r="E51" s="3313">
        <v>743.98</v>
      </c>
      <c r="F51" s="3352" t="s">
        <v>3301</v>
      </c>
    </row>
    <row r="52" spans="1:6">
      <c r="A52" s="3313">
        <v>50</v>
      </c>
      <c r="B52" s="3313" t="s">
        <v>3324</v>
      </c>
      <c r="C52" s="3313">
        <v>702</v>
      </c>
      <c r="D52" s="3313">
        <v>7</v>
      </c>
      <c r="E52" s="3313">
        <v>796.57</v>
      </c>
      <c r="F52" s="3352" t="s">
        <v>3301</v>
      </c>
    </row>
    <row r="53" spans="1:6">
      <c r="A53" s="3313">
        <v>51</v>
      </c>
      <c r="B53" s="3313" t="s">
        <v>3324</v>
      </c>
      <c r="C53" s="3313">
        <v>703</v>
      </c>
      <c r="D53" s="3313">
        <v>7</v>
      </c>
      <c r="E53" s="3313">
        <v>840.04</v>
      </c>
      <c r="F53" s="3352" t="s">
        <v>3301</v>
      </c>
    </row>
    <row r="54" spans="1:6">
      <c r="A54" s="3313">
        <v>52</v>
      </c>
      <c r="B54" s="3313" t="s">
        <v>3324</v>
      </c>
      <c r="C54" s="3313">
        <v>801</v>
      </c>
      <c r="D54" s="3313">
        <v>8</v>
      </c>
      <c r="E54" s="3313">
        <v>743.98</v>
      </c>
      <c r="F54" s="3352" t="s">
        <v>3301</v>
      </c>
    </row>
    <row r="55" spans="1:6">
      <c r="A55" s="3313">
        <v>53</v>
      </c>
      <c r="B55" s="3313" t="s">
        <v>3324</v>
      </c>
      <c r="C55" s="3313">
        <v>802</v>
      </c>
      <c r="D55" s="3313">
        <v>8</v>
      </c>
      <c r="E55" s="3313">
        <v>796.57</v>
      </c>
      <c r="F55" s="3352" t="s">
        <v>3301</v>
      </c>
    </row>
    <row r="56" spans="1:6">
      <c r="A56" s="3313">
        <v>54</v>
      </c>
      <c r="B56" s="3313" t="s">
        <v>3324</v>
      </c>
      <c r="C56" s="3313">
        <v>803</v>
      </c>
      <c r="D56" s="3313">
        <v>8</v>
      </c>
      <c r="E56" s="3313">
        <v>840.04</v>
      </c>
      <c r="F56" s="3352" t="s">
        <v>3301</v>
      </c>
    </row>
    <row r="57" spans="1:6">
      <c r="A57" s="3313">
        <v>55</v>
      </c>
      <c r="B57" s="3313" t="s">
        <v>3324</v>
      </c>
      <c r="C57" s="3313">
        <v>901</v>
      </c>
      <c r="D57" s="3313">
        <v>9</v>
      </c>
      <c r="E57" s="3313">
        <v>743.98</v>
      </c>
      <c r="F57" s="3352" t="s">
        <v>3301</v>
      </c>
    </row>
    <row r="58" spans="1:6">
      <c r="A58" s="3313">
        <v>56</v>
      </c>
      <c r="B58" s="3313" t="s">
        <v>3324</v>
      </c>
      <c r="C58" s="3313">
        <v>902</v>
      </c>
      <c r="D58" s="3313">
        <v>9</v>
      </c>
      <c r="E58" s="3313">
        <v>796.57</v>
      </c>
      <c r="F58" s="3352" t="s">
        <v>3301</v>
      </c>
    </row>
    <row r="59" spans="1:6">
      <c r="A59" s="3313">
        <v>57</v>
      </c>
      <c r="B59" s="3313" t="s">
        <v>3324</v>
      </c>
      <c r="C59" s="3313">
        <v>903</v>
      </c>
      <c r="D59" s="3313">
        <v>9</v>
      </c>
      <c r="E59" s="3313">
        <v>840.04</v>
      </c>
      <c r="F59" s="3352" t="s">
        <v>3301</v>
      </c>
    </row>
    <row r="60" spans="1:6">
      <c r="A60" s="3313">
        <v>58</v>
      </c>
      <c r="B60" s="3313" t="s">
        <v>3324</v>
      </c>
      <c r="C60" s="3313">
        <v>1001</v>
      </c>
      <c r="D60" s="3313">
        <v>10</v>
      </c>
      <c r="E60" s="3313">
        <v>743.98</v>
      </c>
      <c r="F60" s="3352" t="s">
        <v>3301</v>
      </c>
    </row>
    <row r="61" spans="1:6">
      <c r="A61" s="3313">
        <v>59</v>
      </c>
      <c r="B61" s="3313" t="s">
        <v>3324</v>
      </c>
      <c r="C61" s="3313">
        <v>1002</v>
      </c>
      <c r="D61" s="3313">
        <v>10</v>
      </c>
      <c r="E61" s="3313">
        <v>796.57</v>
      </c>
      <c r="F61" s="3352" t="s">
        <v>3301</v>
      </c>
    </row>
    <row r="62" spans="1:6">
      <c r="A62" s="3313">
        <v>60</v>
      </c>
      <c r="B62" s="3313" t="s">
        <v>3324</v>
      </c>
      <c r="C62" s="3313">
        <v>1003</v>
      </c>
      <c r="D62" s="3313">
        <v>10</v>
      </c>
      <c r="E62" s="3313">
        <v>840.04</v>
      </c>
      <c r="F62" s="3352" t="s">
        <v>3301</v>
      </c>
    </row>
    <row r="63" spans="1:6">
      <c r="A63" s="3313">
        <v>61</v>
      </c>
      <c r="B63" s="3313" t="s">
        <v>3324</v>
      </c>
      <c r="C63" s="3313">
        <v>1101</v>
      </c>
      <c r="D63" s="3313">
        <v>11</v>
      </c>
      <c r="E63" s="3313">
        <v>743.98</v>
      </c>
      <c r="F63" s="3352" t="s">
        <v>3301</v>
      </c>
    </row>
    <row r="64" spans="1:6">
      <c r="A64" s="3313">
        <v>62</v>
      </c>
      <c r="B64" s="3313" t="s">
        <v>3324</v>
      </c>
      <c r="C64" s="3313">
        <v>1102</v>
      </c>
      <c r="D64" s="3313">
        <v>11</v>
      </c>
      <c r="E64" s="3313">
        <v>796.57</v>
      </c>
      <c r="F64" s="3352" t="s">
        <v>3301</v>
      </c>
    </row>
    <row r="65" spans="1:6">
      <c r="A65" s="3313">
        <v>63</v>
      </c>
      <c r="B65" s="3313" t="s">
        <v>3324</v>
      </c>
      <c r="C65" s="3313">
        <v>1103</v>
      </c>
      <c r="D65" s="3313">
        <v>11</v>
      </c>
      <c r="E65" s="3313">
        <v>840.04</v>
      </c>
      <c r="F65" s="3352" t="s">
        <v>3301</v>
      </c>
    </row>
    <row r="66" spans="1:6">
      <c r="A66" s="3313">
        <v>64</v>
      </c>
      <c r="B66" s="3313" t="s">
        <v>3324</v>
      </c>
      <c r="C66" s="3313">
        <v>1201</v>
      </c>
      <c r="D66" s="3313">
        <v>12</v>
      </c>
      <c r="E66" s="3313">
        <v>644.04999999999995</v>
      </c>
      <c r="F66" s="3352" t="s">
        <v>3301</v>
      </c>
    </row>
    <row r="67" spans="1:6">
      <c r="A67" s="3313">
        <v>65</v>
      </c>
      <c r="B67" s="3313" t="s">
        <v>3324</v>
      </c>
      <c r="C67" s="3313">
        <v>1202</v>
      </c>
      <c r="D67" s="3313">
        <v>12</v>
      </c>
      <c r="E67" s="3313">
        <v>854.58</v>
      </c>
      <c r="F67" s="3352" t="s">
        <v>3301</v>
      </c>
    </row>
    <row r="68" spans="1:6">
      <c r="A68" s="3456" t="s">
        <v>3325</v>
      </c>
      <c r="B68" s="3457"/>
      <c r="C68" s="3458"/>
      <c r="D68" s="3322"/>
      <c r="E68" s="3313">
        <f>SUM(E42:E67)</f>
        <v>20105.010000000002</v>
      </c>
      <c r="F68" s="3352" t="s">
        <v>3641</v>
      </c>
    </row>
    <row r="69" spans="1:6">
      <c r="A69" s="3313">
        <v>66</v>
      </c>
      <c r="B69" s="3313" t="s">
        <v>3326</v>
      </c>
      <c r="C69" s="3313">
        <v>201</v>
      </c>
      <c r="D69" s="3313">
        <v>2</v>
      </c>
      <c r="E69" s="3313">
        <v>615.76</v>
      </c>
      <c r="F69" s="3352" t="s">
        <v>3301</v>
      </c>
    </row>
    <row r="70" spans="1:6">
      <c r="A70" s="3313">
        <v>67</v>
      </c>
      <c r="B70" s="3313" t="s">
        <v>3326</v>
      </c>
      <c r="C70" s="3313">
        <v>202</v>
      </c>
      <c r="D70" s="3313">
        <v>2</v>
      </c>
      <c r="E70" s="3313">
        <v>560.77</v>
      </c>
      <c r="F70" s="3352" t="s">
        <v>3301</v>
      </c>
    </row>
    <row r="71" spans="1:6">
      <c r="A71" s="3313">
        <v>68</v>
      </c>
      <c r="B71" s="3313" t="s">
        <v>3326</v>
      </c>
      <c r="C71" s="3313">
        <v>301</v>
      </c>
      <c r="D71" s="3313">
        <v>3</v>
      </c>
      <c r="E71" s="3313">
        <v>1019.75</v>
      </c>
      <c r="F71" s="3352" t="s">
        <v>3301</v>
      </c>
    </row>
    <row r="72" spans="1:6">
      <c r="A72" s="3313">
        <v>69</v>
      </c>
      <c r="B72" s="3313" t="s">
        <v>3326</v>
      </c>
      <c r="C72" s="3313">
        <v>302</v>
      </c>
      <c r="D72" s="3313">
        <v>3</v>
      </c>
      <c r="E72" s="3313">
        <v>905.43</v>
      </c>
      <c r="F72" s="3352" t="s">
        <v>3301</v>
      </c>
    </row>
    <row r="73" spans="1:6">
      <c r="A73" s="3313">
        <v>70</v>
      </c>
      <c r="B73" s="3313" t="s">
        <v>3326</v>
      </c>
      <c r="C73" s="3313">
        <v>401</v>
      </c>
      <c r="D73" s="3313">
        <v>4</v>
      </c>
      <c r="E73" s="3313">
        <v>1021.59</v>
      </c>
      <c r="F73" s="3352" t="s">
        <v>3301</v>
      </c>
    </row>
    <row r="74" spans="1:6">
      <c r="A74" s="3313">
        <v>71</v>
      </c>
      <c r="B74" s="3313" t="s">
        <v>3326</v>
      </c>
      <c r="C74" s="3313">
        <v>402</v>
      </c>
      <c r="D74" s="3313">
        <v>4</v>
      </c>
      <c r="E74" s="3313">
        <v>926.85</v>
      </c>
      <c r="F74" s="3352" t="s">
        <v>3301</v>
      </c>
    </row>
    <row r="75" spans="1:6">
      <c r="A75" s="3313">
        <v>72</v>
      </c>
      <c r="B75" s="3313" t="s">
        <v>3326</v>
      </c>
      <c r="C75" s="3313">
        <v>501</v>
      </c>
      <c r="D75" s="3313">
        <v>5</v>
      </c>
      <c r="E75" s="3313">
        <v>1021.59</v>
      </c>
      <c r="F75" s="3352" t="s">
        <v>3301</v>
      </c>
    </row>
    <row r="76" spans="1:6">
      <c r="A76" s="3313">
        <v>73</v>
      </c>
      <c r="B76" s="3313" t="s">
        <v>3326</v>
      </c>
      <c r="C76" s="3313">
        <v>502</v>
      </c>
      <c r="D76" s="3313">
        <v>5</v>
      </c>
      <c r="E76" s="3313">
        <v>926.85</v>
      </c>
      <c r="F76" s="3352" t="s">
        <v>3301</v>
      </c>
    </row>
    <row r="77" spans="1:6">
      <c r="A77" s="3313">
        <v>74</v>
      </c>
      <c r="B77" s="3313" t="s">
        <v>3326</v>
      </c>
      <c r="C77" s="3313">
        <v>601</v>
      </c>
      <c r="D77" s="3313">
        <v>6</v>
      </c>
      <c r="E77" s="3313">
        <v>1021.59</v>
      </c>
      <c r="F77" s="3352" t="s">
        <v>3301</v>
      </c>
    </row>
    <row r="78" spans="1:6">
      <c r="A78" s="3313">
        <v>75</v>
      </c>
      <c r="B78" s="3313" t="s">
        <v>3326</v>
      </c>
      <c r="C78" s="3313">
        <v>602</v>
      </c>
      <c r="D78" s="3313">
        <v>6</v>
      </c>
      <c r="E78" s="3313">
        <v>926.85</v>
      </c>
      <c r="F78" s="3352" t="s">
        <v>3301</v>
      </c>
    </row>
    <row r="79" spans="1:6">
      <c r="A79" s="3313">
        <v>76</v>
      </c>
      <c r="B79" s="3313" t="s">
        <v>3326</v>
      </c>
      <c r="C79" s="3313">
        <v>701</v>
      </c>
      <c r="D79" s="3313">
        <v>7</v>
      </c>
      <c r="E79" s="3313">
        <v>1021.59</v>
      </c>
      <c r="F79" s="3352" t="s">
        <v>3301</v>
      </c>
    </row>
    <row r="80" spans="1:6">
      <c r="A80" s="3313">
        <v>77</v>
      </c>
      <c r="B80" s="3313" t="s">
        <v>3326</v>
      </c>
      <c r="C80" s="3313">
        <v>702</v>
      </c>
      <c r="D80" s="3313">
        <v>7</v>
      </c>
      <c r="E80" s="3313">
        <v>926.85</v>
      </c>
      <c r="F80" s="3352" t="s">
        <v>3301</v>
      </c>
    </row>
    <row r="81" spans="1:6">
      <c r="A81" s="3313">
        <v>78</v>
      </c>
      <c r="B81" s="3313" t="s">
        <v>3326</v>
      </c>
      <c r="C81" s="3313">
        <v>801</v>
      </c>
      <c r="D81" s="3313">
        <v>8</v>
      </c>
      <c r="E81" s="3313">
        <v>1021.59</v>
      </c>
      <c r="F81" s="3352" t="s">
        <v>3301</v>
      </c>
    </row>
    <row r="82" spans="1:6">
      <c r="A82" s="3313">
        <v>79</v>
      </c>
      <c r="B82" s="3313" t="s">
        <v>3326</v>
      </c>
      <c r="C82" s="3313">
        <v>802</v>
      </c>
      <c r="D82" s="3313">
        <v>8</v>
      </c>
      <c r="E82" s="3313">
        <v>926.85</v>
      </c>
      <c r="F82" s="3352" t="s">
        <v>3301</v>
      </c>
    </row>
    <row r="83" spans="1:6">
      <c r="A83" s="3313">
        <v>80</v>
      </c>
      <c r="B83" s="3313" t="s">
        <v>3326</v>
      </c>
      <c r="C83" s="3313">
        <v>901</v>
      </c>
      <c r="D83" s="3313">
        <v>9</v>
      </c>
      <c r="E83" s="3313">
        <v>1021.59</v>
      </c>
      <c r="F83" s="3352" t="s">
        <v>3301</v>
      </c>
    </row>
    <row r="84" spans="1:6">
      <c r="A84" s="3313">
        <v>81</v>
      </c>
      <c r="B84" s="3313" t="s">
        <v>3326</v>
      </c>
      <c r="C84" s="3313">
        <v>902</v>
      </c>
      <c r="D84" s="3313">
        <v>9</v>
      </c>
      <c r="E84" s="3313">
        <v>926.85</v>
      </c>
      <c r="F84" s="3352" t="s">
        <v>3301</v>
      </c>
    </row>
    <row r="85" spans="1:6">
      <c r="A85" s="3313">
        <v>82</v>
      </c>
      <c r="B85" s="3313" t="s">
        <v>3326</v>
      </c>
      <c r="C85" s="3313">
        <v>1001</v>
      </c>
      <c r="D85" s="3313">
        <v>10</v>
      </c>
      <c r="E85" s="3313">
        <v>1021.59</v>
      </c>
      <c r="F85" s="3352" t="s">
        <v>3301</v>
      </c>
    </row>
    <row r="86" spans="1:6">
      <c r="A86" s="3313">
        <v>83</v>
      </c>
      <c r="B86" s="3313" t="s">
        <v>3326</v>
      </c>
      <c r="C86" s="3313">
        <v>1002</v>
      </c>
      <c r="D86" s="3313">
        <v>10</v>
      </c>
      <c r="E86" s="3313">
        <v>926.85</v>
      </c>
      <c r="F86" s="3352" t="s">
        <v>3301</v>
      </c>
    </row>
    <row r="87" spans="1:6">
      <c r="A87" s="3313">
        <v>84</v>
      </c>
      <c r="B87" s="3313" t="s">
        <v>3326</v>
      </c>
      <c r="C87" s="3313">
        <v>1101</v>
      </c>
      <c r="D87" s="3313">
        <v>11</v>
      </c>
      <c r="E87" s="3313">
        <v>1021.59</v>
      </c>
      <c r="F87" s="3352" t="s">
        <v>3301</v>
      </c>
    </row>
    <row r="88" spans="1:6">
      <c r="A88" s="3313">
        <v>85</v>
      </c>
      <c r="B88" s="3313" t="s">
        <v>3326</v>
      </c>
      <c r="C88" s="3313">
        <v>1102</v>
      </c>
      <c r="D88" s="3313">
        <v>11</v>
      </c>
      <c r="E88" s="3313">
        <v>926.85</v>
      </c>
      <c r="F88" s="3352" t="s">
        <v>3301</v>
      </c>
    </row>
    <row r="89" spans="1:6">
      <c r="A89" s="3313">
        <v>86</v>
      </c>
      <c r="B89" s="3313" t="s">
        <v>3326</v>
      </c>
      <c r="C89" s="3313">
        <v>1201</v>
      </c>
      <c r="D89" s="3313">
        <v>12</v>
      </c>
      <c r="E89" s="3313">
        <v>1021.59</v>
      </c>
      <c r="F89" s="3352" t="s">
        <v>3301</v>
      </c>
    </row>
    <row r="90" spans="1:6">
      <c r="A90" s="3313">
        <v>87</v>
      </c>
      <c r="B90" s="3313" t="s">
        <v>3326</v>
      </c>
      <c r="C90" s="3313">
        <v>1202</v>
      </c>
      <c r="D90" s="3313">
        <v>12</v>
      </c>
      <c r="E90" s="3313">
        <v>926.85</v>
      </c>
      <c r="F90" s="3352" t="s">
        <v>3301</v>
      </c>
    </row>
    <row r="91" spans="1:6">
      <c r="A91" s="3313">
        <v>88</v>
      </c>
      <c r="B91" s="3313" t="s">
        <v>3326</v>
      </c>
      <c r="C91" s="3313">
        <v>1301</v>
      </c>
      <c r="D91" s="3313">
        <v>13</v>
      </c>
      <c r="E91" s="3313">
        <v>2180.09</v>
      </c>
      <c r="F91" s="3352" t="s">
        <v>3301</v>
      </c>
    </row>
    <row r="92" spans="1:6">
      <c r="A92" s="3456" t="s">
        <v>3327</v>
      </c>
      <c r="B92" s="3457"/>
      <c r="C92" s="3458"/>
      <c r="D92" s="3352" t="s">
        <v>3641</v>
      </c>
      <c r="E92" s="3313">
        <f>SUM(E69:E91)</f>
        <v>22817.759999999998</v>
      </c>
      <c r="F92" s="3352" t="s">
        <v>3641</v>
      </c>
    </row>
    <row r="93" spans="1:6">
      <c r="A93" s="3459" t="s">
        <v>3640</v>
      </c>
      <c r="B93" s="3460"/>
      <c r="C93" s="3461"/>
      <c r="D93" s="3353"/>
      <c r="E93" s="3313">
        <f>SUM(E92,E68,E41)</f>
        <v>69011.600000000006</v>
      </c>
      <c r="F93" s="3352" t="s">
        <v>3641</v>
      </c>
    </row>
    <row r="94" spans="1:6">
      <c r="A94" s="3313">
        <v>89</v>
      </c>
      <c r="B94" s="3352" t="s">
        <v>3311</v>
      </c>
      <c r="C94" s="3352" t="s">
        <v>3641</v>
      </c>
      <c r="D94" s="3352" t="s">
        <v>3643</v>
      </c>
      <c r="E94" s="3313">
        <v>36196.78</v>
      </c>
      <c r="F94" s="3352" t="s">
        <v>3302</v>
      </c>
    </row>
    <row r="95" spans="1:6">
      <c r="A95" s="3313">
        <v>90</v>
      </c>
      <c r="B95" s="3352" t="s">
        <v>3313</v>
      </c>
      <c r="C95" s="3352" t="s">
        <v>3641</v>
      </c>
      <c r="D95" s="3352">
        <v>-1</v>
      </c>
      <c r="E95" s="3313">
        <f>面积及拆分价值!H7</f>
        <v>10983.66</v>
      </c>
      <c r="F95" s="3352" t="s">
        <v>3302</v>
      </c>
    </row>
    <row r="96" spans="1:6">
      <c r="A96" s="3313">
        <v>91</v>
      </c>
      <c r="B96" s="3352" t="s">
        <v>3313</v>
      </c>
      <c r="C96" s="3352" t="s">
        <v>3641</v>
      </c>
      <c r="D96" s="3354" t="s">
        <v>3644</v>
      </c>
      <c r="E96" s="3313">
        <f>面积及拆分价值!I7</f>
        <v>59578.47</v>
      </c>
      <c r="F96" s="3352" t="s">
        <v>3304</v>
      </c>
    </row>
    <row r="97" spans="1:6">
      <c r="A97" s="3313">
        <v>92</v>
      </c>
      <c r="B97" s="3352" t="s">
        <v>3313</v>
      </c>
      <c r="C97" s="3352" t="s">
        <v>3641</v>
      </c>
      <c r="D97" s="3354" t="s">
        <v>3641</v>
      </c>
      <c r="E97" s="3313">
        <f>面积及拆分价值!J7</f>
        <v>1057.8499999999999</v>
      </c>
      <c r="F97" s="3352" t="s">
        <v>3305</v>
      </c>
    </row>
    <row r="98" spans="1:6">
      <c r="A98" s="3459" t="s">
        <v>3645</v>
      </c>
      <c r="B98" s="3460" t="s">
        <v>3645</v>
      </c>
      <c r="C98" s="3461"/>
      <c r="D98" s="3352" t="s">
        <v>3641</v>
      </c>
      <c r="E98" s="3313">
        <f>SUM(E93:E97)</f>
        <v>176828.36000000002</v>
      </c>
      <c r="F98" s="3352" t="s">
        <v>3641</v>
      </c>
    </row>
  </sheetData>
  <mergeCells count="5">
    <mergeCell ref="A92:C92"/>
    <mergeCell ref="A93:C93"/>
    <mergeCell ref="A68:C68"/>
    <mergeCell ref="A41:C41"/>
    <mergeCell ref="A98:C98"/>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V33"/>
  <sheetViews>
    <sheetView view="pageBreakPreview" zoomScale="70" zoomScaleNormal="100" zoomScaleSheetLayoutView="70" workbookViewId="0">
      <selection activeCell="D3" sqref="D3"/>
    </sheetView>
  </sheetViews>
  <sheetFormatPr defaultColWidth="9.08984375" defaultRowHeight="14"/>
  <cols>
    <col min="1" max="1" width="12.08984375" style="1752" customWidth="1"/>
    <col min="2" max="2" width="10.08984375" style="1752" customWidth="1"/>
    <col min="3" max="3" width="18.453125" style="1752" customWidth="1"/>
    <col min="4" max="4" width="11.6328125" style="1752" customWidth="1"/>
    <col min="5" max="5" width="13.36328125" style="1752" customWidth="1"/>
    <col min="6" max="8" width="11.453125" style="1752" customWidth="1"/>
    <col min="9" max="9" width="11.08984375" style="1752" customWidth="1"/>
    <col min="10" max="10" width="3.08984375" style="2799" customWidth="1"/>
    <col min="11" max="16" width="10" style="1752" customWidth="1"/>
    <col min="17" max="17" width="2.6328125" style="1752" customWidth="1"/>
    <col min="18" max="18" width="9.36328125" style="1752" bestFit="1" customWidth="1"/>
    <col min="19" max="19" width="10.453125" style="1752" bestFit="1" customWidth="1"/>
    <col min="20" max="21" width="9.08984375" style="1752"/>
    <col min="22" max="22" width="13.36328125" style="1752" bestFit="1" customWidth="1"/>
    <col min="23" max="16384" width="9.08984375" style="1752"/>
  </cols>
  <sheetData>
    <row r="1" spans="1:16" ht="18.5" thickBot="1">
      <c r="A1" s="1751" t="s">
        <v>1572</v>
      </c>
      <c r="B1" s="1233"/>
      <c r="C1" s="1233"/>
      <c r="D1" s="1233"/>
      <c r="E1" s="1233"/>
      <c r="F1" s="1233"/>
      <c r="G1" s="1233"/>
      <c r="H1" s="1233"/>
      <c r="I1" s="1233"/>
      <c r="J1" s="1233"/>
      <c r="K1" s="1233"/>
      <c r="L1" s="1233"/>
      <c r="M1" s="1233"/>
      <c r="N1" s="1233"/>
      <c r="O1" s="1233"/>
      <c r="P1" s="1233"/>
    </row>
    <row r="2" spans="1:16">
      <c r="A2" s="3471" t="s">
        <v>1573</v>
      </c>
      <c r="B2" s="3471"/>
      <c r="C2" s="3471"/>
      <c r="D2" s="865" t="s">
        <v>1549</v>
      </c>
      <c r="E2" s="1753" t="s">
        <v>1550</v>
      </c>
      <c r="F2" s="2809"/>
      <c r="G2" s="2800"/>
      <c r="H2" s="2801"/>
      <c r="I2" s="2476" t="s">
        <v>1574</v>
      </c>
      <c r="J2" s="2809"/>
      <c r="K2" s="2809"/>
      <c r="L2" s="2809"/>
      <c r="M2" s="2809"/>
      <c r="N2" s="2811"/>
      <c r="O2" s="2809"/>
      <c r="P2" s="2809"/>
    </row>
    <row r="3" spans="1:16" ht="14.5" thickBot="1">
      <c r="A3" s="3472" t="s">
        <v>1547</v>
      </c>
      <c r="B3" s="3472"/>
      <c r="C3" s="3472"/>
      <c r="D3" s="46">
        <f>'数据-基础表'!AY6</f>
        <v>35673.11</v>
      </c>
      <c r="E3" s="46">
        <f>'数据-基础表'!AZ5</f>
        <v>175770.51</v>
      </c>
      <c r="F3" s="2809"/>
      <c r="G3" s="1239"/>
      <c r="H3" s="1117" t="s">
        <v>1548</v>
      </c>
      <c r="I3" s="925">
        <f>ROUND('数据-基础表'!B3/'数据-基础表'!A3,2)</f>
        <v>4.93</v>
      </c>
      <c r="J3" s="2809"/>
      <c r="K3" s="2809"/>
      <c r="L3" s="2809"/>
      <c r="M3" s="2809"/>
      <c r="N3" s="2811"/>
      <c r="O3" s="2809"/>
      <c r="P3" s="2809"/>
    </row>
    <row r="4" spans="1:16">
      <c r="A4" s="3473"/>
      <c r="B4" s="3474"/>
      <c r="C4" s="3475"/>
      <c r="D4" s="1755" t="s">
        <v>1549</v>
      </c>
      <c r="E4" s="1756" t="s">
        <v>1550</v>
      </c>
      <c r="F4" s="2809"/>
      <c r="G4" s="2802" t="s">
        <v>1575</v>
      </c>
      <c r="H4" s="1117" t="s">
        <v>1555</v>
      </c>
      <c r="I4" s="925">
        <f>ROUND(SUMIF('数据-基础表'!I9:AS9,"地上",'数据-基础表'!I5:AS5)/'数据-基础表'!A3,2)</f>
        <v>2.95</v>
      </c>
      <c r="J4" s="2809"/>
      <c r="K4" s="2809"/>
      <c r="L4" s="2809"/>
      <c r="M4" s="2809"/>
      <c r="N4" s="2811"/>
      <c r="O4" s="2809"/>
      <c r="P4" s="2809"/>
    </row>
    <row r="5" spans="1:16">
      <c r="A5" s="47" t="s">
        <v>1551</v>
      </c>
      <c r="B5" s="3476" t="s">
        <v>1552</v>
      </c>
      <c r="C5" s="3476"/>
      <c r="D5" s="48">
        <f>ROUND($D$3*E5/$E$3,2)</f>
        <v>0</v>
      </c>
      <c r="E5" s="49">
        <f>SUMIF('数据-基础表'!$11:$11,"住宅",'数据-基础表'!$5:$5)</f>
        <v>0</v>
      </c>
      <c r="F5" s="2809"/>
      <c r="G5" s="1239"/>
      <c r="H5" s="1117" t="s">
        <v>1548</v>
      </c>
      <c r="I5" s="925">
        <f>ROUND(E31/D31,2)</f>
        <v>4.93</v>
      </c>
      <c r="J5" s="2809"/>
      <c r="K5" s="2809"/>
      <c r="L5" s="2809"/>
      <c r="M5" s="2809"/>
      <c r="N5" s="2809"/>
      <c r="O5" s="2809"/>
      <c r="P5" s="2809"/>
    </row>
    <row r="6" spans="1:16" ht="14.5" thickBot="1">
      <c r="A6" s="1758"/>
      <c r="B6" s="3476" t="s">
        <v>1553</v>
      </c>
      <c r="C6" s="3476"/>
      <c r="D6" s="48">
        <f>ROUND($D$3*E6/$E$3,2)</f>
        <v>35673.11</v>
      </c>
      <c r="E6" s="49">
        <f>E3-E5</f>
        <v>175770.51</v>
      </c>
      <c r="F6" s="2809"/>
      <c r="G6" s="2803" t="s">
        <v>1554</v>
      </c>
      <c r="H6" s="1240" t="s">
        <v>1555</v>
      </c>
      <c r="I6" s="2804">
        <f>ROUND(F31/D31,2)</f>
        <v>2.95</v>
      </c>
      <c r="J6" s="2809"/>
      <c r="K6" s="2809"/>
      <c r="L6" s="2809"/>
      <c r="M6" s="2809"/>
      <c r="N6" s="2809"/>
      <c r="O6" s="2809"/>
      <c r="P6" s="2809"/>
    </row>
    <row r="7" spans="1:16" ht="14.5" thickBot="1">
      <c r="A7" s="3468"/>
      <c r="B7" s="3469"/>
      <c r="C7" s="3470"/>
      <c r="D7" s="1755" t="s">
        <v>1549</v>
      </c>
      <c r="E7" s="1759" t="s">
        <v>1556</v>
      </c>
      <c r="F7" s="2809"/>
      <c r="G7" s="2805" t="s">
        <v>1557</v>
      </c>
      <c r="H7" s="2806"/>
      <c r="I7" s="2807">
        <f>I4</f>
        <v>2.95</v>
      </c>
      <c r="J7" s="2809"/>
      <c r="K7" s="2809"/>
      <c r="L7" s="2809"/>
      <c r="M7" s="2809"/>
      <c r="N7" s="2809"/>
      <c r="O7" s="2809"/>
      <c r="P7" s="2809"/>
    </row>
    <row r="8" spans="1:16">
      <c r="A8" s="47" t="s">
        <v>1558</v>
      </c>
      <c r="B8" s="50" t="s">
        <v>1559</v>
      </c>
      <c r="C8" s="48" t="s">
        <v>1560</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1561</v>
      </c>
      <c r="D9" s="48">
        <f t="shared" si="0"/>
        <v>0</v>
      </c>
      <c r="E9" s="52">
        <v>0</v>
      </c>
      <c r="F9" s="2809"/>
      <c r="G9" s="2810"/>
      <c r="H9" s="2810"/>
      <c r="I9" s="2809"/>
      <c r="J9" s="2809"/>
      <c r="K9" s="2809"/>
      <c r="L9" s="2809"/>
      <c r="M9" s="2809"/>
      <c r="N9" s="2809"/>
      <c r="O9" s="2809"/>
      <c r="P9" s="2809"/>
    </row>
    <row r="10" spans="1:16">
      <c r="A10" s="1760"/>
      <c r="B10" s="1761"/>
      <c r="C10" s="48" t="s">
        <v>1570</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1562</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1563</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1564</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1576</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4.5" thickBot="1">
      <c r="A15" s="1760"/>
      <c r="B15" s="1761"/>
      <c r="C15" s="48" t="s">
        <v>1571</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4.5" thickBot="1">
      <c r="A16" s="1758"/>
      <c r="B16" s="1761"/>
      <c r="C16" s="50" t="s">
        <v>1565</v>
      </c>
      <c r="D16" s="50">
        <f>SUM(D8:D15)</f>
        <v>35673.100000000006</v>
      </c>
      <c r="E16" s="53">
        <f>SUM(E8:E15)</f>
        <v>175770.51</v>
      </c>
      <c r="F16" s="2809"/>
      <c r="G16" s="2810"/>
      <c r="H16" s="1762" t="s">
        <v>1577</v>
      </c>
      <c r="I16" s="1763"/>
      <c r="J16" s="1233"/>
      <c r="K16" s="3465" t="s">
        <v>1577</v>
      </c>
      <c r="L16" s="3466"/>
      <c r="M16" s="3466"/>
      <c r="N16" s="3466"/>
      <c r="O16" s="3466"/>
      <c r="P16" s="3467"/>
    </row>
    <row r="17" spans="1:22">
      <c r="A17" s="1764" t="s">
        <v>1578</v>
      </c>
      <c r="B17" s="1765" t="s">
        <v>1579</v>
      </c>
      <c r="C17" s="1766" t="s">
        <v>1580</v>
      </c>
      <c r="D17" s="1767" t="s">
        <v>1568</v>
      </c>
      <c r="E17" s="1768" t="s">
        <v>1569</v>
      </c>
      <c r="F17" s="1769"/>
      <c r="G17" s="1770"/>
      <c r="H17" s="1771" t="s">
        <v>1581</v>
      </c>
      <c r="I17" s="1772" t="s">
        <v>1566</v>
      </c>
      <c r="J17" s="1233"/>
      <c r="K17" s="3462" t="s">
        <v>1582</v>
      </c>
      <c r="L17" s="3463"/>
      <c r="M17" s="3464"/>
      <c r="N17" s="3462" t="s">
        <v>1583</v>
      </c>
      <c r="O17" s="3463"/>
      <c r="P17" s="3464"/>
      <c r="R17" s="1754" t="s">
        <v>1584</v>
      </c>
      <c r="S17" s="60"/>
    </row>
    <row r="18" spans="1:22">
      <c r="A18" s="1760"/>
      <c r="B18" s="1773"/>
      <c r="C18" s="1774"/>
      <c r="D18" s="1775"/>
      <c r="E18" s="1776" t="s">
        <v>1585</v>
      </c>
      <c r="F18" s="1777" t="s">
        <v>1586</v>
      </c>
      <c r="G18" s="1778" t="s">
        <v>1587</v>
      </c>
      <c r="H18" s="1132" t="s">
        <v>1588</v>
      </c>
      <c r="I18" s="1779" t="s">
        <v>1589</v>
      </c>
      <c r="J18" s="1233"/>
      <c r="K18" s="1132" t="s">
        <v>1590</v>
      </c>
      <c r="L18" s="1780" t="s">
        <v>1591</v>
      </c>
      <c r="M18" s="925" t="s">
        <v>1592</v>
      </c>
      <c r="N18" s="1132" t="s">
        <v>1590</v>
      </c>
      <c r="O18" s="1780" t="s">
        <v>1591</v>
      </c>
      <c r="P18" s="925" t="s">
        <v>1592</v>
      </c>
      <c r="R18" s="1117" t="s">
        <v>1593</v>
      </c>
      <c r="S18" s="1117" t="s">
        <v>1594</v>
      </c>
    </row>
    <row r="19" spans="1:22">
      <c r="A19" s="1781"/>
      <c r="B19" s="50" t="s">
        <v>1567</v>
      </c>
      <c r="C19" s="3202" t="s">
        <v>183</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1595</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1595</v>
      </c>
      <c r="C21" s="3315" t="s">
        <v>3331</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1595</v>
      </c>
      <c r="C22" s="3317" t="s">
        <v>3655</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1595</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1595</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1595</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1595</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8.5" thickBot="1">
      <c r="A27" s="1784"/>
      <c r="B27" s="48"/>
      <c r="C27" s="1787" t="s">
        <v>1596</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1597</v>
      </c>
      <c r="C28" s="1129" t="s">
        <v>1598</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1597</v>
      </c>
      <c r="C29" s="1788" t="s">
        <v>1599</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c r="A30" s="1784"/>
      <c r="B30" s="50"/>
      <c r="C30" s="1789" t="s">
        <v>1596</v>
      </c>
      <c r="D30" s="1234">
        <f>SUM(D28:D29)</f>
        <v>0</v>
      </c>
      <c r="E30" s="1234">
        <f>SUM(E28:E29)</f>
        <v>0</v>
      </c>
      <c r="F30" s="1234">
        <f>SUM(F28:F29)</f>
        <v>0</v>
      </c>
      <c r="G30" s="1236">
        <f>SUM(G28:G29)</f>
        <v>0</v>
      </c>
      <c r="H30" s="2809"/>
      <c r="I30" s="2809"/>
      <c r="J30" s="2809"/>
      <c r="K30" s="2809"/>
      <c r="L30" s="2809"/>
      <c r="M30" s="2809"/>
      <c r="N30" s="2809"/>
      <c r="O30" s="2809"/>
      <c r="P30" s="2809"/>
    </row>
    <row r="31" spans="1:22" ht="14.5" thickBot="1">
      <c r="A31" s="1790"/>
      <c r="B31" s="1791"/>
      <c r="C31" s="905" t="s">
        <v>1600</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1601</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AG6" activePane="bottomRight" state="frozen"/>
      <selection activeCell="C50" sqref="C50"/>
      <selection pane="topRight" activeCell="C50" sqref="C50"/>
      <selection pane="bottomLeft" activeCell="C50" sqref="C50"/>
      <selection pane="bottomRight" activeCell="K16" sqref="K16"/>
    </sheetView>
  </sheetViews>
  <sheetFormatPr defaultColWidth="13.90625" defaultRowHeight="12.5"/>
  <cols>
    <col min="1" max="1" width="20.90625" style="1859" customWidth="1"/>
    <col min="2" max="2" width="12" style="1796" customWidth="1"/>
    <col min="3" max="3" width="12.90625" style="1796" customWidth="1"/>
    <col min="4" max="4" width="9.08984375" style="1860" customWidth="1"/>
    <col min="5" max="5" width="15" style="1796" bestFit="1" customWidth="1"/>
    <col min="6" max="10" width="8.90625" style="1796" customWidth="1"/>
    <col min="11" max="12" width="12.36328125" style="1715" customWidth="1"/>
    <col min="13" max="13" width="8.6328125" style="1796" customWidth="1"/>
    <col min="14" max="14" width="11.90625" style="1796" customWidth="1"/>
    <col min="15" max="15" width="8.453125" style="1796" customWidth="1"/>
    <col min="16" max="17" width="10.90625" style="1796" customWidth="1"/>
    <col min="18" max="19" width="12.453125" style="1796" customWidth="1"/>
    <col min="20" max="20" width="12.08984375" style="1796" customWidth="1"/>
    <col min="21" max="21" width="7.453125" style="1796" customWidth="1"/>
    <col min="22" max="22" width="6.36328125" style="1796" customWidth="1"/>
    <col min="23" max="30" width="6.90625" style="1796" customWidth="1"/>
    <col min="31" max="31" width="8" style="1796" customWidth="1"/>
    <col min="32" max="34" width="7.08984375" style="1796" customWidth="1"/>
    <col min="35" max="39" width="8" style="1796" customWidth="1"/>
    <col min="40" max="40" width="13.90625" style="1795"/>
    <col min="41" max="41" width="11.6328125" style="1795" customWidth="1"/>
    <col min="42" max="42" width="9.90625" style="1795" customWidth="1"/>
    <col min="43" max="67" width="13.90625" style="1795"/>
    <col min="68" max="16384" width="13.90625" style="1796"/>
  </cols>
  <sheetData>
    <row r="1" spans="1:67" ht="18" thickBot="1">
      <c r="A1" s="1793" t="s">
        <v>1602</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 thickBot="1">
      <c r="A2" s="1797" t="s">
        <v>1603</v>
      </c>
      <c r="B2" s="1136">
        <f>项目基本情况!D3</f>
        <v>44693</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4.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4.5" thickBot="1">
      <c r="A4" s="64" t="s">
        <v>1604</v>
      </c>
      <c r="B4" s="1802"/>
      <c r="C4" s="1803"/>
      <c r="D4" s="1804"/>
      <c r="E4" s="1803" t="s">
        <v>1605</v>
      </c>
      <c r="F4" s="1803"/>
      <c r="G4" s="1803"/>
      <c r="H4" s="1803"/>
      <c r="I4" s="1803"/>
      <c r="J4" s="1805"/>
      <c r="K4" s="1806"/>
      <c r="L4" s="1807"/>
      <c r="M4" s="1803"/>
      <c r="N4" s="1803" t="s">
        <v>1606</v>
      </c>
      <c r="O4" s="1803"/>
      <c r="P4" s="1803"/>
      <c r="Q4" s="1803"/>
      <c r="R4" s="1803"/>
      <c r="S4" s="1805"/>
      <c r="T4" s="2808" t="str">
        <f>'数据-汇总表'!I17</f>
        <v>按面积比例</v>
      </c>
      <c r="U4" s="1802" t="s">
        <v>1607</v>
      </c>
      <c r="V4" s="1803"/>
      <c r="W4" s="1803"/>
      <c r="X4" s="1803"/>
      <c r="Y4" s="1805"/>
      <c r="Z4" s="1766" t="s">
        <v>1608</v>
      </c>
      <c r="AA4" s="1766"/>
      <c r="AB4" s="1766"/>
      <c r="AC4" s="1766"/>
      <c r="AD4" s="1766"/>
      <c r="AE4" s="1764" t="s">
        <v>1609</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56.5">
      <c r="A5" s="1809" t="s">
        <v>1610</v>
      </c>
      <c r="B5" s="1810" t="s">
        <v>1611</v>
      </c>
      <c r="C5" s="1811" t="s">
        <v>1612</v>
      </c>
      <c r="D5" s="1812" t="s">
        <v>1613</v>
      </c>
      <c r="E5" s="1138" t="s">
        <v>1614</v>
      </c>
      <c r="F5" s="1813" t="s">
        <v>1615</v>
      </c>
      <c r="G5" s="1138" t="s">
        <v>1616</v>
      </c>
      <c r="H5" s="1138" t="s">
        <v>1617</v>
      </c>
      <c r="I5" s="1138" t="s">
        <v>1618</v>
      </c>
      <c r="J5" s="1814" t="s">
        <v>1619</v>
      </c>
      <c r="K5" s="1815" t="s">
        <v>1620</v>
      </c>
      <c r="L5" s="1816" t="s">
        <v>1621</v>
      </c>
      <c r="M5" s="1817" t="s">
        <v>1622</v>
      </c>
      <c r="N5" s="1818" t="s">
        <v>3176</v>
      </c>
      <c r="O5" s="1816" t="s">
        <v>1623</v>
      </c>
      <c r="P5" s="1819" t="s">
        <v>1624</v>
      </c>
      <c r="Q5" s="65" t="s">
        <v>1625</v>
      </c>
      <c r="R5" s="1820" t="s">
        <v>1626</v>
      </c>
      <c r="S5" s="1821" t="s">
        <v>1627</v>
      </c>
      <c r="T5" s="1822" t="s">
        <v>1628</v>
      </c>
      <c r="U5" s="1137" t="s">
        <v>1629</v>
      </c>
      <c r="V5" s="1138" t="s">
        <v>1630</v>
      </c>
      <c r="W5" s="1138" t="s">
        <v>1631</v>
      </c>
      <c r="X5" s="67"/>
      <c r="Y5" s="66" t="s">
        <v>1632</v>
      </c>
      <c r="Z5" s="1823" t="s">
        <v>1629</v>
      </c>
      <c r="AA5" s="1138" t="s">
        <v>1630</v>
      </c>
      <c r="AB5" s="1138" t="s">
        <v>1631</v>
      </c>
      <c r="AC5" s="67"/>
      <c r="AD5" s="67" t="s">
        <v>1632</v>
      </c>
      <c r="AE5" s="1137" t="s">
        <v>1633</v>
      </c>
      <c r="AF5" s="1138" t="s">
        <v>1634</v>
      </c>
      <c r="AG5" s="66" t="s">
        <v>1635</v>
      </c>
      <c r="AH5" s="1137" t="s">
        <v>1636</v>
      </c>
      <c r="AI5" s="1823" t="s">
        <v>1637</v>
      </c>
      <c r="AJ5" s="1823" t="s">
        <v>1638</v>
      </c>
      <c r="AK5" s="1138" t="s">
        <v>1639</v>
      </c>
      <c r="AL5" s="1138" t="s">
        <v>1640</v>
      </c>
      <c r="AM5" s="66" t="s">
        <v>1641</v>
      </c>
      <c r="AN5" s="1824" t="s">
        <v>1642</v>
      </c>
      <c r="AO5" s="1676" t="s">
        <v>1643</v>
      </c>
      <c r="AP5" s="1119" t="s">
        <v>1644</v>
      </c>
      <c r="AQ5" s="1825" t="s">
        <v>1645</v>
      </c>
      <c r="AR5" s="1825" t="s">
        <v>1646</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
      <c r="A6" s="1826" t="str">
        <f>'数据-汇总表'!C19</f>
        <v>商业</v>
      </c>
      <c r="B6" s="1827" t="str">
        <f>IF(A6=0,"","经营性")</f>
        <v>经营性</v>
      </c>
      <c r="C6" s="3204" t="s">
        <v>1099</v>
      </c>
      <c r="D6" s="928">
        <f>SUMIF(项目基本情况!D$12:I$12,C6,项目基本情况!D$14:I$14)</f>
        <v>40</v>
      </c>
      <c r="E6" s="927">
        <f>IF(B6="","",SUMIF(项目基本情况!D$12:I$12,C6,项目基本情况!D$13:I$13))</f>
        <v>56821</v>
      </c>
      <c r="F6" s="68">
        <f>SUMIF(项目基本情况!D$12:I$12,C6,项目基本情况!D$15:I$15)</f>
        <v>33.22</v>
      </c>
      <c r="G6" s="69">
        <f>IF(ISERROR(ROUND(POWER(1+H6,D6-F6)*(POWER(1+H6,F6)-1)/(POWER(1+H6,D6)-1),3)),0,ROUND(POWER(1+H6,D6-F6)*(POWER(1+H6,F6)-1)/(POWER(1+H6,D6)-1),3))</f>
        <v>0.93500000000000005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0.2</v>
      </c>
      <c r="R6" s="73">
        <f ca="1">SUMIF('数据-汇总表'!C$19:C$33,A6,'数据-汇总表'!R$19:R$27)</f>
        <v>9575.4</v>
      </c>
      <c r="S6" s="54">
        <f>IF('数据-汇总表'!$I$17="按面积比例",SUMIF('数据-汇总表'!C$19:C$33,A6,'数据-汇总表'!K$19:K$33),SUMIF('数据-汇总表'!C$19:C$33,A6,'数据-汇总表'!N$19:N$33))</f>
        <v>0</v>
      </c>
      <c r="T6" s="1266">
        <f>ROUND($L$14*S6/10000,0)</f>
        <v>0</v>
      </c>
      <c r="U6" s="74">
        <v>0</v>
      </c>
      <c r="V6" s="75">
        <v>0</v>
      </c>
      <c r="W6" s="75">
        <v>0</v>
      </c>
      <c r="X6" s="1131"/>
      <c r="Y6" s="76">
        <v>0</v>
      </c>
      <c r="Z6" s="3356">
        <v>4.3</v>
      </c>
      <c r="AA6" s="3357">
        <v>0.03</v>
      </c>
      <c r="AB6" s="3357">
        <v>0.15</v>
      </c>
      <c r="AC6" s="1131"/>
      <c r="AD6" s="78">
        <f>N6</f>
        <v>0.98</v>
      </c>
      <c r="AE6" s="1132">
        <f ca="1">IF(AN6="",0,SUMIF(INDIRECT("'"&amp;AN6&amp;"'"&amp;"!E:E"),$AE$5,INDIRECT("'"&amp;AN6&amp;"'"&amp;"!F:F")))</f>
        <v>33.22</v>
      </c>
      <c r="AF6" s="1461">
        <v>0.35</v>
      </c>
      <c r="AG6" s="133">
        <f ca="1">IF(AF6="",0,AE6-AF6)</f>
        <v>32.869999999999997</v>
      </c>
      <c r="AH6" s="79"/>
      <c r="AI6" s="81">
        <v>365</v>
      </c>
      <c r="AJ6" s="82"/>
      <c r="AK6" s="83">
        <v>1.4999999999999999E-2</v>
      </c>
      <c r="AL6" s="84">
        <v>1E-3</v>
      </c>
      <c r="AM6" s="85">
        <v>0.01</v>
      </c>
      <c r="AN6" s="1829" t="s">
        <v>3345</v>
      </c>
      <c r="AO6" s="55">
        <f ca="1">SUMIF(INDIRECT("'"&amp;AN6&amp;"'"&amp;"!A:A"),"总价",INDIRECT("'"&amp;AN6&amp;"'"&amp;"!B:B"))</f>
        <v>101206</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6"/>
      <c r="V7" s="3357"/>
      <c r="W7" s="3357"/>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
      <c r="A8" s="1826" t="str">
        <f>'数据-汇总表'!C21</f>
        <v>地下车库</v>
      </c>
      <c r="B8" s="1827" t="str">
        <f t="shared" si="1"/>
        <v>经营性</v>
      </c>
      <c r="C8" s="1828" t="s">
        <v>3330</v>
      </c>
      <c r="D8" s="928">
        <f>SUMIF(项目基本情况!D$12:I$12,C8,项目基本情况!D$14:I$14)</f>
        <v>50</v>
      </c>
      <c r="E8" s="927">
        <f>IF(B8="","",SUMIF(项目基本情况!D$12:I$12,C8,项目基本情况!D$13:I$13))</f>
        <v>60474</v>
      </c>
      <c r="F8" s="68">
        <f>SUMIF(项目基本情况!D$12:I$12,C8,项目基本情况!D$15:I$15)</f>
        <v>43.23</v>
      </c>
      <c r="G8" s="69">
        <f t="shared" si="2"/>
        <v>0.95699999999999996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8">
        <v>600</v>
      </c>
      <c r="V8" s="3359">
        <v>2.5000000000000001E-2</v>
      </c>
      <c r="W8" s="3359">
        <v>0.15</v>
      </c>
      <c r="X8" s="1131"/>
      <c r="Y8" s="76">
        <f>N8</f>
        <v>0.98</v>
      </c>
      <c r="Z8" s="77"/>
      <c r="AA8" s="70"/>
      <c r="AB8" s="70"/>
      <c r="AC8" s="1131"/>
      <c r="AD8" s="78"/>
      <c r="AE8" s="1132">
        <f t="shared" ca="1" si="6"/>
        <v>43.23</v>
      </c>
      <c r="AF8" s="1461"/>
      <c r="AG8" s="133">
        <f t="shared" si="7"/>
        <v>0</v>
      </c>
      <c r="AH8" s="729">
        <v>1205</v>
      </c>
      <c r="AI8" s="81">
        <v>12</v>
      </c>
      <c r="AJ8" s="82"/>
      <c r="AK8" s="83">
        <v>5.0000000000000001E-3</v>
      </c>
      <c r="AL8" s="84">
        <f>AL6</f>
        <v>1E-3</v>
      </c>
      <c r="AM8" s="85">
        <v>0.01</v>
      </c>
      <c r="AN8" s="1829" t="s">
        <v>3337</v>
      </c>
      <c r="AO8" s="55">
        <f t="shared" ca="1" si="8"/>
        <v>11882</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
      <c r="A9" s="1826" t="str">
        <f>'数据-汇总表'!C22</f>
        <v>办公</v>
      </c>
      <c r="B9" s="1827" t="str">
        <f t="shared" si="1"/>
        <v>经营性</v>
      </c>
      <c r="C9" s="1828" t="s">
        <v>27</v>
      </c>
      <c r="D9" s="928">
        <f>SUMIF(项目基本情况!D$12:I$12,C9,项目基本情况!D$14:I$14)</f>
        <v>50</v>
      </c>
      <c r="E9" s="927">
        <f>IF(B9="","",SUMIF(项目基本情况!D$12:I$12,C9,项目基本情况!D$13:I$13))</f>
        <v>60474</v>
      </c>
      <c r="F9" s="68">
        <f>SUMIF(项目基本情况!D$12:I$12,C9,项目基本情况!D$15:I$15)</f>
        <v>43.23</v>
      </c>
      <c r="G9" s="69">
        <f t="shared" si="2"/>
        <v>0.96299999999999997</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3212">
        <f>Q6</f>
        <v>0.2</v>
      </c>
      <c r="R9" s="73">
        <f ca="1">SUMIF('数据-汇总表'!C$19:C$33,A9,'数据-汇总表'!R$19:R$27)</f>
        <v>14006.09</v>
      </c>
      <c r="S9" s="54">
        <f>IF('数据-汇总表'!$I$17="按面积比例",SUMIF('数据-汇总表'!C$19:C$33,A9,'数据-汇总表'!K$19:K$33),SUMIF('数据-汇总表'!C$19:C$33,A9,'数据-汇总表'!N$19:N$33))</f>
        <v>0</v>
      </c>
      <c r="T9" s="1266">
        <f t="shared" si="5"/>
        <v>0</v>
      </c>
      <c r="U9" s="3356">
        <v>3</v>
      </c>
      <c r="V9" s="3357">
        <v>2.5000000000000001E-2</v>
      </c>
      <c r="W9" s="3357">
        <v>0.15</v>
      </c>
      <c r="X9" s="1131"/>
      <c r="Y9" s="76">
        <f>N9</f>
        <v>0.98</v>
      </c>
      <c r="Z9" s="77"/>
      <c r="AA9" s="70"/>
      <c r="AB9" s="70"/>
      <c r="AC9" s="1131"/>
      <c r="AD9" s="78"/>
      <c r="AE9" s="1132">
        <f t="shared" ca="1" si="6"/>
        <v>43.23</v>
      </c>
      <c r="AF9" s="1461"/>
      <c r="AG9" s="133">
        <f t="shared" si="7"/>
        <v>0</v>
      </c>
      <c r="AH9" s="79"/>
      <c r="AI9" s="81">
        <v>365</v>
      </c>
      <c r="AJ9" s="82"/>
      <c r="AK9" s="83">
        <v>1.4999999999999999E-2</v>
      </c>
      <c r="AL9" s="84">
        <f>AL8</f>
        <v>1E-3</v>
      </c>
      <c r="AM9" s="85">
        <v>0.01</v>
      </c>
      <c r="AN9" s="1829" t="s">
        <v>3335</v>
      </c>
      <c r="AO9" s="55">
        <f t="shared" ca="1" si="8"/>
        <v>109727</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
      <c r="A14" s="1831" t="s">
        <v>1647</v>
      </c>
      <c r="B14" s="1827" t="s">
        <v>1648</v>
      </c>
      <c r="C14" s="1832" t="s">
        <v>1647</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8">
      <c r="A15" s="1831" t="s">
        <v>1649</v>
      </c>
      <c r="B15" s="1827" t="s">
        <v>1648</v>
      </c>
      <c r="C15" s="1832" t="s">
        <v>1650</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4.5" thickBot="1">
      <c r="A16" s="1833" t="s">
        <v>1651</v>
      </c>
      <c r="B16" s="93"/>
      <c r="C16" s="903"/>
      <c r="D16" s="1834"/>
      <c r="E16" s="93"/>
      <c r="F16" s="93"/>
      <c r="G16" s="94">
        <f>ROUND(SUMPRODUCT(G6:G13,K6:K13)/SUMPRODUCT((G6:G13&gt;0)*(K6:K13)),3)</f>
        <v>0.95299999999999996</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0.15</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4.5" thickBot="1">
      <c r="A18" s="64" t="s">
        <v>1652</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
      <c r="A19" s="1836" t="s">
        <v>1653</v>
      </c>
      <c r="B19" s="3213">
        <v>0</v>
      </c>
      <c r="C19" s="2952" t="s">
        <v>2797</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
      <c r="A20" s="1837" t="s">
        <v>1654</v>
      </c>
      <c r="B20" s="3214">
        <v>3</v>
      </c>
      <c r="C20" s="2953" t="s">
        <v>2795</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
      <c r="A21" s="1838" t="s">
        <v>1655</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
      <c r="A22" s="1837" t="s">
        <v>1656</v>
      </c>
      <c r="B22" s="108">
        <f>B19+B20</f>
        <v>3</v>
      </c>
      <c r="C22" s="2824"/>
      <c r="D22" s="2827"/>
      <c r="E22" s="2824"/>
      <c r="F22" s="2824"/>
      <c r="G22" s="2824"/>
      <c r="H22" s="2824"/>
      <c r="I22" s="2824"/>
      <c r="J22" s="2824"/>
      <c r="K22" s="3319" t="s">
        <v>3333</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
      <c r="A23" s="1838" t="s">
        <v>1657</v>
      </c>
      <c r="B23" s="108">
        <f>B19+B21</f>
        <v>3</v>
      </c>
      <c r="C23" s="2824"/>
      <c r="D23" s="2827"/>
      <c r="E23" s="2824"/>
      <c r="F23" s="2824"/>
      <c r="G23" s="2824"/>
      <c r="H23" s="2824"/>
      <c r="I23" s="2824"/>
      <c r="J23" s="2824"/>
      <c r="K23" s="3319" t="s">
        <v>3334</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4.5" thickBot="1">
      <c r="A24" s="1839" t="s">
        <v>1658</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4.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4.5" thickBot="1">
      <c r="A26" s="1797" t="s">
        <v>1659</v>
      </c>
      <c r="B26" s="1840" t="s">
        <v>1660</v>
      </c>
      <c r="C26" s="2828" t="s">
        <v>1661</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8.5">
      <c r="A27" s="1841" t="s">
        <v>1662</v>
      </c>
      <c r="B27" s="3215"/>
      <c r="C27" s="2954" t="s">
        <v>2799</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8.5">
      <c r="A28" s="1843" t="s">
        <v>1663</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9" thickBot="1">
      <c r="A29" s="1844" t="s">
        <v>1664</v>
      </c>
      <c r="B29" s="3217">
        <f>ROUND(B28*K16/10000,0)</f>
        <v>3340</v>
      </c>
      <c r="C29" s="2955" t="s">
        <v>2786</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8">
      <c r="A30" s="1845" t="s">
        <v>1665</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8">
      <c r="A31" s="1843" t="s">
        <v>1666</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8.5" thickBot="1">
      <c r="A32" s="1846" t="s">
        <v>1667</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
      <c r="A33" s="1841" t="s">
        <v>1668</v>
      </c>
      <c r="B33" s="3219">
        <v>0.03</v>
      </c>
      <c r="C33" s="2956" t="s">
        <v>2787</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
      <c r="A34" s="1843" t="s">
        <v>1669</v>
      </c>
      <c r="B34" s="730"/>
      <c r="C34" s="2956" t="s">
        <v>2788</v>
      </c>
      <c r="D34" s="2835" t="s">
        <v>2796</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
      <c r="A35" s="1843" t="s">
        <v>1670</v>
      </c>
      <c r="B35" s="3216">
        <v>200</v>
      </c>
      <c r="C35" s="2956" t="s">
        <v>2789</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4.5" thickBot="1">
      <c r="A36" s="1844" t="s">
        <v>1671</v>
      </c>
      <c r="B36" s="3220">
        <v>1.4999999999999999E-2</v>
      </c>
      <c r="C36" s="2956" t="s">
        <v>2790</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
      <c r="A37" s="1845" t="s">
        <v>1672</v>
      </c>
      <c r="B37" s="3221">
        <v>0.02</v>
      </c>
      <c r="C37" s="2956" t="s">
        <v>2791</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
      <c r="A38" s="1843" t="s">
        <v>1673</v>
      </c>
      <c r="B38" s="730">
        <v>0.02</v>
      </c>
      <c r="C38" s="2956" t="s">
        <v>2791</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
      <c r="A39" s="1846" t="s">
        <v>1674</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8.5" thickBot="1">
      <c r="A40" s="2968" t="s">
        <v>3646</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5">
      <c r="A41" s="1841" t="s">
        <v>1675</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
      <c r="A42" s="1847" t="s">
        <v>1676</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
      <c r="A43" s="1847" t="s">
        <v>1677</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
      <c r="A44" s="1848" t="s">
        <v>1678</v>
      </c>
      <c r="B44" s="116">
        <v>0.05</v>
      </c>
      <c r="C44" s="2956" t="s">
        <v>2800</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
      <c r="A45" s="1848" t="s">
        <v>1679</v>
      </c>
      <c r="B45" s="3222">
        <v>0.03</v>
      </c>
      <c r="C45" s="2955" t="s">
        <v>2792</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
      <c r="A46" s="1848" t="s">
        <v>1680</v>
      </c>
      <c r="B46" s="3222">
        <v>0.02</v>
      </c>
      <c r="C46" s="2955" t="s">
        <v>2793</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4.5" thickBot="1">
      <c r="A47" s="1849" t="s">
        <v>1681</v>
      </c>
      <c r="B47" s="3223"/>
      <c r="C47" s="2958" t="s">
        <v>2801</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
      <c r="A48" s="1850" t="s">
        <v>1682</v>
      </c>
      <c r="B48" s="3224">
        <v>0.03</v>
      </c>
      <c r="C48" s="2955" t="s">
        <v>2792</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4.5" thickBot="1">
      <c r="A49" s="1846" t="s">
        <v>1683</v>
      </c>
      <c r="B49" s="3222">
        <v>5.0000000000000001E-4</v>
      </c>
      <c r="C49" s="2955" t="s">
        <v>2794</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5">
      <c r="A50" s="1851" t="s">
        <v>1684</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1685</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
      <c r="A52" s="1851" t="s">
        <v>1686</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8">
      <c r="A53" s="1843" t="s">
        <v>1687</v>
      </c>
      <c r="B53" s="1852" t="s">
        <v>56</v>
      </c>
      <c r="C53" s="2811" t="s">
        <v>1688</v>
      </c>
      <c r="D53" s="2957" t="s">
        <v>2798</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
      <c r="A54" s="1853" t="s">
        <v>1689</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
      <c r="A55" s="1853" t="s">
        <v>1690</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
      <c r="A56" s="1853" t="s">
        <v>1691</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
      <c r="A57" s="1853" t="s">
        <v>1692</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
      <c r="A58" s="1853" t="s">
        <v>1693</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
      <c r="A59" s="1853" t="s">
        <v>1694</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
      <c r="A60" s="1853" t="s">
        <v>1695</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
      <c r="A61" s="1853" t="s">
        <v>1696</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
      <c r="A62" s="1853" t="s">
        <v>1697</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4.5" thickBot="1">
      <c r="A63" s="1854" t="s">
        <v>1698</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6"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
  <cols>
    <col min="1" max="1" width="9.453125" style="1800" customWidth="1"/>
    <col min="2" max="2" width="24.453125" style="1686" customWidth="1"/>
    <col min="3" max="3" width="24.453125" style="2659" customWidth="1"/>
    <col min="4" max="4" width="2.6328125" style="2659" customWidth="1"/>
    <col min="5" max="5" width="5.90625" style="2659" customWidth="1"/>
    <col min="6" max="6" width="27" style="1686" customWidth="1"/>
    <col min="7" max="7" width="27" style="2660" customWidth="1"/>
    <col min="8" max="8" width="11.90625" style="2640" customWidth="1"/>
    <col min="9" max="9" width="16.90625" style="2641" customWidth="1"/>
    <col min="10" max="10" width="2.6328125" style="2640" customWidth="1"/>
    <col min="11" max="11" width="11.90625" style="2640" customWidth="1"/>
    <col min="12" max="12" width="16.90625" style="2641" customWidth="1"/>
    <col min="13" max="13" width="2.6328125" style="2640" customWidth="1"/>
    <col min="14" max="14" width="11.90625" style="2640" customWidth="1"/>
    <col min="15" max="15" width="16.90625" style="2641" customWidth="1"/>
    <col min="16" max="16" width="2.6328125" style="2640" customWidth="1"/>
    <col min="17" max="17" width="11.90625" style="2640" customWidth="1"/>
    <col min="18" max="18" width="16.90625" style="2642" customWidth="1"/>
    <col min="19" max="29" width="9" style="868"/>
    <col min="30" max="16384" width="9" style="1800"/>
  </cols>
  <sheetData>
    <row r="1" spans="1:29" s="2608" customFormat="1" ht="18.5" thickBot="1">
      <c r="A1" s="3477" t="s">
        <v>2778</v>
      </c>
      <c r="B1" s="3478"/>
      <c r="C1" s="3478"/>
      <c r="D1" s="3478"/>
      <c r="E1" s="3478"/>
      <c r="F1" s="3478"/>
      <c r="G1" s="3478"/>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4.5" thickBot="1">
      <c r="A2" s="2609"/>
      <c r="B2" s="2610"/>
      <c r="C2" s="2611" t="s">
        <v>2774</v>
      </c>
      <c r="D2" s="2612"/>
      <c r="E2" s="2609"/>
      <c r="F2" s="2613"/>
      <c r="G2" s="2611" t="s">
        <v>2775</v>
      </c>
      <c r="H2" s="868"/>
      <c r="I2" s="868"/>
      <c r="J2" s="868"/>
      <c r="K2" s="868"/>
      <c r="L2" s="868"/>
      <c r="M2" s="868"/>
      <c r="N2" s="868"/>
      <c r="O2" s="868"/>
      <c r="P2" s="868"/>
      <c r="Q2" s="868"/>
      <c r="R2" s="868"/>
    </row>
    <row r="3" spans="1:29" ht="26">
      <c r="A3" s="2592" t="s">
        <v>2776</v>
      </c>
      <c r="B3" s="2614" t="s">
        <v>2748</v>
      </c>
      <c r="C3" s="2615"/>
      <c r="D3" s="2616"/>
      <c r="E3" s="2593" t="s">
        <v>2776</v>
      </c>
      <c r="F3" s="2617" t="s">
        <v>2749</v>
      </c>
      <c r="G3" s="2618" t="s">
        <v>2777</v>
      </c>
      <c r="H3" s="868"/>
      <c r="I3" s="868"/>
      <c r="J3" s="868"/>
      <c r="K3" s="868"/>
      <c r="L3" s="868"/>
      <c r="M3" s="868"/>
      <c r="N3" s="868"/>
      <c r="O3" s="868"/>
      <c r="P3" s="868"/>
      <c r="Q3" s="868"/>
      <c r="R3" s="868"/>
    </row>
    <row r="4" spans="1:29" ht="52">
      <c r="A4" s="2593"/>
      <c r="B4" s="319" t="s">
        <v>2750</v>
      </c>
      <c r="C4" s="3225" t="s">
        <v>3574</v>
      </c>
      <c r="D4" s="2616"/>
      <c r="E4" s="2619"/>
      <c r="F4" s="1486" t="s">
        <v>2751</v>
      </c>
      <c r="G4" s="2620" t="s">
        <v>2752</v>
      </c>
      <c r="H4" s="868"/>
      <c r="I4" s="868"/>
      <c r="J4" s="868"/>
      <c r="K4" s="868"/>
      <c r="L4" s="868"/>
      <c r="M4" s="868"/>
      <c r="N4" s="868"/>
      <c r="O4" s="868"/>
      <c r="P4" s="868"/>
      <c r="Q4" s="868"/>
      <c r="R4" s="868"/>
    </row>
    <row r="5" spans="1:29" ht="52">
      <c r="A5" s="2593"/>
      <c r="B5" s="319" t="s">
        <v>2753</v>
      </c>
      <c r="C5" s="3225" t="s">
        <v>3578</v>
      </c>
      <c r="D5" s="2616"/>
      <c r="E5" s="2619"/>
      <c r="F5" s="319" t="s">
        <v>2754</v>
      </c>
      <c r="G5" s="2620" t="s">
        <v>2755</v>
      </c>
      <c r="H5" s="868"/>
      <c r="I5" s="868"/>
      <c r="J5" s="868"/>
      <c r="K5" s="868"/>
      <c r="L5" s="868"/>
      <c r="M5" s="868"/>
      <c r="N5" s="868"/>
      <c r="O5" s="868"/>
      <c r="P5" s="868"/>
      <c r="Q5" s="868"/>
      <c r="R5" s="868"/>
    </row>
    <row r="6" spans="1:29" ht="65">
      <c r="A6" s="2593"/>
      <c r="B6" s="319" t="s">
        <v>2756</v>
      </c>
      <c r="C6" s="3250" t="s">
        <v>3575</v>
      </c>
      <c r="D6" s="2616"/>
      <c r="E6" s="2619"/>
      <c r="F6" s="319" t="s">
        <v>2757</v>
      </c>
      <c r="G6" s="2620" t="s">
        <v>2758</v>
      </c>
      <c r="H6" s="868"/>
      <c r="I6" s="868"/>
      <c r="J6" s="868"/>
      <c r="K6" s="868"/>
      <c r="L6" s="868"/>
      <c r="M6" s="868"/>
      <c r="N6" s="868"/>
      <c r="O6" s="868"/>
      <c r="P6" s="868"/>
      <c r="Q6" s="868"/>
      <c r="R6" s="868"/>
    </row>
    <row r="7" spans="1:29" ht="39.5" thickBot="1">
      <c r="A7" s="2593"/>
      <c r="B7" s="319" t="s">
        <v>2754</v>
      </c>
      <c r="C7" s="3250" t="s">
        <v>3576</v>
      </c>
      <c r="D7" s="2621"/>
      <c r="E7" s="2622"/>
      <c r="F7" s="2623" t="s">
        <v>2759</v>
      </c>
      <c r="G7" s="2624" t="s">
        <v>2760</v>
      </c>
      <c r="H7" s="868"/>
      <c r="I7" s="868"/>
      <c r="J7" s="868"/>
      <c r="K7" s="868"/>
      <c r="L7" s="868"/>
      <c r="M7" s="868"/>
      <c r="N7" s="868"/>
      <c r="O7" s="868"/>
      <c r="P7" s="868"/>
      <c r="Q7" s="868"/>
      <c r="R7" s="868"/>
    </row>
    <row r="8" spans="1:29">
      <c r="A8" s="2593"/>
      <c r="B8" s="319" t="s">
        <v>2757</v>
      </c>
      <c r="C8" s="3250" t="s">
        <v>3269</v>
      </c>
      <c r="D8" s="2621"/>
      <c r="E8" s="2621"/>
      <c r="F8" s="2625"/>
      <c r="G8" s="2625"/>
      <c r="H8" s="868"/>
      <c r="I8" s="868"/>
      <c r="J8" s="868"/>
      <c r="K8" s="868"/>
      <c r="L8" s="868"/>
      <c r="M8" s="868"/>
      <c r="N8" s="868"/>
      <c r="O8" s="868"/>
      <c r="P8" s="868"/>
      <c r="Q8" s="868"/>
      <c r="R8" s="868"/>
    </row>
    <row r="9" spans="1:29" ht="52">
      <c r="A9" s="2593"/>
      <c r="B9" s="319" t="s">
        <v>2761</v>
      </c>
      <c r="C9" s="3225" t="s">
        <v>3577</v>
      </c>
      <c r="D9" s="2616"/>
      <c r="E9" s="2621"/>
      <c r="F9" s="2625"/>
      <c r="G9" s="2625"/>
      <c r="H9" s="868"/>
      <c r="I9" s="868"/>
      <c r="J9" s="868"/>
      <c r="K9" s="868"/>
      <c r="L9" s="868"/>
      <c r="M9" s="868"/>
      <c r="N9" s="868"/>
      <c r="O9" s="868"/>
      <c r="P9" s="868"/>
      <c r="Q9" s="868"/>
      <c r="R9" s="868"/>
    </row>
    <row r="10" spans="1:29" s="2630" customFormat="1" ht="14.5" thickBot="1">
      <c r="A10" s="2594"/>
      <c r="B10" s="2626" t="s">
        <v>2762</v>
      </c>
      <c r="C10" s="3226" t="s">
        <v>3579</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4.5" thickBot="1">
      <c r="A13" s="2639" t="s">
        <v>2779</v>
      </c>
      <c r="B13" s="2633"/>
      <c r="C13" s="2633"/>
      <c r="D13" s="2631"/>
      <c r="E13" s="2633"/>
      <c r="F13" s="2633"/>
      <c r="G13" s="2633"/>
    </row>
    <row r="14" spans="1:29" ht="14.5" thickBot="1">
      <c r="A14" s="2643"/>
      <c r="B14" s="2643"/>
      <c r="C14" s="2644" t="s">
        <v>2763</v>
      </c>
      <c r="D14" s="2616"/>
      <c r="E14" s="2645"/>
      <c r="F14" s="2645"/>
      <c r="G14" s="2611" t="s">
        <v>2764</v>
      </c>
    </row>
    <row r="15" spans="1:29" ht="26">
      <c r="A15" s="2595" t="s">
        <v>2765</v>
      </c>
      <c r="B15" s="2646" t="s">
        <v>2748</v>
      </c>
      <c r="C15" s="2647">
        <f>C3</f>
        <v>0</v>
      </c>
      <c r="D15" s="2616"/>
      <c r="E15" s="2596" t="s">
        <v>2766</v>
      </c>
      <c r="F15" s="2646" t="s">
        <v>2767</v>
      </c>
      <c r="G15" s="2648" t="str">
        <f>G3</f>
        <v>估价对象位于XX开发区，园区建设成熟度XX，产业集聚程度XX</v>
      </c>
    </row>
    <row r="16" spans="1:29" ht="50">
      <c r="A16" s="2597"/>
      <c r="B16" s="2649" t="s">
        <v>2750</v>
      </c>
      <c r="C16" s="2650" t="str">
        <f>C4</f>
        <v>估价对象位于高米店南，周边商业氛围成熟度一般，人流量一般，绿地缤纷城等，商业繁华度一般</v>
      </c>
      <c r="D16" s="2616"/>
      <c r="E16" s="2598"/>
      <c r="F16" s="2651" t="s">
        <v>2751</v>
      </c>
      <c r="G16" s="2652" t="str">
        <f>G4</f>
        <v>估价对象周边道路状况、公共交通通达情况、停车便捷程度，综合评价交通便捷度较好</v>
      </c>
    </row>
    <row r="17" spans="1:18" ht="50">
      <c r="A17" s="2597"/>
      <c r="B17" s="2649" t="s">
        <v>2753</v>
      </c>
      <c r="C17" s="2650" t="str">
        <f>C5</f>
        <v>估价对象位于高米店南，周边新奥宇大厦、金融大厦等项目，入住率一般，办公集聚程度一般</v>
      </c>
      <c r="D17" s="2621"/>
      <c r="E17" s="2598"/>
      <c r="F17" s="2651" t="s">
        <v>2768</v>
      </c>
      <c r="G17" s="2653"/>
    </row>
    <row r="18" spans="1:18" ht="62.5">
      <c r="A18" s="2597"/>
      <c r="B18" s="2651" t="s">
        <v>2756</v>
      </c>
      <c r="C18" s="2652" t="str">
        <f>C6</f>
        <v>估价对象周边道路状况、公共交通通达情况434、954、兴41等，2公里有地铁4号线、停车便捷程度，综合评价交通便捷度一般</v>
      </c>
      <c r="D18" s="2621"/>
      <c r="E18" s="2598"/>
      <c r="F18" s="2651" t="s">
        <v>2759</v>
      </c>
      <c r="G18" s="2652" t="str">
        <f>G7</f>
        <v>该园区内是否有污染型企业，绿化情况，卫生条件，整体环境状况判断</v>
      </c>
    </row>
    <row r="19" spans="1:18" ht="25">
      <c r="A19" s="2597"/>
      <c r="B19" s="2651" t="s">
        <v>2769</v>
      </c>
      <c r="C19" s="2653"/>
      <c r="D19" s="2616"/>
      <c r="E19" s="2598"/>
      <c r="F19" s="319" t="s">
        <v>2754</v>
      </c>
      <c r="G19" s="2652" t="str">
        <f>G5</f>
        <v>估价对象所在区域公共配套设施齐备情况</v>
      </c>
    </row>
    <row r="20" spans="1:18" ht="50">
      <c r="A20" s="2597"/>
      <c r="B20" s="2651" t="s">
        <v>2770</v>
      </c>
      <c r="C20" s="2650" t="str">
        <f>C9</f>
        <v>区域自然环境：金星公园、高米店公园；人文环境：中国人民公安大学团河校区；综合评价环境状况较好</v>
      </c>
      <c r="D20" s="2621"/>
      <c r="E20" s="2598"/>
      <c r="F20" s="319" t="s">
        <v>2757</v>
      </c>
      <c r="G20" s="2652" t="str">
        <f>G6</f>
        <v>估价对象所在区域基础设施水平</v>
      </c>
    </row>
    <row r="21" spans="1:18" ht="25">
      <c r="A21" s="2597"/>
      <c r="B21" s="319" t="s">
        <v>2754</v>
      </c>
      <c r="C21" s="2652" t="str">
        <f>C7</f>
        <v>估价对象所在区域公共配套设施齐备情况一般</v>
      </c>
      <c r="D21" s="2616"/>
      <c r="E21" s="2598"/>
      <c r="F21" s="2651" t="s">
        <v>2771</v>
      </c>
      <c r="G21" s="2654"/>
    </row>
    <row r="22" spans="1:18" ht="13.5" customHeight="1">
      <c r="A22" s="2597"/>
      <c r="B22" s="319" t="s">
        <v>2757</v>
      </c>
      <c r="C22" s="2652" t="str">
        <f>C8</f>
        <v>七通</v>
      </c>
      <c r="D22" s="2616"/>
      <c r="E22" s="2598"/>
      <c r="F22" s="2651" t="s">
        <v>2762</v>
      </c>
      <c r="G22" s="2653"/>
    </row>
    <row r="23" spans="1:18" s="868" customFormat="1" ht="14.5" thickBot="1">
      <c r="A23" s="2597"/>
      <c r="B23" s="2651" t="s">
        <v>2771</v>
      </c>
      <c r="C23" s="2654"/>
      <c r="D23" s="1855"/>
      <c r="E23" s="2599"/>
      <c r="F23" s="2655" t="s">
        <v>2772</v>
      </c>
      <c r="G23" s="2656"/>
      <c r="H23" s="2640"/>
      <c r="I23" s="2641"/>
      <c r="J23" s="2640"/>
      <c r="K23" s="2640"/>
      <c r="L23" s="2641"/>
      <c r="M23" s="2640"/>
      <c r="N23" s="2640"/>
      <c r="O23" s="2641"/>
      <c r="P23" s="2640"/>
      <c r="Q23" s="2640"/>
      <c r="R23" s="2642"/>
    </row>
    <row r="24" spans="1:18" s="868" customFormat="1" ht="14.5" thickBot="1">
      <c r="A24" s="2600"/>
      <c r="B24" s="2655" t="s">
        <v>2773</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7"/>
  <sheetViews>
    <sheetView view="pageBreakPreview" zoomScale="80" zoomScaleNormal="80" zoomScaleSheetLayoutView="80" workbookViewId="0">
      <selection activeCell="M8" sqref="M8"/>
    </sheetView>
  </sheetViews>
  <sheetFormatPr defaultColWidth="9" defaultRowHeight="14"/>
  <cols>
    <col min="1" max="1" width="25" style="2662" customWidth="1"/>
    <col min="2" max="9" width="15.90625" style="2662" customWidth="1"/>
    <col min="10" max="16384" width="9" style="2662"/>
  </cols>
  <sheetData>
    <row r="1" spans="1:11" ht="16.5">
      <c r="A1" s="2661" t="s">
        <v>1087</v>
      </c>
      <c r="B1" s="2661">
        <f>SUM(B14:B23)</f>
        <v>175770.51</v>
      </c>
      <c r="C1" s="2837"/>
      <c r="D1" s="2837"/>
      <c r="E1" s="2837"/>
      <c r="F1" s="2837"/>
      <c r="G1" s="2838"/>
      <c r="H1" s="2839"/>
      <c r="I1" s="2839"/>
      <c r="J1" s="2839"/>
      <c r="K1" s="2839"/>
    </row>
    <row r="2" spans="1:11" ht="16.5">
      <c r="A2" s="2661" t="s">
        <v>1075</v>
      </c>
      <c r="B2" s="2661">
        <f>SUM(C14:C23)</f>
        <v>35673.11</v>
      </c>
      <c r="C2" s="2837"/>
      <c r="D2" s="2837"/>
      <c r="E2" s="2837"/>
      <c r="F2" s="2837"/>
      <c r="G2" s="2838"/>
      <c r="H2" s="2839"/>
      <c r="I2" s="2839"/>
      <c r="J2" s="2839"/>
      <c r="K2" s="2839"/>
    </row>
    <row r="3" spans="1:11" ht="16.5">
      <c r="A3" s="2661" t="s">
        <v>1084</v>
      </c>
      <c r="B3" s="2663">
        <f>项目基本情况!D3</f>
        <v>44693</v>
      </c>
      <c r="C3" s="2837"/>
      <c r="D3" s="2837"/>
      <c r="E3" s="2837"/>
      <c r="F3" s="2837"/>
      <c r="G3" s="2838"/>
      <c r="H3" s="2839"/>
      <c r="I3" s="2839"/>
      <c r="J3" s="2839"/>
      <c r="K3" s="2839"/>
    </row>
    <row r="4" spans="1:11" ht="33">
      <c r="A4" s="2661" t="s">
        <v>1083</v>
      </c>
      <c r="B4" s="2661" t="s">
        <v>1082</v>
      </c>
      <c r="C4" s="2661" t="s">
        <v>1081</v>
      </c>
      <c r="D4" s="2661" t="s">
        <v>1080</v>
      </c>
      <c r="E4" s="2837"/>
      <c r="F4" s="2838"/>
      <c r="G4" s="2838"/>
      <c r="H4" s="2839"/>
      <c r="I4" s="2839"/>
      <c r="J4" s="2839"/>
      <c r="K4" s="2839"/>
    </row>
    <row r="5" spans="1:11" ht="16.5">
      <c r="A5" s="2661" t="s">
        <v>1079</v>
      </c>
      <c r="B5" s="2661">
        <f ca="1">SUM(D14:D23)</f>
        <v>253308</v>
      </c>
      <c r="C5" s="2661">
        <f ca="1">ROUND(B5*10000/$B$1,0)</f>
        <v>14411</v>
      </c>
      <c r="D5" s="2661">
        <f ca="1">ROUND(B5*10000/$B$2,0)</f>
        <v>71008</v>
      </c>
      <c r="E5" s="2837"/>
      <c r="F5" s="2838"/>
      <c r="G5" s="2838"/>
      <c r="H5" s="2839"/>
      <c r="I5" s="2839"/>
      <c r="J5" s="2839"/>
      <c r="K5" s="2839"/>
    </row>
    <row r="6" spans="1:11" ht="16.5">
      <c r="A6" s="2661" t="s">
        <v>1078</v>
      </c>
      <c r="B6" s="2661">
        <f ca="1">SUM(G14:G23)</f>
        <v>253308</v>
      </c>
      <c r="C6" s="2661">
        <f ca="1">ROUND(B6*10000/$B$1,0)</f>
        <v>14411</v>
      </c>
      <c r="D6" s="2661">
        <f ca="1">ROUND(B6*10000/$B$2,0)</f>
        <v>71008</v>
      </c>
      <c r="E6" s="2837"/>
      <c r="F6" s="2838"/>
      <c r="G6" s="2838"/>
      <c r="H6" s="2839"/>
      <c r="I6" s="2839"/>
      <c r="J6" s="2839"/>
      <c r="K6" s="2839"/>
    </row>
    <row r="7" spans="1:11" ht="16.5">
      <c r="A7" s="2661" t="s">
        <v>1086</v>
      </c>
      <c r="B7" s="2661">
        <f>SUM(H14:H23)</f>
        <v>0</v>
      </c>
      <c r="C7" s="2661">
        <f>ROUND(B7*10000/$B$1,0)</f>
        <v>0</v>
      </c>
      <c r="D7" s="2661">
        <f>ROUND(B7*10000/$B$2,0)</f>
        <v>0</v>
      </c>
      <c r="E7" s="2837"/>
      <c r="F7" s="2838"/>
      <c r="G7" s="2838"/>
      <c r="H7" s="2839"/>
      <c r="I7" s="2839"/>
      <c r="J7" s="2839"/>
      <c r="K7" s="2839"/>
    </row>
    <row r="8" spans="1:11" ht="16.5">
      <c r="A8" s="2661" t="s">
        <v>1009</v>
      </c>
      <c r="B8" s="2661">
        <f>SUM(I14:I23)</f>
        <v>0</v>
      </c>
      <c r="C8" s="2661">
        <f>ROUND(B8*10000/$B$1,0)</f>
        <v>0</v>
      </c>
      <c r="D8" s="2661">
        <f>ROUND(B8*10000/$B$2,0)</f>
        <v>0</v>
      </c>
      <c r="E8" s="2837"/>
      <c r="F8" s="2838"/>
      <c r="G8" s="2838"/>
      <c r="H8" s="2839"/>
      <c r="I8" s="2839"/>
      <c r="J8" s="2839"/>
      <c r="K8" s="2839"/>
    </row>
    <row r="9" spans="1:11" ht="16.5">
      <c r="A9" s="2661" t="s">
        <v>1077</v>
      </c>
      <c r="B9" s="2669"/>
      <c r="C9" s="2837"/>
      <c r="D9" s="2837"/>
      <c r="E9" s="2837"/>
      <c r="F9" s="2838"/>
      <c r="G9" s="2838"/>
      <c r="H9" s="2839"/>
      <c r="I9" s="2839"/>
      <c r="J9" s="2839"/>
      <c r="K9" s="2839"/>
    </row>
    <row r="10" spans="1:11" ht="16.5">
      <c r="A10" s="2661" t="s">
        <v>1076</v>
      </c>
      <c r="B10" s="2669"/>
      <c r="C10" s="2837"/>
      <c r="D10" s="2837"/>
      <c r="E10" s="2837"/>
      <c r="F10" s="2838"/>
      <c r="G10" s="2838"/>
      <c r="H10" s="2839"/>
      <c r="I10" s="2839"/>
      <c r="J10" s="2839"/>
      <c r="K10" s="2839"/>
    </row>
    <row r="11" spans="1:11" ht="16.5">
      <c r="A11" s="2661" t="s">
        <v>1092</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1091</v>
      </c>
      <c r="B13" s="2665" t="s">
        <v>1088</v>
      </c>
      <c r="C13" s="2665" t="s">
        <v>1090</v>
      </c>
      <c r="D13" s="2665" t="s">
        <v>1089</v>
      </c>
      <c r="E13" s="2661" t="s">
        <v>1081</v>
      </c>
      <c r="F13" s="2661" t="s">
        <v>1080</v>
      </c>
      <c r="G13" s="2665" t="s">
        <v>1074</v>
      </c>
      <c r="H13" s="2665" t="s">
        <v>1085</v>
      </c>
      <c r="I13" s="2665" t="s">
        <v>1073</v>
      </c>
      <c r="J13" s="2838"/>
      <c r="K13" s="2839"/>
    </row>
    <row r="14" spans="1:11" ht="16.5">
      <c r="A14" s="2666" t="s">
        <v>1072</v>
      </c>
      <c r="B14" s="2667">
        <f>结果表!B118</f>
        <v>175770.51</v>
      </c>
      <c r="C14" s="2667">
        <f>结果表!C118</f>
        <v>35673.11</v>
      </c>
      <c r="D14" s="2667">
        <f ca="1">结果表!H118</f>
        <v>253308</v>
      </c>
      <c r="E14" s="2667">
        <f ca="1">ROUND(D14*10000/B14,0)</f>
        <v>14411</v>
      </c>
      <c r="F14" s="2667">
        <f ca="1">ROUND(D14*10000/C14,0)</f>
        <v>71008</v>
      </c>
      <c r="G14" s="2667">
        <f ca="1">结果表!D122</f>
        <v>253308</v>
      </c>
      <c r="H14" s="2667" t="str">
        <f>结果表!D124</f>
        <v>——</v>
      </c>
      <c r="I14" s="2667" t="str">
        <f>结果表!D126</f>
        <v>——</v>
      </c>
      <c r="J14" s="2838"/>
      <c r="K14" s="2839"/>
    </row>
    <row r="15" spans="1:11" ht="16.5">
      <c r="A15" s="2666" t="s">
        <v>1071</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1070</v>
      </c>
      <c r="B16" s="1430"/>
      <c r="C16" s="1430"/>
      <c r="D16" s="1430"/>
      <c r="E16" s="2667" t="e">
        <f t="shared" si="0"/>
        <v>#DIV/0!</v>
      </c>
      <c r="F16" s="2667" t="e">
        <f t="shared" si="1"/>
        <v>#DIV/0!</v>
      </c>
      <c r="G16" s="1430"/>
      <c r="H16" s="1430"/>
      <c r="I16" s="2668"/>
      <c r="J16" s="2839"/>
      <c r="K16" s="2839"/>
    </row>
    <row r="17" spans="1:11" ht="16.5">
      <c r="A17" s="2666" t="s">
        <v>1069</v>
      </c>
      <c r="B17" s="2668"/>
      <c r="C17" s="2668"/>
      <c r="D17" s="2668"/>
      <c r="E17" s="2667" t="e">
        <f t="shared" si="0"/>
        <v>#DIV/0!</v>
      </c>
      <c r="F17" s="2667" t="e">
        <f t="shared" si="1"/>
        <v>#DIV/0!</v>
      </c>
      <c r="G17" s="1430"/>
      <c r="H17" s="1430"/>
      <c r="I17" s="2668"/>
      <c r="J17" s="2839"/>
      <c r="K17" s="2839"/>
    </row>
    <row r="18" spans="1:11" ht="16.5">
      <c r="A18" s="2666" t="s">
        <v>1068</v>
      </c>
      <c r="B18" s="2668"/>
      <c r="C18" s="2668"/>
      <c r="D18" s="2668"/>
      <c r="E18" s="2667" t="e">
        <f t="shared" si="0"/>
        <v>#DIV/0!</v>
      </c>
      <c r="F18" s="2667" t="e">
        <f t="shared" si="1"/>
        <v>#DIV/0!</v>
      </c>
      <c r="G18" s="2668"/>
      <c r="H18" s="2668"/>
      <c r="I18" s="2668"/>
      <c r="J18" s="2839"/>
      <c r="K18" s="2839"/>
    </row>
    <row r="19" spans="1:11" ht="16.5">
      <c r="A19" s="2666" t="s">
        <v>1067</v>
      </c>
      <c r="B19" s="2668"/>
      <c r="C19" s="2668"/>
      <c r="D19" s="2668"/>
      <c r="E19" s="2667" t="e">
        <f t="shared" si="0"/>
        <v>#DIV/0!</v>
      </c>
      <c r="F19" s="2667" t="e">
        <f t="shared" si="1"/>
        <v>#DIV/0!</v>
      </c>
      <c r="G19" s="2668"/>
      <c r="H19" s="2668"/>
      <c r="I19" s="2668"/>
      <c r="J19" s="2839"/>
      <c r="K19" s="2839"/>
    </row>
    <row r="20" spans="1:11" ht="16.5">
      <c r="A20" s="2666" t="s">
        <v>1066</v>
      </c>
      <c r="B20" s="2668"/>
      <c r="C20" s="2668"/>
      <c r="D20" s="2668"/>
      <c r="E20" s="2667" t="e">
        <f t="shared" si="0"/>
        <v>#DIV/0!</v>
      </c>
      <c r="F20" s="2667" t="e">
        <f t="shared" si="1"/>
        <v>#DIV/0!</v>
      </c>
      <c r="G20" s="2668"/>
      <c r="H20" s="2668"/>
      <c r="I20" s="2668"/>
      <c r="J20" s="2839"/>
      <c r="K20" s="2839"/>
    </row>
    <row r="21" spans="1:11" ht="16.5">
      <c r="A21" s="2666" t="s">
        <v>1065</v>
      </c>
      <c r="B21" s="2668"/>
      <c r="C21" s="2668"/>
      <c r="D21" s="2668"/>
      <c r="E21" s="2667" t="e">
        <f t="shared" si="0"/>
        <v>#DIV/0!</v>
      </c>
      <c r="F21" s="2667" t="e">
        <f t="shared" si="1"/>
        <v>#DIV/0!</v>
      </c>
      <c r="G21" s="2668"/>
      <c r="H21" s="2668"/>
      <c r="I21" s="2668"/>
      <c r="J21" s="2839"/>
      <c r="K21" s="2839"/>
    </row>
    <row r="22" spans="1:11" ht="16.5">
      <c r="A22" s="2666" t="s">
        <v>1064</v>
      </c>
      <c r="B22" s="2668"/>
      <c r="C22" s="2668"/>
      <c r="D22" s="2668"/>
      <c r="E22" s="2667" t="e">
        <f t="shared" si="0"/>
        <v>#DIV/0!</v>
      </c>
      <c r="F22" s="2667" t="e">
        <f t="shared" si="1"/>
        <v>#DIV/0!</v>
      </c>
      <c r="G22" s="2668"/>
      <c r="H22" s="2668"/>
      <c r="I22" s="2668"/>
      <c r="J22" s="2839"/>
      <c r="K22" s="2839"/>
    </row>
    <row r="23" spans="1:11" ht="16.5">
      <c r="A23" s="2666" t="s">
        <v>1063</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c r="A30" s="3479" t="s">
        <v>1885</v>
      </c>
      <c r="B30" s="3480" t="s">
        <v>1886</v>
      </c>
      <c r="C30" s="3480" t="s">
        <v>1887</v>
      </c>
      <c r="D30" s="3482" t="s">
        <v>1888</v>
      </c>
      <c r="E30" s="3483"/>
      <c r="F30" s="3484" t="s">
        <v>1889</v>
      </c>
      <c r="G30" s="3484"/>
      <c r="H30" s="3479" t="s">
        <v>1890</v>
      </c>
      <c r="I30" s="3479"/>
    </row>
    <row r="31" spans="1:11" ht="14.5">
      <c r="A31" s="3479"/>
      <c r="B31" s="3481"/>
      <c r="C31" s="3481"/>
      <c r="D31" s="2749" t="s">
        <v>1891</v>
      </c>
      <c r="E31" s="2749" t="s">
        <v>1892</v>
      </c>
      <c r="F31" s="2749" t="s">
        <v>1891</v>
      </c>
      <c r="G31" s="2749" t="s">
        <v>1893</v>
      </c>
      <c r="H31" s="2749" t="s">
        <v>1891</v>
      </c>
      <c r="I31" s="2749" t="s">
        <v>1893</v>
      </c>
    </row>
    <row r="32" spans="1:11" ht="40.5" customHeight="1">
      <c r="A32" s="3351" t="str">
        <f>项目基本情况!F10</f>
        <v>大兴区广茂大街19号院商业、办公、地下车库用房房地产</v>
      </c>
      <c r="B32" s="2749">
        <f>B1</f>
        <v>175770.51</v>
      </c>
      <c r="C32" s="2749">
        <f>B2</f>
        <v>35673.11</v>
      </c>
      <c r="D32" s="2749">
        <f ca="1">H32-F32</f>
        <v>117441</v>
      </c>
      <c r="E32" s="3363">
        <f ca="1">I32-G32</f>
        <v>6681</v>
      </c>
      <c r="F32" s="2749">
        <f ca="1">结果表!F118+结果表办!F118+结果表车!F118</f>
        <v>135867</v>
      </c>
      <c r="G32" s="3363">
        <f ca="1">ROUND(F32*10000/B32,0)</f>
        <v>7730</v>
      </c>
      <c r="H32" s="2749">
        <f ca="1">B5</f>
        <v>253308</v>
      </c>
      <c r="I32" s="2749">
        <f ca="1">ROUND(H32*10000/B32,0)</f>
        <v>14411</v>
      </c>
    </row>
    <row r="33" spans="1:9">
      <c r="A33" s="3479" t="s">
        <v>1894</v>
      </c>
      <c r="B33" s="3479"/>
      <c r="C33" s="3479"/>
      <c r="D33" s="3485" t="str">
        <f ca="1">NUMBERSTRING(INT(D32*10000),2)&amp;"元整"</f>
        <v>壹拾壹亿柒仟肆佰肆拾壹万元整</v>
      </c>
      <c r="E33" s="3486"/>
      <c r="F33" s="3485" t="str">
        <f ca="1">NUMBERSTRING(INT(F32*10000),2)&amp;"元整"</f>
        <v>壹拾叁亿伍仟捌佰陆拾柒万元整</v>
      </c>
      <c r="G33" s="3486"/>
      <c r="H33" s="3485" t="str">
        <f ca="1">NUMBERSTRING(INT(H32*10000),2)&amp;"元整"</f>
        <v>贰拾伍亿叁仟叁佰零捌万元整</v>
      </c>
      <c r="I33" s="3486"/>
    </row>
    <row r="34" spans="1:9">
      <c r="A34" s="3487" t="e">
        <f>IF(项目基本情况!#REF!="房地产市场价值","",MID(E17,3,LEN(E17)-2))</f>
        <v>#REF!</v>
      </c>
      <c r="B34" s="3488"/>
      <c r="C34" s="3489"/>
      <c r="D34" s="3487">
        <f ca="1">H32</f>
        <v>253308</v>
      </c>
      <c r="E34" s="3488"/>
      <c r="F34" s="3488"/>
      <c r="G34" s="3488"/>
      <c r="H34" s="3488"/>
      <c r="I34" s="3489"/>
    </row>
    <row r="35" spans="1:9">
      <c r="A35" s="3490" t="s">
        <v>1894</v>
      </c>
      <c r="B35" s="3491"/>
      <c r="C35" s="3492"/>
      <c r="D35" s="3485" t="str">
        <f ca="1">IF(D34=0,"零元整",NUMBERSTRING(INT(D34*10000),2)&amp;"元整")</f>
        <v>贰拾伍亿叁仟叁佰零捌万元整</v>
      </c>
      <c r="E35" s="3493"/>
      <c r="F35" s="3493"/>
      <c r="G35" s="3493"/>
      <c r="H35" s="3493"/>
      <c r="I35" s="3486"/>
    </row>
    <row r="36" spans="1:9">
      <c r="A36" s="3494" t="e">
        <f>IF(项目基本情况!#REF!="房地产市场价值","",MID(E21,3,LEN(E21)-2))</f>
        <v>#REF!</v>
      </c>
      <c r="B36" s="3494"/>
      <c r="C36" s="3494"/>
      <c r="D36" s="3487">
        <f>H21</f>
        <v>0</v>
      </c>
      <c r="E36" s="3488"/>
      <c r="F36" s="3488"/>
      <c r="G36" s="3488"/>
      <c r="H36" s="3488"/>
      <c r="I36" s="3489"/>
    </row>
    <row r="37" spans="1:9">
      <c r="A37" s="3479" t="s">
        <v>1894</v>
      </c>
      <c r="B37" s="3479"/>
      <c r="C37" s="3479"/>
      <c r="D37" s="3485" t="str">
        <f>NUMBERSTRING(INT(D36*10000),2)&amp;"元整"</f>
        <v>零元整</v>
      </c>
      <c r="E37" s="3493"/>
      <c r="F37" s="3493"/>
      <c r="G37" s="3493"/>
      <c r="H37" s="3493"/>
      <c r="I37" s="3486"/>
    </row>
  </sheetData>
  <sheetProtection password="CEE9" sheet="1" objects="1" scenarios="1" formatCells="0" formatColumns="0" formatRows="0"/>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13" customWidth="1"/>
    <col min="2" max="9" width="10" style="913" customWidth="1"/>
    <col min="10" max="16384" width="9" style="913"/>
  </cols>
  <sheetData>
    <row r="36" spans="1:9">
      <c r="A36" s="912" t="s">
        <v>637</v>
      </c>
      <c r="B36" s="912" t="s">
        <v>638</v>
      </c>
    </row>
    <row r="37" spans="1:9" ht="27.75" customHeight="1">
      <c r="A37" s="912"/>
      <c r="B37" s="3379" t="str">
        <f>项目基本情况!B1</f>
        <v>北京市大兴区广茂大街19号院商业、办公、地下车库用房房地产房地产抵押价值预评估</v>
      </c>
      <c r="C37" s="3379"/>
      <c r="D37" s="3379"/>
      <c r="E37" s="3379"/>
      <c r="F37" s="3379"/>
      <c r="G37" s="3379"/>
      <c r="H37" s="3379"/>
      <c r="I37" s="3379"/>
    </row>
    <row r="38" spans="1:9">
      <c r="A38" s="914"/>
      <c r="B38" s="914"/>
    </row>
    <row r="39" spans="1:9">
      <c r="A39" s="912" t="s">
        <v>637</v>
      </c>
      <c r="B39" s="912" t="s">
        <v>639</v>
      </c>
    </row>
    <row r="40" spans="1:9">
      <c r="A40" s="912"/>
      <c r="B40" s="1588" t="str">
        <f>项目基本情况!B5</f>
        <v>北京上德置业有限公司</v>
      </c>
    </row>
    <row r="41" spans="1:9">
      <c r="A41" s="912"/>
      <c r="B41" s="912"/>
    </row>
    <row r="42" spans="1:9">
      <c r="A42" s="912" t="s">
        <v>637</v>
      </c>
      <c r="B42" s="912" t="s">
        <v>640</v>
      </c>
    </row>
    <row r="43" spans="1:9">
      <c r="A43" s="912"/>
      <c r="B43" s="1588" t="s">
        <v>641</v>
      </c>
    </row>
    <row r="44" spans="1:9">
      <c r="A44" s="912"/>
      <c r="B44" s="912"/>
    </row>
    <row r="45" spans="1:9">
      <c r="A45" s="912" t="s">
        <v>637</v>
      </c>
      <c r="B45" s="912" t="s">
        <v>642</v>
      </c>
    </row>
    <row r="46" spans="1:9" s="912" customFormat="1" ht="13.5">
      <c r="B46" s="1588" t="str">
        <f ca="1">项目基本情况!K4</f>
        <v>郑燚（注册号：1120070131)、吴薇（注册号：1419970001)</v>
      </c>
    </row>
    <row r="47" spans="1:9">
      <c r="A47" s="912"/>
      <c r="B47" s="912" t="str">
        <f>项目基本情况!K5</f>
        <v>（注册号：0)、（注册号：0)</v>
      </c>
    </row>
    <row r="48" spans="1:9">
      <c r="A48" s="912" t="s">
        <v>637</v>
      </c>
      <c r="B48" s="912" t="s">
        <v>643</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7" zoomScaleNormal="100" zoomScaleSheetLayoutView="100" zoomScalePageLayoutView="80" workbookViewId="0">
      <selection activeCell="L111" sqref="L111"/>
    </sheetView>
  </sheetViews>
  <sheetFormatPr defaultColWidth="12.6328125" defaultRowHeight="21.75" customHeight="1"/>
  <cols>
    <col min="1" max="2" width="12.6328125" style="1867"/>
    <col min="3" max="3" width="12.6328125" style="1867" customWidth="1"/>
    <col min="4" max="4" width="15.7265625" style="1867" customWidth="1"/>
    <col min="5" max="5" width="14.453125" style="1867" customWidth="1"/>
    <col min="6"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c r="D1" s="1861"/>
      <c r="E1" s="1861"/>
      <c r="F1" s="1863" t="s">
        <v>1705</v>
      </c>
      <c r="G1" s="1675" t="s">
        <v>3276</v>
      </c>
      <c r="H1" s="1864" t="str">
        <f>IF(G1="现房","——","估价对象范围")</f>
        <v>——</v>
      </c>
      <c r="I1" s="1865" t="s">
        <v>3659</v>
      </c>
    </row>
    <row r="2" spans="1:12" ht="21.75" customHeight="1" thickBot="1">
      <c r="A2" s="3560" t="str">
        <f>项目基本情况!S2</f>
        <v>北京市大兴区广茂大街19号院商业、办公、地下车库用房房地产房地产</v>
      </c>
      <c r="B2" s="3561"/>
      <c r="C2" s="3561"/>
      <c r="D2" s="3561"/>
      <c r="E2" s="3561"/>
      <c r="F2" s="3561"/>
      <c r="G2" s="3561"/>
      <c r="H2" s="3561"/>
      <c r="I2" s="3562"/>
    </row>
    <row r="3" spans="1:12" ht="13">
      <c r="A3" s="3564" t="s">
        <v>1706</v>
      </c>
      <c r="B3" s="3565"/>
      <c r="C3" s="3565"/>
      <c r="D3" s="3565"/>
      <c r="E3" s="3565"/>
      <c r="F3" s="3565"/>
      <c r="G3" s="3565"/>
      <c r="H3" s="3565"/>
      <c r="I3" s="3565"/>
    </row>
    <row r="4" spans="1:12" ht="14">
      <c r="A4" s="1868" t="s">
        <v>1707</v>
      </c>
      <c r="B4" s="1869" t="s">
        <v>1708</v>
      </c>
      <c r="C4" s="1870" t="s">
        <v>3275</v>
      </c>
      <c r="D4" s="1870" t="s">
        <v>3657</v>
      </c>
      <c r="E4" s="3569" t="s">
        <v>1709</v>
      </c>
      <c r="F4" s="3570"/>
      <c r="G4" s="3570"/>
      <c r="H4" s="3570"/>
      <c r="I4" s="3571"/>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510" t="s">
        <v>1710</v>
      </c>
      <c r="B5" s="3563">
        <v>25</v>
      </c>
      <c r="C5" s="3566">
        <v>22</v>
      </c>
      <c r="D5" s="3554">
        <v>22</v>
      </c>
      <c r="E5" s="126" t="s">
        <v>1711</v>
      </c>
      <c r="F5" s="1871"/>
      <c r="G5" s="1871"/>
      <c r="H5" s="1871"/>
      <c r="I5" s="1486"/>
    </row>
    <row r="6" spans="1:12" ht="13">
      <c r="A6" s="3510"/>
      <c r="B6" s="3563"/>
      <c r="C6" s="3568"/>
      <c r="D6" s="3554"/>
      <c r="E6" s="126" t="s">
        <v>1712</v>
      </c>
      <c r="F6" s="1871"/>
      <c r="G6" s="1871"/>
      <c r="H6" s="1871"/>
      <c r="I6" s="1486"/>
    </row>
    <row r="7" spans="1:12" ht="13">
      <c r="A7" s="3510"/>
      <c r="B7" s="3563"/>
      <c r="C7" s="3567"/>
      <c r="D7" s="3554"/>
      <c r="E7" s="126" t="s">
        <v>1713</v>
      </c>
      <c r="F7" s="1871"/>
      <c r="G7" s="1871"/>
      <c r="H7" s="1871"/>
      <c r="I7" s="1486"/>
    </row>
    <row r="8" spans="1:12" ht="13">
      <c r="A8" s="3510" t="s">
        <v>1714</v>
      </c>
      <c r="B8" s="3563">
        <v>15</v>
      </c>
      <c r="C8" s="3566">
        <v>13</v>
      </c>
      <c r="D8" s="3554">
        <v>11</v>
      </c>
      <c r="E8" s="126" t="s">
        <v>1715</v>
      </c>
      <c r="F8" s="1871"/>
      <c r="G8" s="1871"/>
      <c r="H8" s="1871"/>
      <c r="I8" s="1486"/>
    </row>
    <row r="9" spans="1:12" ht="13">
      <c r="A9" s="3510"/>
      <c r="B9" s="3563"/>
      <c r="C9" s="3567"/>
      <c r="D9" s="3554"/>
      <c r="E9" s="126" t="s">
        <v>1716</v>
      </c>
      <c r="F9" s="1871"/>
      <c r="G9" s="1871"/>
      <c r="H9" s="1871"/>
      <c r="I9" s="1486"/>
    </row>
    <row r="10" spans="1:12" ht="13">
      <c r="A10" s="3510" t="s">
        <v>1717</v>
      </c>
      <c r="B10" s="3563">
        <v>15</v>
      </c>
      <c r="C10" s="3566">
        <v>13</v>
      </c>
      <c r="D10" s="3554">
        <v>11</v>
      </c>
      <c r="E10" s="126" t="s">
        <v>1718</v>
      </c>
      <c r="F10" s="1871"/>
      <c r="G10" s="1871"/>
      <c r="H10" s="1871"/>
      <c r="I10" s="1486"/>
    </row>
    <row r="11" spans="1:12" ht="13">
      <c r="A11" s="3510"/>
      <c r="B11" s="3563"/>
      <c r="C11" s="3567"/>
      <c r="D11" s="3554"/>
      <c r="E11" s="126" t="s">
        <v>1719</v>
      </c>
      <c r="F11" s="1871"/>
      <c r="G11" s="1871"/>
      <c r="H11" s="1871"/>
      <c r="I11" s="1486"/>
    </row>
    <row r="12" spans="1:12" ht="13">
      <c r="A12" s="3510" t="s">
        <v>1720</v>
      </c>
      <c r="B12" s="3563">
        <v>15</v>
      </c>
      <c r="C12" s="3566">
        <v>9</v>
      </c>
      <c r="D12" s="3554">
        <v>11</v>
      </c>
      <c r="E12" s="126" t="s">
        <v>1721</v>
      </c>
      <c r="F12" s="1871"/>
      <c r="G12" s="1871"/>
      <c r="H12" s="1871"/>
      <c r="I12" s="1486"/>
    </row>
    <row r="13" spans="1:12" ht="13">
      <c r="A13" s="3510"/>
      <c r="B13" s="3563"/>
      <c r="C13" s="3567"/>
      <c r="D13" s="3554"/>
      <c r="E13" s="126" t="s">
        <v>1722</v>
      </c>
      <c r="F13" s="1871"/>
      <c r="G13" s="1871"/>
      <c r="H13" s="1871"/>
      <c r="I13" s="1486"/>
    </row>
    <row r="14" spans="1:12" ht="13">
      <c r="A14" s="3510" t="s">
        <v>1723</v>
      </c>
      <c r="B14" s="3563">
        <v>30</v>
      </c>
      <c r="C14" s="3566">
        <v>22</v>
      </c>
      <c r="D14" s="3554">
        <v>24</v>
      </c>
      <c r="E14" s="126" t="s">
        <v>1724</v>
      </c>
      <c r="F14" s="1871"/>
      <c r="G14" s="1871"/>
      <c r="H14" s="1871"/>
      <c r="I14" s="1486"/>
    </row>
    <row r="15" spans="1:12" ht="13">
      <c r="A15" s="3510"/>
      <c r="B15" s="3563"/>
      <c r="C15" s="3568"/>
      <c r="D15" s="3554"/>
      <c r="E15" s="126" t="s">
        <v>1725</v>
      </c>
      <c r="F15" s="1871"/>
      <c r="G15" s="1871"/>
      <c r="H15" s="1871"/>
      <c r="I15" s="1486"/>
    </row>
    <row r="16" spans="1:12" ht="13">
      <c r="A16" s="3510"/>
      <c r="B16" s="3563"/>
      <c r="C16" s="3567"/>
      <c r="D16" s="3554"/>
      <c r="E16" s="126" t="s">
        <v>1726</v>
      </c>
      <c r="F16" s="1871"/>
      <c r="G16" s="1871"/>
      <c r="H16" s="1871"/>
      <c r="I16" s="1486"/>
    </row>
    <row r="17" spans="1:36" ht="14">
      <c r="A17" s="1872" t="s">
        <v>1727</v>
      </c>
      <c r="B17" s="60"/>
      <c r="C17" s="127">
        <f>SUM(C5:C16)</f>
        <v>79</v>
      </c>
      <c r="D17" s="127">
        <f>SUM(D5:D16)</f>
        <v>79</v>
      </c>
      <c r="E17" s="124"/>
      <c r="F17" s="124"/>
      <c r="G17" s="124"/>
      <c r="H17" s="124"/>
      <c r="I17" s="124"/>
      <c r="K17" s="298"/>
      <c r="L17" s="298" t="s">
        <v>1728</v>
      </c>
      <c r="M17" s="298" t="s">
        <v>1729</v>
      </c>
    </row>
    <row r="18" spans="1:36" ht="32.15" customHeight="1" thickBot="1">
      <c r="A18" s="1873" t="s">
        <v>1730</v>
      </c>
      <c r="B18" s="1874"/>
      <c r="C18" s="128">
        <f>ROUND(C17/SUM(C17:D17),2)</f>
        <v>0.5</v>
      </c>
      <c r="D18" s="128">
        <f>1-C18</f>
        <v>0.5</v>
      </c>
      <c r="E18" s="3585" t="s">
        <v>2627</v>
      </c>
      <c r="F18" s="3586"/>
      <c r="G18" s="3586"/>
      <c r="H18" s="3586"/>
      <c r="I18" s="3586"/>
      <c r="K18" s="298" t="s">
        <v>1731</v>
      </c>
      <c r="L18" s="298">
        <f>IF(C1="",'数据-汇总表'!E3,SUMIF(项目类型,C1,'数据-汇总表'!E17:E26)+SUMIF(项目类型,C1,'数据-汇总表'!I17:I26))</f>
        <v>175770.51</v>
      </c>
      <c r="M18" s="298">
        <f>IF(C1="",'数据-汇总表'!E3,SUMIF(项目类型,C1,'数据-汇总表'!E17:E26))</f>
        <v>175770.51</v>
      </c>
    </row>
    <row r="19" spans="1:36" ht="14">
      <c r="A19" s="1875" t="s">
        <v>1732</v>
      </c>
      <c r="B19" s="1876" t="s">
        <v>1733</v>
      </c>
      <c r="C19" s="129">
        <f ca="1">SUMIF(INDIRECT("'"&amp;C4&amp;"'"&amp;"!A:A"),结果表!B19,INDIRECT("'"&amp;C4&amp;"'"&amp;"!B:B"))</f>
        <v>286607</v>
      </c>
      <c r="D19" s="130">
        <f ca="1">SUMIF(INDIRECT("'"&amp;D4&amp;"'"&amp;"!A:A"),结果表!B19,INDIRECT("'"&amp;D4&amp;"'"&amp;"!B:B"))</f>
        <v>222815</v>
      </c>
      <c r="E19" s="1875" t="s">
        <v>1734</v>
      </c>
      <c r="F19" s="1876" t="s">
        <v>1733</v>
      </c>
      <c r="G19" s="131">
        <f ca="1">ROUND(C19*$C$18+D19*$D$18,0)</f>
        <v>254711</v>
      </c>
      <c r="H19" s="1877" t="s">
        <v>1735</v>
      </c>
      <c r="I19" s="124"/>
      <c r="K19" s="298" t="s">
        <v>1736</v>
      </c>
      <c r="L19" s="298">
        <f>IF(C1="",'数据-汇总表'!D3,SUMIF(项目类型,C1,'数据-汇总表'!D17:D26)+SUMIF(项目类型,C1,'数据-汇总表'!H17:H27))</f>
        <v>35673.11</v>
      </c>
      <c r="M19" s="298">
        <f>IF(C1="",'数据-汇总表'!D3,SUMIF(项目类型,C1,'数据-汇总表'!D17:D26))</f>
        <v>35673.11</v>
      </c>
    </row>
    <row r="20" spans="1:36" ht="14">
      <c r="A20" s="1878"/>
      <c r="B20" s="1117" t="s">
        <v>1737</v>
      </c>
      <c r="C20" s="132">
        <f ca="1">SUMIF(INDIRECT("'"&amp;C4&amp;"'"&amp;"!A:A"),结果表!B20,INDIRECT("'"&amp;C4&amp;"'"&amp;"!B:B"))</f>
        <v>16306</v>
      </c>
      <c r="D20" s="133">
        <f ca="1">SUMIF(INDIRECT("'"&amp;D4&amp;"'"&amp;"!A:A"),结果表!B20,INDIRECT("'"&amp;D4&amp;"'"&amp;"!B:B"))</f>
        <v>12676</v>
      </c>
      <c r="E20" s="1878"/>
      <c r="F20" s="1117" t="s">
        <v>1737</v>
      </c>
      <c r="G20" s="134">
        <f ca="1">ROUND(C20*$C$18+D20*$D$18,0)</f>
        <v>14491</v>
      </c>
      <c r="H20" s="878" t="s">
        <v>1738</v>
      </c>
      <c r="I20" s="124"/>
    </row>
    <row r="21" spans="1:36" ht="15" customHeight="1" thickBot="1">
      <c r="A21" s="898"/>
      <c r="B21" s="1879" t="s">
        <v>1739</v>
      </c>
      <c r="C21" s="714">
        <f ca="1">ROUND(C19*10000/L19,0)</f>
        <v>80343</v>
      </c>
      <c r="D21" s="715">
        <f ca="1">ROUND(D19*10000/L19,0)</f>
        <v>62460</v>
      </c>
      <c r="E21" s="898"/>
      <c r="F21" s="1879" t="s">
        <v>1739</v>
      </c>
      <c r="G21" s="135">
        <f ca="1">ROUND(G19*10000/L19,0)</f>
        <v>71401</v>
      </c>
      <c r="H21" s="1880" t="s">
        <v>1738</v>
      </c>
      <c r="I21" s="124"/>
    </row>
    <row r="22" spans="1:36" ht="14.5" thickBot="1">
      <c r="A22" s="1802" t="s">
        <v>1740</v>
      </c>
      <c r="B22" s="1881"/>
      <c r="C22" s="1882"/>
      <c r="D22" s="716">
        <f ca="1">IF(C19&lt;D19,D19/C19-1,C19/D19-1)</f>
        <v>0.28630029396584611</v>
      </c>
      <c r="E22" s="124"/>
      <c r="F22" s="124"/>
      <c r="G22" s="124"/>
      <c r="H22" s="124"/>
      <c r="I22" s="124"/>
    </row>
    <row r="23" spans="1:36" ht="13" thickBot="1">
      <c r="A23" s="1861"/>
      <c r="B23" s="1861"/>
      <c r="C23" s="1861"/>
      <c r="D23" s="1861"/>
      <c r="E23" s="124"/>
      <c r="F23" s="124"/>
      <c r="G23" s="124"/>
      <c r="H23" s="124"/>
      <c r="I23" s="124"/>
    </row>
    <row r="24" spans="1:36" ht="14">
      <c r="A24" s="3578" t="s">
        <v>1741</v>
      </c>
      <c r="B24" s="1876" t="s">
        <v>1733</v>
      </c>
      <c r="C24" s="131">
        <f>IF(B30=0,0,D30)</f>
        <v>0</v>
      </c>
      <c r="D24" s="1883"/>
      <c r="E24" s="124"/>
      <c r="F24" s="124"/>
      <c r="G24" s="124"/>
      <c r="H24" s="124"/>
      <c r="I24" s="124"/>
    </row>
    <row r="25" spans="1:36" ht="14">
      <c r="A25" s="3579"/>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3375" t="s">
        <v>3660</v>
      </c>
      <c r="B27" s="137">
        <v>0</v>
      </c>
      <c r="C27" s="137">
        <v>0</v>
      </c>
      <c r="D27" s="138">
        <f>ROUND(14025464.08/10000,0)</f>
        <v>1403</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f>D27</f>
        <v>1403</v>
      </c>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254711</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172185</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82526</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55" t="s">
        <v>1754</v>
      </c>
      <c r="B36" s="1901" t="s">
        <v>1755</v>
      </c>
      <c r="C36" s="140"/>
      <c r="D36" s="1902" t="s">
        <v>3661</v>
      </c>
      <c r="E36" s="1903"/>
      <c r="F36" s="1904"/>
      <c r="G36" s="124"/>
      <c r="H36" s="124"/>
      <c r="I36" s="124"/>
    </row>
    <row r="37" spans="1:15" ht="14.5" thickBot="1">
      <c r="A37" s="3556"/>
      <c r="B37" s="1788" t="s">
        <v>1756</v>
      </c>
      <c r="C37" s="142"/>
      <c r="D37" s="1233"/>
      <c r="E37" s="1233"/>
      <c r="F37" s="1904"/>
      <c r="G37" s="124"/>
      <c r="H37" s="124"/>
      <c r="I37" s="124"/>
    </row>
    <row r="38" spans="1:15" ht="14.5" thickBot="1">
      <c r="A38" s="3557"/>
      <c r="B38" s="1905" t="s">
        <v>1757</v>
      </c>
      <c r="C38" s="669"/>
      <c r="D38" s="1906" t="s">
        <v>1758</v>
      </c>
      <c r="E38" s="1233"/>
      <c r="F38" s="1904"/>
      <c r="G38" s="124"/>
      <c r="H38" s="124"/>
      <c r="I38" s="124"/>
    </row>
    <row r="39" spans="1:15" ht="14">
      <c r="A39" s="1878" t="s">
        <v>1759</v>
      </c>
      <c r="B39" s="1907" t="s">
        <v>1760</v>
      </c>
      <c r="C39" s="1908" t="s">
        <v>1761</v>
      </c>
      <c r="D39" s="1908" t="s">
        <v>1762</v>
      </c>
      <c r="E39" s="1909" t="s">
        <v>1763</v>
      </c>
      <c r="F39" s="1904"/>
      <c r="G39" s="124"/>
      <c r="H39" s="124"/>
      <c r="I39" s="124"/>
    </row>
    <row r="40" spans="1:15" ht="14">
      <c r="A40" s="1910" t="s">
        <v>1764</v>
      </c>
      <c r="B40" s="144"/>
      <c r="C40" s="145"/>
      <c r="D40" s="145"/>
      <c r="E40" s="146">
        <f>D30</f>
        <v>1403</v>
      </c>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5" t="s">
        <v>1768</v>
      </c>
      <c r="B45" s="3576"/>
      <c r="C45" s="3577"/>
      <c r="D45" s="150">
        <f ca="1">ROUND(H101*F45,0)</f>
        <v>253308</v>
      </c>
      <c r="E45" s="151" t="s">
        <v>1769</v>
      </c>
      <c r="F45" s="152">
        <v>1</v>
      </c>
      <c r="G45" s="153" t="s">
        <v>1770</v>
      </c>
      <c r="H45" s="124"/>
      <c r="I45" s="124"/>
      <c r="J45" s="3497" t="s">
        <v>1771</v>
      </c>
      <c r="K45" s="3497"/>
      <c r="L45" s="3497"/>
      <c r="M45" s="3497"/>
      <c r="N45" s="3497"/>
      <c r="O45" s="3497"/>
    </row>
    <row r="46" spans="1:15" ht="14.25" customHeight="1">
      <c r="A46" s="3572" t="s">
        <v>1772</v>
      </c>
      <c r="B46" s="3573"/>
      <c r="C46" s="3573"/>
      <c r="D46" s="3573"/>
      <c r="E46" s="3573"/>
      <c r="F46" s="3573"/>
      <c r="G46" s="3574"/>
      <c r="H46" s="1920"/>
      <c r="I46" s="154"/>
      <c r="J46" s="2672">
        <v>1</v>
      </c>
      <c r="K46" s="3498" t="s">
        <v>1773</v>
      </c>
      <c r="L46" s="3498"/>
      <c r="M46" s="3499"/>
      <c r="N46" s="3499"/>
      <c r="O46" s="3499"/>
    </row>
    <row r="47" spans="1:15" ht="12" customHeight="1">
      <c r="A47" s="155" t="s">
        <v>1774</v>
      </c>
      <c r="B47" s="156"/>
      <c r="C47" s="157"/>
      <c r="D47" s="1179" t="s">
        <v>1775</v>
      </c>
      <c r="E47" s="298" t="s">
        <v>1776</v>
      </c>
      <c r="F47" s="158" t="s">
        <v>1777</v>
      </c>
      <c r="G47" s="2695" t="s">
        <v>1778</v>
      </c>
      <c r="H47" s="2696"/>
      <c r="I47" s="154"/>
      <c r="J47" s="2672">
        <v>2</v>
      </c>
      <c r="K47" s="3498" t="s">
        <v>1779</v>
      </c>
      <c r="L47" s="3498"/>
      <c r="M47" s="3500">
        <f>'数据-取费表'!B2</f>
        <v>44693</v>
      </c>
      <c r="N47" s="3500"/>
      <c r="O47" s="3500"/>
    </row>
    <row r="48" spans="1:15" ht="26">
      <c r="A48" s="3558" t="s">
        <v>1780</v>
      </c>
      <c r="B48" s="3559"/>
      <c r="C48" s="3559"/>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1781</v>
      </c>
      <c r="H48" s="2699"/>
      <c r="I48" s="1920"/>
      <c r="J48" s="2672">
        <v>3</v>
      </c>
      <c r="K48" s="3498" t="s">
        <v>1782</v>
      </c>
      <c r="L48" s="3498"/>
      <c r="M48" s="3501">
        <f ca="1">H101</f>
        <v>253308</v>
      </c>
      <c r="N48" s="3501"/>
      <c r="O48" s="3501"/>
    </row>
    <row r="49" spans="1:35" ht="25.5" customHeight="1">
      <c r="A49" s="2484" t="s">
        <v>1783</v>
      </c>
      <c r="B49" s="3542" t="s">
        <v>1784</v>
      </c>
      <c r="C49" s="3542"/>
      <c r="D49" s="1704">
        <v>0</v>
      </c>
      <c r="E49" s="320" t="s">
        <v>1785</v>
      </c>
      <c r="F49" s="2575" t="s">
        <v>34</v>
      </c>
      <c r="G49" s="3525"/>
      <c r="H49" s="2456" t="s">
        <v>2630</v>
      </c>
      <c r="I49" s="2457"/>
      <c r="J49" s="2672">
        <v>4</v>
      </c>
      <c r="K49" s="3498" t="str">
        <f>IF(项目基本情况!E8="房地产抵押价值","房地产抵押价值","抵押担保权已注销时的房地产抵押价值")</f>
        <v>房地产抵押价值</v>
      </c>
      <c r="L49" s="3498"/>
      <c r="M49" s="3501">
        <f ca="1">IF(项目基本情况!E8="房地产抵押价值",H107,H109)</f>
        <v>253308</v>
      </c>
      <c r="N49" s="3501"/>
      <c r="O49" s="3501"/>
    </row>
    <row r="50" spans="1:35" ht="25.5" customHeight="1">
      <c r="A50" s="2700"/>
      <c r="B50" s="3542" t="s">
        <v>1786</v>
      </c>
      <c r="C50" s="3542"/>
      <c r="D50" s="2701"/>
      <c r="E50" s="328"/>
      <c r="F50" s="2575"/>
      <c r="G50" s="3526"/>
      <c r="H50" s="2458" t="s">
        <v>2631</v>
      </c>
      <c r="I50" s="2457"/>
      <c r="J50" s="3497" t="s">
        <v>1787</v>
      </c>
      <c r="K50" s="3497"/>
      <c r="L50" s="3497"/>
      <c r="M50" s="3497"/>
      <c r="N50" s="3497"/>
      <c r="O50" s="3497"/>
    </row>
    <row r="51" spans="1:35" ht="20.5" customHeight="1">
      <c r="A51" s="2702"/>
      <c r="B51" s="3542" t="s">
        <v>1788</v>
      </c>
      <c r="C51" s="3542"/>
      <c r="D51" s="1179"/>
      <c r="E51" s="323"/>
      <c r="F51" s="2575"/>
      <c r="G51" s="3527"/>
      <c r="H51" s="2458" t="s">
        <v>2632</v>
      </c>
      <c r="I51" s="2457"/>
      <c r="J51" s="2673" t="s">
        <v>1789</v>
      </c>
      <c r="K51" s="3498" t="s">
        <v>1790</v>
      </c>
      <c r="L51" s="3498"/>
      <c r="M51" s="2673" t="s">
        <v>1791</v>
      </c>
      <c r="N51" s="2673" t="s">
        <v>1792</v>
      </c>
      <c r="O51" s="2673" t="s">
        <v>1793</v>
      </c>
    </row>
    <row r="52" spans="1:35" ht="24" customHeight="1">
      <c r="A52" s="2486" t="s">
        <v>1794</v>
      </c>
      <c r="B52" s="3542" t="s">
        <v>1795</v>
      </c>
      <c r="C52" s="3542"/>
      <c r="D52" s="1179">
        <f ca="1">ROUND(D45*'数据-取费表'!B41/(1+'数据-取费表'!C42),0)</f>
        <v>13269</v>
      </c>
      <c r="E52" s="2485" t="s">
        <v>1796</v>
      </c>
      <c r="F52" s="2703">
        <f>'数据-取费表'!B41</f>
        <v>5.5000000000000007E-2</v>
      </c>
      <c r="G52" s="2704"/>
      <c r="H52" s="2693"/>
      <c r="I52" s="1921"/>
      <c r="J52" s="2672">
        <v>1</v>
      </c>
      <c r="K52" s="3519" t="s">
        <v>1797</v>
      </c>
      <c r="L52" s="3519"/>
      <c r="M52" s="2674" t="b">
        <f>D48</f>
        <v>0</v>
      </c>
      <c r="N52" s="2672" t="str">
        <f>E48</f>
        <v>销售额×税（费）率</v>
      </c>
      <c r="O52" s="2675">
        <f>F48</f>
        <v>5.5000000000000007E-2</v>
      </c>
    </row>
    <row r="53" spans="1:35" ht="12" customHeight="1">
      <c r="A53" s="2486" t="s">
        <v>1798</v>
      </c>
      <c r="B53" s="3543" t="s">
        <v>2783</v>
      </c>
      <c r="C53" s="3544"/>
      <c r="D53" s="1179">
        <f ca="1">ROUND(D45*'数据-取费表'!B41/(1+'数据-取费表'!C42),0)</f>
        <v>13269</v>
      </c>
      <c r="E53" s="2485" t="s">
        <v>1796</v>
      </c>
      <c r="F53" s="2703">
        <f>'数据-取费表'!B41</f>
        <v>5.5000000000000007E-2</v>
      </c>
      <c r="G53" s="2704"/>
      <c r="H53" s="2693"/>
      <c r="I53" s="1921"/>
      <c r="J53" s="2672">
        <v>2</v>
      </c>
      <c r="K53" s="3519" t="s">
        <v>1799</v>
      </c>
      <c r="L53" s="3519"/>
      <c r="M53" s="2674">
        <f t="shared" ref="M53:O54" ca="1" si="0">D55</f>
        <v>127</v>
      </c>
      <c r="N53" s="2672" t="str">
        <f t="shared" si="0"/>
        <v>销售额×税（费）率</v>
      </c>
      <c r="O53" s="2675" t="str">
        <f t="shared" si="0"/>
        <v>免征</v>
      </c>
    </row>
    <row r="54" spans="1:35" ht="12" customHeight="1">
      <c r="A54" s="2486" t="s">
        <v>1800</v>
      </c>
      <c r="B54" s="3543" t="s">
        <v>2784</v>
      </c>
      <c r="C54" s="3544"/>
      <c r="D54" s="1179">
        <f ca="1">C68</f>
        <v>13269</v>
      </c>
      <c r="E54" s="323" t="s">
        <v>1801</v>
      </c>
      <c r="F54" s="2703">
        <f>'数据-取费表'!B41</f>
        <v>5.5000000000000007E-2</v>
      </c>
      <c r="G54" s="2704"/>
      <c r="H54" s="2705"/>
      <c r="I54" s="1921"/>
      <c r="J54" s="2672">
        <v>3</v>
      </c>
      <c r="K54" s="3519" t="s">
        <v>1802</v>
      </c>
      <c r="L54" s="3519"/>
      <c r="M54" s="2674">
        <f t="shared" ca="1" si="0"/>
        <v>143602</v>
      </c>
      <c r="N54" s="2672" t="str">
        <f t="shared" si="0"/>
        <v>增值额×税（费）率</v>
      </c>
      <c r="O54" s="2676" t="str">
        <f t="shared" si="0"/>
        <v>免征</v>
      </c>
    </row>
    <row r="55" spans="1:35" ht="24" customHeight="1">
      <c r="A55" s="3581" t="s">
        <v>1803</v>
      </c>
      <c r="B55" s="3559"/>
      <c r="C55" s="3559"/>
      <c r="D55" s="2475">
        <f ca="1">IF(H55="个人住宅",0,ROUND(D45*I55,0))</f>
        <v>127</v>
      </c>
      <c r="E55" s="2485" t="s">
        <v>1804</v>
      </c>
      <c r="F55" s="2703" t="str">
        <f>IF(H55="正常",I55,"免征")</f>
        <v>免征</v>
      </c>
      <c r="G55" s="2704"/>
      <c r="H55" s="2699"/>
      <c r="I55" s="160">
        <f>'数据-取费表'!B49</f>
        <v>5.0000000000000001E-4</v>
      </c>
      <c r="J55" s="2672">
        <f>IF(H59="非个人房产","",4)</f>
        <v>4</v>
      </c>
      <c r="K55" s="3519" t="str">
        <f>IF(H59="非个人房产","——","个人所得税")</f>
        <v>个人所得税</v>
      </c>
      <c r="L55" s="3519"/>
      <c r="M55" s="2677">
        <f ca="1">D59</f>
        <v>2412</v>
      </c>
      <c r="N55" s="2156" t="str">
        <f>E59</f>
        <v>差额计税</v>
      </c>
      <c r="O55" s="2678">
        <f>F59</f>
        <v>0.01</v>
      </c>
    </row>
    <row r="56" spans="1:35" ht="26">
      <c r="A56" s="3581" t="s">
        <v>1805</v>
      </c>
      <c r="B56" s="3559"/>
      <c r="C56" s="3559"/>
      <c r="D56" s="2475">
        <f ca="1">IF(H56="个人住宅",D57,D58)</f>
        <v>143602</v>
      </c>
      <c r="E56" s="2485" t="s">
        <v>1806</v>
      </c>
      <c r="F56" s="2703" t="str">
        <f>IF(H56="正常",F58,"免征")</f>
        <v>免征</v>
      </c>
      <c r="G56" s="2706" t="s">
        <v>1807</v>
      </c>
      <c r="H56" s="2707"/>
      <c r="I56" s="1922"/>
      <c r="J56" s="2672" t="str">
        <f>IF(项目基本情况!K6="上海银行",IF(J55="",4,J55+1),"")</f>
        <v/>
      </c>
      <c r="K56" s="3504" t="str">
        <f>IF(项目基本情况!K6="上海银行","其他处置费用","")</f>
        <v/>
      </c>
      <c r="L56" s="3505"/>
      <c r="M56" s="2674" t="str">
        <f>IF(项目基本情况!K6="上海银行",M69,"")</f>
        <v/>
      </c>
      <c r="N56" s="3504" t="str">
        <f>IF(项目基本情况!K6="上海银行","包含处置中涉及的律师、诉讼、拍卖、评估等费用","")</f>
        <v/>
      </c>
      <c r="O56" s="3507"/>
    </row>
    <row r="57" spans="1:35" ht="13">
      <c r="A57" s="2486" t="s">
        <v>1783</v>
      </c>
      <c r="B57" s="3543" t="s">
        <v>1808</v>
      </c>
      <c r="C57" s="3544"/>
      <c r="D57" s="1704">
        <v>0</v>
      </c>
      <c r="E57" s="320" t="s">
        <v>1785</v>
      </c>
      <c r="F57" s="298"/>
      <c r="G57" s="2704"/>
      <c r="H57" s="2708"/>
      <c r="I57" s="1922"/>
      <c r="J57" s="3519">
        <f>IF(AND(J55="",J56=""),4,IF(项目基本情况!K6="上海银行",结果表!J56+1,结果表!J55+1))</f>
        <v>5</v>
      </c>
      <c r="K57" s="3519" t="s">
        <v>1809</v>
      </c>
      <c r="L57" s="2679" t="s">
        <v>1810</v>
      </c>
      <c r="M57" s="2680"/>
      <c r="N57" s="2681">
        <f ca="1">SUMIF(M52:M56,"&lt;9e307")</f>
        <v>146141</v>
      </c>
      <c r="O57" s="2682"/>
      <c r="P57" s="2841">
        <f ca="1">N57/M49</f>
        <v>0.57693006142719538</v>
      </c>
    </row>
    <row r="58" spans="1:35" ht="26">
      <c r="A58" s="2486" t="s">
        <v>1794</v>
      </c>
      <c r="B58" s="3543" t="s">
        <v>1811</v>
      </c>
      <c r="C58" s="3542"/>
      <c r="D58" s="2475">
        <f ca="1">IF(H58="转让取得",C81,C97)</f>
        <v>143602</v>
      </c>
      <c r="E58" s="2485" t="s">
        <v>1806</v>
      </c>
      <c r="F58" s="298" t="s">
        <v>34</v>
      </c>
      <c r="G58" s="2704"/>
      <c r="H58" s="2707"/>
      <c r="I58" s="1922"/>
      <c r="J58" s="3519"/>
      <c r="K58" s="3519"/>
      <c r="L58" s="2679" t="s">
        <v>1812</v>
      </c>
      <c r="M58" s="2683"/>
      <c r="N58" s="2684" t="str">
        <f ca="1">NUMBERSTRING(INT(N57*10000),2)&amp;"元整"</f>
        <v>壹拾肆亿陆仟壹佰肆拾壹万元整</v>
      </c>
      <c r="O58" s="2685"/>
    </row>
    <row r="59" spans="1:35" ht="26.5" thickBot="1">
      <c r="A59" s="3523" t="s">
        <v>1813</v>
      </c>
      <c r="B59" s="3524"/>
      <c r="C59" s="3524"/>
      <c r="D59" s="2709">
        <f ca="1">IF(H59="非个人房产","——",IF(H59="个人住宅（满五唯一有凭证）",0,IF(H59="个人其他（无凭证）",ROUND(D45*F59,0),ROUND(C67*F59,0))))</f>
        <v>2412</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21">
        <f>J57+1</f>
        <v>6</v>
      </c>
      <c r="K59" s="3519" t="s">
        <v>1814</v>
      </c>
      <c r="L59" s="2672" t="s">
        <v>1810</v>
      </c>
      <c r="M59" s="2686"/>
      <c r="N59" s="2687">
        <f ca="1">M49-N57</f>
        <v>107167</v>
      </c>
      <c r="O59" s="2688"/>
    </row>
    <row r="60" spans="1:35" ht="12" customHeight="1">
      <c r="A60" s="1923"/>
      <c r="B60" s="1861"/>
      <c r="C60" s="1861"/>
      <c r="D60" s="1861"/>
      <c r="E60" s="1692"/>
      <c r="F60" s="1922"/>
      <c r="G60" s="1922"/>
      <c r="H60" s="1924"/>
      <c r="I60" s="124"/>
      <c r="J60" s="3522"/>
      <c r="K60" s="3519"/>
      <c r="L60" s="2679" t="s">
        <v>1812</v>
      </c>
      <c r="M60" s="2683"/>
      <c r="N60" s="2684" t="str">
        <f ca="1">NUMBERSTRING(INT(N59*10000),2)&amp;"元整"</f>
        <v>壹拾亿柒仟壹佰陆拾柒万元整</v>
      </c>
      <c r="O60" s="2685"/>
    </row>
    <row r="61" spans="1:35" ht="13.5" thickBot="1">
      <c r="A61" s="3580" t="s">
        <v>1815</v>
      </c>
      <c r="B61" s="3580"/>
      <c r="C61" s="3580"/>
      <c r="D61" s="3580"/>
      <c r="E61" s="3580"/>
      <c r="F61" s="1922"/>
      <c r="G61" s="1922"/>
      <c r="H61" s="1924"/>
      <c r="I61" s="124"/>
      <c r="J61" s="2672">
        <f>J59+1</f>
        <v>7</v>
      </c>
      <c r="K61" s="3519" t="s">
        <v>1816</v>
      </c>
      <c r="L61" s="3519"/>
      <c r="M61" s="2689"/>
      <c r="N61" s="2690">
        <f ca="1">ROUND(N59*10000/'数据-汇总表'!E3,0)</f>
        <v>6097</v>
      </c>
      <c r="O61" s="2691"/>
    </row>
    <row r="62" spans="1:35" ht="13">
      <c r="A62" s="3538" t="s">
        <v>1817</v>
      </c>
      <c r="B62" s="3539"/>
      <c r="C62" s="2137"/>
      <c r="D62" s="2137" t="s">
        <v>1818</v>
      </c>
      <c r="E62" s="161" t="s">
        <v>1819</v>
      </c>
      <c r="F62" s="1922"/>
      <c r="G62" s="1922"/>
      <c r="H62" s="1924"/>
      <c r="I62" s="124"/>
    </row>
    <row r="63" spans="1:35" ht="13">
      <c r="A63" s="168" t="s">
        <v>594</v>
      </c>
      <c r="B63" s="162" t="s">
        <v>1820</v>
      </c>
      <c r="C63" s="2713">
        <f ca="1">ROUND((C64+C65)/(1+'数据-取费表'!C42),0)</f>
        <v>241246</v>
      </c>
      <c r="D63" s="162"/>
      <c r="E63" s="163"/>
      <c r="F63" s="1922"/>
      <c r="G63" s="1922"/>
      <c r="H63" s="1924"/>
      <c r="I63" s="124"/>
      <c r="J63" s="3506" t="s">
        <v>1821</v>
      </c>
      <c r="K63" s="1431" t="s">
        <v>1822</v>
      </c>
      <c r="L63" s="1431">
        <f ca="1">IF(M49&gt;10000,M49*0.5%,IF(AND(M49&gt;1000,M49&lt;=10000),M49*1%,IF(AND(M49&gt;100,M49&lt;=1000),M49*3%,IF(AND(M49&gt;10,M49&lt;=100),M49*5%,M49*8%))))</f>
        <v>1266.54</v>
      </c>
      <c r="M63" s="298">
        <f ca="1">ROUND(L63,1)</f>
        <v>1266.5</v>
      </c>
      <c r="N63" s="2692"/>
      <c r="Z63" s="1866"/>
      <c r="AI63" s="1867"/>
    </row>
    <row r="64" spans="1:35" ht="14.25" customHeight="1">
      <c r="A64" s="164" t="s">
        <v>589</v>
      </c>
      <c r="B64" s="165" t="s">
        <v>1823</v>
      </c>
      <c r="C64" s="2714">
        <f ca="1">D45</f>
        <v>253308</v>
      </c>
      <c r="D64" s="165" t="s">
        <v>32</v>
      </c>
      <c r="E64" s="167"/>
      <c r="F64" s="1922"/>
      <c r="G64" s="1922"/>
      <c r="H64" s="1924"/>
      <c r="I64" s="124"/>
      <c r="J64" s="3506"/>
      <c r="K64" s="1431" t="s">
        <v>1824</v>
      </c>
      <c r="L64" s="1431">
        <f ca="1">IF(M49&gt;2000,M49*0.5%,IF(AND(M49&gt;1000,M49&lt;=2000),M49*0.6%,IF(AND(M49&gt;500,M49&lt;=1000),M49*0.7%,IF(AND(M49&gt;200,M49&lt;=500),M49*0.8%,IF(AND(M49&gt;100,M49&lt;=200),M49*0.9%,IF(AND(M49&gt;50,M49&lt;=100),M49*1%,IF(AND(M49&gt;20,M49&lt;=50),M49*1.5%,IF(AND(M49&gt;10,M49&lt;=20),M49*2%,IF(AND(M49&gt;1,M49&lt;=10),M49*2.5%)))))))))</f>
        <v>1266.54</v>
      </c>
      <c r="M64" s="298">
        <f t="shared" ref="M64:M65" ca="1" si="1">ROUND(L64,1)</f>
        <v>1266.5</v>
      </c>
      <c r="N64" s="2693" t="s">
        <v>1825</v>
      </c>
      <c r="Z64" s="1866"/>
      <c r="AI64" s="1867"/>
    </row>
    <row r="65" spans="1:35" ht="14.25" customHeight="1">
      <c r="A65" s="164" t="s">
        <v>590</v>
      </c>
      <c r="B65" s="165" t="s">
        <v>1826</v>
      </c>
      <c r="C65" s="2715"/>
      <c r="D65" s="165"/>
      <c r="E65" s="167"/>
      <c r="F65" s="1922"/>
      <c r="G65" s="1922"/>
      <c r="H65" s="1924"/>
      <c r="I65" s="124"/>
      <c r="J65" s="3506"/>
      <c r="K65" s="1431" t="s">
        <v>1827</v>
      </c>
      <c r="L65" s="1431">
        <f ca="1">IF(M49&gt;1000,M49*0.1%,IF(AND(M49&gt;500,M49&lt;=1000),M49*0.5%,IF(AND(M49&gt;50,M49&lt;=500),M49*1%,IF(AND(M49&gt;1,M49&lt;=50),M49*1.5%))))</f>
        <v>253.30799999999999</v>
      </c>
      <c r="M65" s="298">
        <f t="shared" ca="1" si="1"/>
        <v>253.3</v>
      </c>
      <c r="N65" s="2693" t="s">
        <v>1825</v>
      </c>
      <c r="Z65" s="1866"/>
      <c r="AI65" s="1867"/>
    </row>
    <row r="66" spans="1:35" ht="14.25" customHeight="1">
      <c r="A66" s="168" t="s">
        <v>591</v>
      </c>
      <c r="B66" s="169" t="s">
        <v>1828</v>
      </c>
      <c r="C66" s="2716"/>
      <c r="D66" s="169" t="s">
        <v>32</v>
      </c>
      <c r="E66" s="1438" t="s">
        <v>1093</v>
      </c>
      <c r="F66" s="1922"/>
      <c r="G66" s="1922"/>
      <c r="H66" s="1924"/>
      <c r="I66" s="124"/>
      <c r="J66" s="3506"/>
      <c r="K66" s="1431" t="s">
        <v>1829</v>
      </c>
      <c r="L66" s="1431">
        <f ca="1">M49*0.5%</f>
        <v>1266.54</v>
      </c>
      <c r="M66" s="298">
        <f ca="1">IF(L66&gt;0.5,0.5,ROUND(L66,0))</f>
        <v>0.5</v>
      </c>
      <c r="N66" s="2693" t="s">
        <v>1830</v>
      </c>
      <c r="Z66" s="1866"/>
      <c r="AI66" s="1867"/>
    </row>
    <row r="67" spans="1:35" ht="14.25" customHeight="1">
      <c r="A67" s="168" t="s">
        <v>592</v>
      </c>
      <c r="B67" s="169" t="s">
        <v>1831</v>
      </c>
      <c r="C67" s="2717">
        <f ca="1">C63-C66</f>
        <v>241246</v>
      </c>
      <c r="D67" s="165" t="s">
        <v>32</v>
      </c>
      <c r="E67" s="167"/>
      <c r="F67" s="1922"/>
      <c r="G67" s="1922"/>
      <c r="H67" s="1924"/>
      <c r="I67" s="124"/>
      <c r="J67" s="3506"/>
      <c r="K67" s="1431" t="s">
        <v>1832</v>
      </c>
      <c r="L67" s="1431">
        <f ca="1">IF(M49&gt;=10000,(8.25+(M49-10000)*0.01%),IF(AND(M49&gt;=8000,M49&lt;10000),(7.85+(M49-8000)*0.02%),IF(AND(M49&gt;=5000,M49&lt;8000),(6.65+(M49-5000)*0.04%),IF(AND(M49&gt;=2000,M49&lt;5000),(4.25+(PM49-2000)*0.08%),IF(AND(M49&gt;=1000,M49&lt;2000),(2.75+(M49-1000)*0.15%),IF(AND(M49&gt;=100,M49&lt;1000),(0.5+(M49-100)*0.25%),IF(AND(M49&gt;0,M49&lt;100),M49*0.5%)))))))</f>
        <v>32.580799999999996</v>
      </c>
      <c r="M67" s="298">
        <f ca="1">ROUND(L67*0.9,1)</f>
        <v>29.3</v>
      </c>
      <c r="N67" s="2692"/>
      <c r="Z67" s="1866"/>
      <c r="AI67" s="1867"/>
    </row>
    <row r="68" spans="1:35" ht="14.25" customHeight="1" thickBot="1">
      <c r="A68" s="171" t="s">
        <v>593</v>
      </c>
      <c r="B68" s="172" t="s">
        <v>1833</v>
      </c>
      <c r="C68" s="2718">
        <f ca="1">IF(C67&lt;=0,0,ROUND(C67*D68,0))</f>
        <v>13269</v>
      </c>
      <c r="D68" s="2719">
        <f>'数据-取费表'!B41</f>
        <v>5.5000000000000007E-2</v>
      </c>
      <c r="E68" s="174"/>
      <c r="F68" s="1922"/>
      <c r="G68" s="1922"/>
      <c r="H68" s="1924"/>
      <c r="I68" s="124"/>
      <c r="J68" s="3506"/>
      <c r="K68" s="1431" t="s">
        <v>1834</v>
      </c>
      <c r="L68" s="1431">
        <f ca="1">IF(M49&gt;10000,M49*0.5%,IF(AND(M49&gt;5000,M49&lt;=10000),M49*1%,IF(AND(M49&gt;1000,M49&lt;=5000),M49*2%,IF(AND(M49&gt;200,M49&lt;=1000),M49*3%,M49*5%))))</f>
        <v>1266.54</v>
      </c>
      <c r="M68" s="298">
        <f ca="1">ROUND(L68,1)</f>
        <v>1266.5</v>
      </c>
      <c r="N68" s="2692"/>
      <c r="Z68" s="1866"/>
      <c r="AI68" s="1867"/>
    </row>
    <row r="69" spans="1:35" s="1886" customFormat="1" ht="16.5" customHeight="1">
      <c r="A69" s="1925"/>
      <c r="B69" s="1926"/>
      <c r="C69" s="1927"/>
      <c r="D69" s="1928"/>
      <c r="E69" s="1929"/>
      <c r="F69" s="1692"/>
      <c r="G69" s="1692"/>
      <c r="H69" s="1691"/>
      <c r="I69" s="1861"/>
      <c r="J69" s="3506"/>
      <c r="K69" s="1431" t="s">
        <v>1835</v>
      </c>
      <c r="L69" s="1431"/>
      <c r="M69" s="298">
        <f ca="1">ROUND(SUM(M63:M68),0)</f>
        <v>4083</v>
      </c>
      <c r="N69" s="2694">
        <f ca="1">M69/M49</f>
        <v>1.6118717134871383E-2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6" t="s">
        <v>1836</v>
      </c>
      <c r="B70" s="3547"/>
      <c r="C70" s="3547"/>
      <c r="D70" s="3547"/>
      <c r="E70" s="3547"/>
      <c r="F70" s="3547"/>
      <c r="G70" s="3547"/>
      <c r="H70" s="3547"/>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8" t="s">
        <v>1817</v>
      </c>
      <c r="B71" s="3539"/>
      <c r="C71" s="2137"/>
      <c r="D71" s="2137"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241246</v>
      </c>
      <c r="D72" s="165" t="s">
        <v>32</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1206</v>
      </c>
      <c r="D73" s="165" t="s">
        <v>32</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43" t="s">
        <v>1844</v>
      </c>
      <c r="F76" s="3542"/>
      <c r="G76" s="3542"/>
      <c r="H76" s="3545"/>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2475" t="s">
        <v>1846</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1206</v>
      </c>
      <c r="D78" s="2726">
        <f>'数据-取费表'!B43</f>
        <v>5.000000000000001E-3</v>
      </c>
      <c r="E78" s="3535" t="s">
        <v>1848</v>
      </c>
      <c r="F78" s="3536"/>
      <c r="G78" s="3536"/>
      <c r="H78" s="3537"/>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598</v>
      </c>
      <c r="B79" s="169" t="s">
        <v>1849</v>
      </c>
      <c r="C79" s="2717">
        <f ca="1">C72-C73</f>
        <v>240040</v>
      </c>
      <c r="D79" s="165" t="s">
        <v>32</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199.03814262023218</v>
      </c>
      <c r="D80" s="165"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143602</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6" t="s">
        <v>1852</v>
      </c>
      <c r="B83" s="3547"/>
      <c r="C83" s="3547"/>
      <c r="D83" s="3547"/>
      <c r="E83" s="3547"/>
      <c r="F83" s="3547"/>
      <c r="G83" s="3547"/>
      <c r="H83" s="3547"/>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8" t="s">
        <v>1817</v>
      </c>
      <c r="B84" s="3539"/>
      <c r="C84" s="2137"/>
      <c r="D84" s="2137"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241246</v>
      </c>
      <c r="D85" s="165" t="s">
        <v>32</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1206</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2478"/>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2478"/>
      <c r="G90" s="3508" t="s">
        <v>2625</v>
      </c>
      <c r="H90" s="3509"/>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5" t="s">
        <v>1861</v>
      </c>
      <c r="F91" s="3536"/>
      <c r="G91" s="353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5" t="s">
        <v>1864</v>
      </c>
      <c r="F92" s="3536"/>
      <c r="G92" s="3536"/>
      <c r="H92" s="3537"/>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1206</v>
      </c>
      <c r="D93" s="2726">
        <f>'数据-取费表'!B43</f>
        <v>5.000000000000001E-3</v>
      </c>
      <c r="E93" s="3535" t="s">
        <v>1848</v>
      </c>
      <c r="F93" s="3536"/>
      <c r="G93" s="3536"/>
      <c r="H93" s="3537"/>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82" t="s">
        <v>1868</v>
      </c>
      <c r="F94" s="3583"/>
      <c r="G94" s="3583"/>
      <c r="H94" s="358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598</v>
      </c>
      <c r="B95" s="169" t="s">
        <v>1849</v>
      </c>
      <c r="C95" s="2717">
        <f ca="1">ROUND(C85-C86,0)</f>
        <v>240040</v>
      </c>
      <c r="D95" s="165" t="s">
        <v>32</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199.03814262023218</v>
      </c>
      <c r="D96" s="165"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143602</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20"/>
      <c r="E100" s="3474" t="s">
        <v>1871</v>
      </c>
      <c r="F100" s="3474"/>
      <c r="G100" s="3474"/>
      <c r="H100" s="3520"/>
      <c r="I100" s="124"/>
    </row>
    <row r="101" spans="1:35" ht="18.75" customHeight="1">
      <c r="A101" s="3528" t="s">
        <v>1872</v>
      </c>
      <c r="B101" s="3529"/>
      <c r="C101" s="2734" t="str">
        <f>C4</f>
        <v>成本法</v>
      </c>
      <c r="D101" s="2735" t="str">
        <f>D4</f>
        <v>收益法（汇总）</v>
      </c>
      <c r="E101" s="3502" t="s">
        <v>1873</v>
      </c>
      <c r="F101" s="3503"/>
      <c r="G101" s="1941" t="s">
        <v>1874</v>
      </c>
      <c r="H101" s="2744">
        <f ca="1">H118</f>
        <v>253308</v>
      </c>
      <c r="I101" s="124"/>
    </row>
    <row r="102" spans="1:35" ht="18.75" customHeight="1">
      <c r="A102" s="3530" t="s">
        <v>1875</v>
      </c>
      <c r="B102" s="2733" t="s">
        <v>1874</v>
      </c>
      <c r="C102" s="2734">
        <f ca="1">C19</f>
        <v>286607</v>
      </c>
      <c r="D102" s="2735">
        <f ca="1">D19</f>
        <v>222815</v>
      </c>
      <c r="E102" s="3502"/>
      <c r="F102" s="3503"/>
      <c r="G102" s="1941" t="s">
        <v>1876</v>
      </c>
      <c r="H102" s="2704">
        <f ca="1">I118</f>
        <v>14411</v>
      </c>
      <c r="I102" s="124"/>
    </row>
    <row r="103" spans="1:35" ht="42.75" customHeight="1">
      <c r="A103" s="3530"/>
      <c r="B103" s="2733" t="s">
        <v>1876</v>
      </c>
      <c r="C103" s="2736">
        <f ca="1">C20</f>
        <v>16306</v>
      </c>
      <c r="D103" s="2737">
        <f ca="1">D20</f>
        <v>12676</v>
      </c>
      <c r="E103" s="3495" t="s">
        <v>1877</v>
      </c>
      <c r="F103" s="3496"/>
      <c r="G103" s="1942" t="s">
        <v>1878</v>
      </c>
      <c r="H103" s="2744">
        <f>IF(D36="正常操作",H104+H105+H106,H105+H106)</f>
        <v>0</v>
      </c>
      <c r="I103" s="124"/>
    </row>
    <row r="104" spans="1:35" ht="18.75" customHeight="1">
      <c r="A104" s="3530" t="s">
        <v>1879</v>
      </c>
      <c r="B104" s="2738" t="s">
        <v>1874</v>
      </c>
      <c r="C104" s="2739">
        <f ca="1">H118</f>
        <v>253308</v>
      </c>
      <c r="D104" s="2740"/>
      <c r="E104" s="1788" t="s">
        <v>1880</v>
      </c>
      <c r="F104" s="1780"/>
      <c r="G104" s="1942" t="s">
        <v>1878</v>
      </c>
      <c r="H104" s="2745" t="str">
        <f>IF(D36="同一抵押权人同一抵押物续贷",C36&amp;"（续贷，未扣减，详见特别提示）",C36)</f>
        <v>（续贷，未扣减，详见特别提示）</v>
      </c>
      <c r="I104" s="124"/>
    </row>
    <row r="105" spans="1:35" ht="18.75" customHeight="1" thickBot="1">
      <c r="A105" s="3540"/>
      <c r="B105" s="2741" t="s">
        <v>1876</v>
      </c>
      <c r="C105" s="2742">
        <f ca="1">I118</f>
        <v>14411</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1" t="str">
        <f>IF(项目基本情况!E8="已注销","——","3.房地产抵押价值")</f>
        <v>3.房地产抵押价值</v>
      </c>
      <c r="F107" s="3503"/>
      <c r="G107" s="1941" t="s">
        <v>1874</v>
      </c>
      <c r="H107" s="2744">
        <f ca="1">IF(E107="——","——",H101-H103)</f>
        <v>253308</v>
      </c>
      <c r="I107" s="124"/>
    </row>
    <row r="108" spans="1:35" ht="18.75" customHeight="1">
      <c r="A108" s="124"/>
      <c r="B108" s="124"/>
      <c r="C108" s="124"/>
      <c r="D108" s="124"/>
      <c r="E108" s="3531"/>
      <c r="F108" s="3503"/>
      <c r="G108" s="1941" t="s">
        <v>1876</v>
      </c>
      <c r="H108" s="2704">
        <f ca="1">ROUND(H107*10000/'数据-汇总表'!E3,0)</f>
        <v>14411</v>
      </c>
      <c r="I108" s="124"/>
    </row>
    <row r="109" spans="1:35" ht="18.75" customHeight="1">
      <c r="A109" s="124"/>
      <c r="B109" s="124"/>
      <c r="C109" s="124"/>
      <c r="D109" s="124"/>
      <c r="E109" s="3531" t="str">
        <f>IF(项目基本情况!E8="已注销及未注销","4.抵押担保权已注销时的房地产抵押价值",IF(项目基本情况!E8="已注销","3.抵押担保权已注销时的房地产抵押价值","——"))</f>
        <v>——</v>
      </c>
      <c r="F109" s="3503"/>
      <c r="G109" s="1941" t="s">
        <v>1874</v>
      </c>
      <c r="H109" s="2747" t="str">
        <f>IF(E109="——","——",H101-H105-H106)</f>
        <v>——</v>
      </c>
      <c r="I109" s="124"/>
    </row>
    <row r="110" spans="1:35" ht="18.75" customHeight="1">
      <c r="A110" s="124"/>
      <c r="B110" s="124"/>
      <c r="C110" s="124"/>
      <c r="D110" s="124"/>
      <c r="E110" s="3531"/>
      <c r="F110" s="3503"/>
      <c r="G110" s="1941" t="s">
        <v>1876</v>
      </c>
      <c r="H110" s="2704" t="str">
        <f>IF(H109="——","——",ROUND(H109*10000/'数据-汇总表'!E3,0))</f>
        <v>——</v>
      </c>
      <c r="I110" s="124"/>
    </row>
    <row r="111" spans="1:35" ht="18.75" customHeight="1">
      <c r="A111" s="124"/>
      <c r="B111" s="124"/>
      <c r="C111" s="124"/>
      <c r="D111" s="124"/>
      <c r="E111" s="3532" t="str">
        <f>IF(项目基本情况!E9="抵押净值",IF(OR(项目基本情况!E8="已注销",项目基本情况!E8="房地产抵押价值"),"4.抵押净值","5.抵押净值"),"——")</f>
        <v>——</v>
      </c>
      <c r="F111" s="3518"/>
      <c r="G111" s="1941" t="s">
        <v>1874</v>
      </c>
      <c r="H111" s="2744" t="str">
        <f>IF(E111="——","——",N59)</f>
        <v>——</v>
      </c>
      <c r="I111" s="124"/>
    </row>
    <row r="112" spans="1:35" ht="18.75" customHeight="1" thickBot="1">
      <c r="A112" s="124"/>
      <c r="B112" s="124"/>
      <c r="C112" s="124"/>
      <c r="D112" s="124"/>
      <c r="E112" s="3533"/>
      <c r="F112" s="3534"/>
      <c r="G112" s="1944" t="s">
        <v>1876</v>
      </c>
      <c r="H112" s="2748" t="str">
        <f>IF(E111="——","——",N61)</f>
        <v>——</v>
      </c>
      <c r="I112" s="124"/>
    </row>
    <row r="113" spans="1:27" ht="18.75" customHeight="1">
      <c r="A113" s="124"/>
      <c r="B113" s="124"/>
      <c r="C113" s="124"/>
      <c r="D113" s="124"/>
      <c r="E113" s="3541" t="s">
        <v>1882</v>
      </c>
      <c r="F113" s="3541"/>
      <c r="G113" s="3541"/>
      <c r="H113" s="3541"/>
      <c r="I113" s="124"/>
    </row>
    <row r="114" spans="1:27" ht="3.75" customHeight="1">
      <c r="A114" s="1861"/>
      <c r="B114" s="1861"/>
      <c r="C114" s="1861"/>
      <c r="D114" s="1861"/>
      <c r="E114" s="1923"/>
      <c r="F114" s="1923"/>
      <c r="G114" s="1923"/>
      <c r="H114" s="1923"/>
      <c r="I114" s="1861"/>
    </row>
    <row r="115" spans="1:27" ht="18.75" customHeight="1">
      <c r="A115" s="3551" t="s">
        <v>1884</v>
      </c>
      <c r="B115" s="3552"/>
      <c r="C115" s="3552"/>
      <c r="D115" s="3552"/>
      <c r="E115" s="3552"/>
      <c r="F115" s="3552"/>
      <c r="G115" s="3552"/>
      <c r="H115" s="3552"/>
      <c r="I115" s="3553"/>
    </row>
    <row r="116" spans="1:27" ht="27" customHeight="1">
      <c r="A116" s="3510" t="s">
        <v>1885</v>
      </c>
      <c r="B116" s="3480" t="s">
        <v>1886</v>
      </c>
      <c r="C116" s="3480" t="s">
        <v>1887</v>
      </c>
      <c r="D116" s="3482" t="s">
        <v>1888</v>
      </c>
      <c r="E116" s="3483"/>
      <c r="F116" s="3484" t="s">
        <v>1889</v>
      </c>
      <c r="G116" s="3484"/>
      <c r="H116" s="3510" t="s">
        <v>1890</v>
      </c>
      <c r="I116" s="3510"/>
    </row>
    <row r="117" spans="1:27" ht="18.75" customHeight="1">
      <c r="A117" s="3510"/>
      <c r="B117" s="3481"/>
      <c r="C117" s="3481"/>
      <c r="D117" s="2480" t="s">
        <v>1891</v>
      </c>
      <c r="E117" s="2480" t="s">
        <v>1892</v>
      </c>
      <c r="F117" s="2480" t="s">
        <v>1891</v>
      </c>
      <c r="G117" s="2480" t="s">
        <v>1893</v>
      </c>
      <c r="H117" s="2480" t="s">
        <v>1891</v>
      </c>
      <c r="I117" s="2480" t="s">
        <v>1893</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172185</v>
      </c>
      <c r="E118" s="2480">
        <f ca="1">ROUND(IF(C33="自定义",IF(D32="楼面单价",C34,D118*10000/B118),I118-G118),0)</f>
        <v>9796</v>
      </c>
      <c r="F118" s="2480">
        <f ca="1">ROUND(IF(D32="总价",C35,G118*B118/10000),0)-D30</f>
        <v>81123</v>
      </c>
      <c r="G118" s="2480">
        <f ca="1">ROUND(IF(D32="楼面单价",C35,F118*10000/B118),0)</f>
        <v>4615</v>
      </c>
      <c r="H118" s="2480">
        <f ca="1">D118+F118</f>
        <v>253308</v>
      </c>
      <c r="I118" s="2480">
        <f ca="1">ROUND(IF(D32="楼面单价",C32,H118*10000/B118),0)</f>
        <v>14411</v>
      </c>
    </row>
    <row r="119" spans="1:27" ht="18.75" customHeight="1">
      <c r="A119" s="3510" t="s">
        <v>1894</v>
      </c>
      <c r="B119" s="3510"/>
      <c r="C119" s="3510"/>
      <c r="D119" s="3514" t="str">
        <f ca="1">NUMBERSTRING(INT(D118*10000),2)&amp;"元整"</f>
        <v>壹拾柒亿贰仟壹佰捌拾伍万元整</v>
      </c>
      <c r="E119" s="3515"/>
      <c r="F119" s="3514" t="str">
        <f ca="1">NUMBERSTRING(INT(F118*10000),2)&amp;"元整"</f>
        <v>捌亿壹仟壹佰贰拾叁万元整</v>
      </c>
      <c r="G119" s="3515"/>
      <c r="H119" s="3514" t="str">
        <f ca="1">NUMBERSTRING(INT(H118*10000),2)&amp;"元整"</f>
        <v>贰拾伍亿叁仟叁佰零捌万元整</v>
      </c>
      <c r="I119" s="3515"/>
    </row>
    <row r="120" spans="1:27" ht="18.75" customHeight="1">
      <c r="A120" s="3511" t="str">
        <f>IF(项目基本情况!B9="房地产市场价值","",MID(E103,3,LEN(E103)-2))</f>
        <v>估价师知悉的法定优先受偿款</v>
      </c>
      <c r="B120" s="3512"/>
      <c r="C120" s="3513"/>
      <c r="D120" s="3511">
        <f>H103</f>
        <v>0</v>
      </c>
      <c r="E120" s="3512"/>
      <c r="F120" s="3512"/>
      <c r="G120" s="3512"/>
      <c r="H120" s="3512"/>
      <c r="I120" s="351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8" t="s">
        <v>1894</v>
      </c>
      <c r="B121" s="3549"/>
      <c r="C121" s="3550"/>
      <c r="D121" s="3514" t="str">
        <f>IF(D120=0,"零元整",NUMBERSTRING(INT(D120*10000),2)&amp;"元整")</f>
        <v>零元整</v>
      </c>
      <c r="E121" s="3516"/>
      <c r="F121" s="3516"/>
      <c r="G121" s="3516"/>
      <c r="H121" s="3516"/>
      <c r="I121" s="3515"/>
      <c r="AA121" s="720"/>
    </row>
    <row r="122" spans="1:27" ht="18.75" customHeight="1">
      <c r="A122" s="3518" t="str">
        <f>IF(项目基本情况!B9="房地产市场价值","",MID(E107,3,LEN(E107)-2))</f>
        <v>房地产抵押价值</v>
      </c>
      <c r="B122" s="3518"/>
      <c r="C122" s="3518"/>
      <c r="D122" s="3511">
        <f ca="1">H107</f>
        <v>253308</v>
      </c>
      <c r="E122" s="3512"/>
      <c r="F122" s="3512"/>
      <c r="G122" s="3512"/>
      <c r="H122" s="3512"/>
      <c r="I122" s="3513"/>
      <c r="AA122" s="720"/>
    </row>
    <row r="123" spans="1:27" ht="18.75" customHeight="1">
      <c r="A123" s="3510" t="s">
        <v>1894</v>
      </c>
      <c r="B123" s="3510"/>
      <c r="C123" s="3510"/>
      <c r="D123" s="3514" t="str">
        <f ca="1">NUMBERSTRING(INT(D122*10000),2)&amp;"元整"</f>
        <v>贰拾伍亿叁仟叁佰零捌万元整</v>
      </c>
      <c r="E123" s="3516"/>
      <c r="F123" s="3516"/>
      <c r="G123" s="3516"/>
      <c r="H123" s="3516"/>
      <c r="I123" s="3515"/>
      <c r="AA123" s="720"/>
    </row>
    <row r="124" spans="1:27" ht="18.75" customHeight="1">
      <c r="A124" s="3518" t="str">
        <f>IF(项目基本情况!B9="房地产市场价值","",MID(E109,3,LEN(E109)-2))</f>
        <v/>
      </c>
      <c r="B124" s="3518"/>
      <c r="C124" s="3518"/>
      <c r="D124" s="3511" t="str">
        <f>H109</f>
        <v>——</v>
      </c>
      <c r="E124" s="3512"/>
      <c r="F124" s="3512"/>
      <c r="G124" s="3512"/>
      <c r="H124" s="3512"/>
      <c r="I124" s="3513"/>
      <c r="AA124" s="720"/>
    </row>
    <row r="125" spans="1:27" ht="18.75" customHeight="1">
      <c r="A125" s="3510" t="s">
        <v>1894</v>
      </c>
      <c r="B125" s="3510"/>
      <c r="C125" s="3510"/>
      <c r="D125" s="3514" t="e">
        <f>NUMBERSTRING(INT(D124*10000),2)&amp;"元整"</f>
        <v>#VALUE!</v>
      </c>
      <c r="E125" s="3516"/>
      <c r="F125" s="3516"/>
      <c r="G125" s="3516"/>
      <c r="H125" s="3516"/>
      <c r="I125" s="3515"/>
      <c r="AA125" s="720"/>
    </row>
    <row r="126" spans="1:27" ht="18.75" customHeight="1">
      <c r="A126" s="3518" t="str">
        <f>IF(项目基本情况!B9="房地产市场价值","",MID(E111,3,LEN(E111)-2))</f>
        <v/>
      </c>
      <c r="B126" s="3518"/>
      <c r="C126" s="3518"/>
      <c r="D126" s="3511" t="str">
        <f>H111</f>
        <v>——</v>
      </c>
      <c r="E126" s="3512"/>
      <c r="F126" s="3512"/>
      <c r="G126" s="3512"/>
      <c r="H126" s="3512"/>
      <c r="I126" s="3513"/>
      <c r="AA126" s="720"/>
    </row>
    <row r="127" spans="1:27" ht="18.75" customHeight="1">
      <c r="A127" s="3510" t="s">
        <v>1894</v>
      </c>
      <c r="B127" s="3510"/>
      <c r="C127" s="3510"/>
      <c r="D127" s="3514" t="e">
        <f>NUMBERSTRING(INT(D126*10000),2)&amp;"元整"</f>
        <v>#VALUE!</v>
      </c>
      <c r="E127" s="3516"/>
      <c r="F127" s="3516"/>
      <c r="G127" s="3516"/>
      <c r="H127" s="3516"/>
      <c r="I127" s="3515"/>
      <c r="AA127" s="720"/>
    </row>
    <row r="128" spans="1:27" ht="21.75" customHeight="1">
      <c r="A128" s="3517" t="s">
        <v>1895</v>
      </c>
      <c r="B128" s="3517"/>
      <c r="C128" s="3517"/>
      <c r="D128" s="3517"/>
      <c r="E128" s="3517"/>
      <c r="F128" s="3517"/>
      <c r="G128" s="3517"/>
      <c r="H128" s="3517"/>
      <c r="I128" s="3517"/>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1"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1"/>
  <sheetViews>
    <sheetView view="pageBreakPreview" topLeftCell="C1" zoomScale="85" zoomScaleNormal="60" zoomScaleSheetLayoutView="85" workbookViewId="0">
      <selection activeCell="N23" sqref="N23"/>
    </sheetView>
  </sheetViews>
  <sheetFormatPr defaultColWidth="9" defaultRowHeight="14"/>
  <cols>
    <col min="1" max="1" width="14.36328125" style="353" customWidth="1"/>
    <col min="2" max="2" width="15.90625" style="353" customWidth="1"/>
    <col min="3" max="3" width="21.453125" style="353" customWidth="1"/>
    <col min="4" max="4" width="14.08984375" style="353" customWidth="1"/>
    <col min="5" max="5" width="16.26953125" style="353" bestFit="1" customWidth="1"/>
    <col min="6" max="6" width="12.08984375" style="353" customWidth="1"/>
    <col min="7" max="7" width="17.453125" style="353" bestFit="1" customWidth="1"/>
    <col min="8" max="8" width="12.08984375" style="353" customWidth="1"/>
    <col min="9" max="9" width="16.26953125" style="353" bestFit="1"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30" s="348" customFormat="1" ht="28.5" customHeight="1">
      <c r="A1" s="344" t="s">
        <v>2321</v>
      </c>
      <c r="B1" s="345"/>
      <c r="C1" s="346" t="s">
        <v>2322</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1904</v>
      </c>
      <c r="B2" s="617">
        <f>F65</f>
        <v>129633</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1906</v>
      </c>
      <c r="B3" s="556">
        <f>ROUND(IF(D3="",B2*10000/'数据-汇总表'!E3,B2*10000/D3),0)</f>
        <v>7375</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c r="A4" s="351" t="s">
        <v>2222</v>
      </c>
      <c r="B4" s="352"/>
      <c r="C4" s="3605" t="s">
        <v>2223</v>
      </c>
      <c r="D4" s="3606"/>
      <c r="E4" s="3607" t="s">
        <v>2224</v>
      </c>
      <c r="F4" s="3608"/>
      <c r="G4" s="3605" t="s">
        <v>2225</v>
      </c>
      <c r="H4" s="3606"/>
      <c r="I4" s="3605" t="s">
        <v>2226</v>
      </c>
      <c r="J4" s="3606"/>
      <c r="K4" s="557" t="s">
        <v>2227</v>
      </c>
      <c r="L4" s="2866"/>
      <c r="M4" s="2867"/>
      <c r="N4" s="2867"/>
      <c r="O4" s="2867"/>
      <c r="P4" s="3609" t="s">
        <v>2228</v>
      </c>
      <c r="Q4" s="3610"/>
      <c r="R4" s="3592" t="s">
        <v>2224</v>
      </c>
      <c r="S4" s="3593"/>
      <c r="T4" s="3592" t="s">
        <v>2225</v>
      </c>
      <c r="U4" s="3593"/>
      <c r="V4" s="3617" t="s">
        <v>2226</v>
      </c>
      <c r="W4" s="3617"/>
      <c r="X4" s="1468"/>
      <c r="Y4" s="3592" t="s">
        <v>2228</v>
      </c>
      <c r="Z4" s="3593"/>
      <c r="AA4" s="3587" t="s">
        <v>2224</v>
      </c>
      <c r="AB4" s="3588" t="s">
        <v>2225</v>
      </c>
      <c r="AC4" s="3587" t="s">
        <v>2226</v>
      </c>
    </row>
    <row r="5" spans="1:30" ht="43.5" customHeight="1">
      <c r="A5" s="354"/>
      <c r="B5" s="355"/>
      <c r="C5" s="3598" t="s">
        <v>2119</v>
      </c>
      <c r="D5" s="3599"/>
      <c r="E5" s="3596" t="str">
        <f>土地案例!A2</f>
        <v xml:space="preserve">北京城市副中心0101街区FZX-0101-0902地块F3其他类多功能用地   </v>
      </c>
      <c r="F5" s="3597"/>
      <c r="G5" s="3598" t="str">
        <f>土地案例!A7</f>
        <v xml:space="preserve">北京市通州区潞城镇FZX-0901-0162地块F3其他类多功能用地    </v>
      </c>
      <c r="H5" s="3599"/>
      <c r="I5" s="3598" t="str">
        <f>土地案例!A10</f>
        <v xml:space="preserve">北京经济技术开发区亦庄新城0902街区JG01-07地块F3其他类多功能用地   </v>
      </c>
      <c r="J5" s="3599"/>
      <c r="K5" s="557"/>
      <c r="L5" s="2866"/>
      <c r="M5" s="2867"/>
      <c r="N5" s="2867"/>
      <c r="O5" s="2867"/>
      <c r="P5" s="3611"/>
      <c r="Q5" s="3612"/>
      <c r="R5" s="3594"/>
      <c r="S5" s="3595"/>
      <c r="T5" s="3594"/>
      <c r="U5" s="3595"/>
      <c r="V5" s="3617"/>
      <c r="W5" s="3617"/>
      <c r="X5" s="1468"/>
      <c r="Y5" s="3594"/>
      <c r="Z5" s="3595"/>
      <c r="AA5" s="3588"/>
      <c r="AB5" s="3588"/>
      <c r="AC5" s="3588"/>
    </row>
    <row r="6" spans="1:30" ht="15" thickBot="1">
      <c r="A6" s="356"/>
      <c r="B6" s="357"/>
      <c r="C6" s="3600" t="s">
        <v>2123</v>
      </c>
      <c r="D6" s="3601"/>
      <c r="E6" s="3602" t="s">
        <v>2123</v>
      </c>
      <c r="F6" s="3603"/>
      <c r="G6" s="3600" t="s">
        <v>2123</v>
      </c>
      <c r="H6" s="3601"/>
      <c r="I6" s="3600" t="s">
        <v>2123</v>
      </c>
      <c r="J6" s="3601"/>
      <c r="K6" s="557" t="s">
        <v>2124</v>
      </c>
      <c r="L6" s="2866"/>
      <c r="M6" s="2867"/>
      <c r="N6" s="2867"/>
      <c r="O6" s="2867"/>
      <c r="P6" s="3613"/>
      <c r="Q6" s="3614"/>
      <c r="R6" s="3594"/>
      <c r="S6" s="3595"/>
      <c r="T6" s="3615"/>
      <c r="U6" s="3616"/>
      <c r="V6" s="3617"/>
      <c r="W6" s="3617"/>
      <c r="X6" s="1468"/>
      <c r="Y6" s="3615"/>
      <c r="Z6" s="3616"/>
      <c r="AA6" s="3589"/>
      <c r="AB6" s="3589"/>
      <c r="AC6" s="3589"/>
    </row>
    <row r="7" spans="1:30" s="110" customFormat="1" ht="14.5" thickBot="1">
      <c r="A7" s="358" t="s">
        <v>2125</v>
      </c>
      <c r="B7" s="359"/>
      <c r="C7" s="360">
        <f>'数据-取费表'!B2</f>
        <v>44693</v>
      </c>
      <c r="D7" s="361">
        <v>100</v>
      </c>
      <c r="E7" s="362">
        <f>土地案例!AB2</f>
        <v>44566.000497685185</v>
      </c>
      <c r="F7" s="363">
        <f>SUMIF(69:69,YEAR(E7)&amp;"-"&amp;INT((MONTH(E7)+2)/3),70:70)</f>
        <v>99.5</v>
      </c>
      <c r="G7" s="2088">
        <f>土地案例!AB7</f>
        <v>43755.000497685185</v>
      </c>
      <c r="H7" s="361">
        <f>SUMIF(69:69,YEAR(G7)&amp;"-"&amp;INT((MONTH(G7)+2)/3),70:70)</f>
        <v>95</v>
      </c>
      <c r="I7" s="2088">
        <f>土地案例!AB10</f>
        <v>44600.000497685185</v>
      </c>
      <c r="J7" s="361">
        <f>SUMIF(69:69,YEAR(I7)&amp;"-"&amp;INT((MONTH(I7)+2)/3),70:70)</f>
        <v>99.5</v>
      </c>
      <c r="K7" s="558"/>
      <c r="L7" s="2868"/>
      <c r="M7" s="2869"/>
      <c r="N7" s="2869"/>
      <c r="O7" s="2869"/>
      <c r="P7" s="3590" t="s">
        <v>2126</v>
      </c>
      <c r="Q7" s="3618"/>
      <c r="R7" s="696" t="s">
        <v>17</v>
      </c>
      <c r="S7" s="697">
        <f t="shared" ref="S7:S15" si="0">F7</f>
        <v>99.5</v>
      </c>
      <c r="T7" s="696" t="s">
        <v>17</v>
      </c>
      <c r="U7" s="697">
        <f t="shared" ref="U7:U15" si="1">H7</f>
        <v>95</v>
      </c>
      <c r="V7" s="696" t="s">
        <v>17</v>
      </c>
      <c r="W7" s="697">
        <f t="shared" ref="W7:W15" si="2">J7</f>
        <v>99.5</v>
      </c>
      <c r="X7" s="698"/>
      <c r="Y7" s="3590" t="s">
        <v>2126</v>
      </c>
      <c r="Z7" s="3591"/>
      <c r="AA7" s="699">
        <f>D7/F7</f>
        <v>1.0050251256281406</v>
      </c>
      <c r="AB7" s="699">
        <f>D7/H7</f>
        <v>1.0526315789473684</v>
      </c>
      <c r="AC7" s="699">
        <f>D7/J7</f>
        <v>1.0050251256281406</v>
      </c>
    </row>
    <row r="8" spans="1:30" s="110" customFormat="1" ht="14.5" thickBot="1">
      <c r="A8" s="358" t="s">
        <v>2127</v>
      </c>
      <c r="B8" s="359"/>
      <c r="C8" s="364" t="s">
        <v>2128</v>
      </c>
      <c r="D8" s="361">
        <v>100</v>
      </c>
      <c r="E8" s="364" t="s">
        <v>2128</v>
      </c>
      <c r="F8" s="363">
        <f>SUMIF(72:72,E8,73:73)-SUMIF(72:72,C8,73:73)+100</f>
        <v>100</v>
      </c>
      <c r="G8" s="364" t="s">
        <v>2128</v>
      </c>
      <c r="H8" s="361">
        <f>SUMIF(72:72,G8,73:73)-SUMIF(72:72,C8,73:73)+100</f>
        <v>100</v>
      </c>
      <c r="I8" s="364" t="s">
        <v>2128</v>
      </c>
      <c r="J8" s="361">
        <f>SUMIF(72:72,I8,73:73)-SUMIF(72:72,C8,73:73)+100</f>
        <v>100</v>
      </c>
      <c r="K8" s="558"/>
      <c r="L8" s="2868"/>
      <c r="M8" s="2869"/>
      <c r="N8" s="2869"/>
      <c r="O8" s="2869"/>
      <c r="P8" s="3590" t="s">
        <v>2129</v>
      </c>
      <c r="Q8" s="3591"/>
      <c r="R8" s="696" t="s">
        <v>17</v>
      </c>
      <c r="S8" s="697">
        <f t="shared" si="0"/>
        <v>100</v>
      </c>
      <c r="T8" s="696" t="s">
        <v>17</v>
      </c>
      <c r="U8" s="697">
        <f t="shared" si="1"/>
        <v>100</v>
      </c>
      <c r="V8" s="696" t="s">
        <v>17</v>
      </c>
      <c r="W8" s="697">
        <f t="shared" si="2"/>
        <v>100</v>
      </c>
      <c r="X8" s="698"/>
      <c r="Y8" s="3590" t="s">
        <v>2129</v>
      </c>
      <c r="Z8" s="3591"/>
      <c r="AA8" s="699">
        <f t="shared" ref="AA8:AA45" si="3">D8/F8</f>
        <v>1</v>
      </c>
      <c r="AB8" s="699">
        <f t="shared" ref="AB8:AB45" si="4">D8/H8</f>
        <v>1</v>
      </c>
      <c r="AC8" s="699">
        <f t="shared" ref="AC8:AC45" si="5">D8/J8</f>
        <v>1</v>
      </c>
    </row>
    <row r="9" spans="1:30" s="110" customFormat="1" ht="28">
      <c r="A9" s="365" t="s">
        <v>2130</v>
      </c>
      <c r="B9" s="67" t="s">
        <v>2131</v>
      </c>
      <c r="C9" s="2091" t="s">
        <v>3229</v>
      </c>
      <c r="D9" s="121">
        <v>100</v>
      </c>
      <c r="E9" s="2091" t="s">
        <v>3229</v>
      </c>
      <c r="F9" s="121">
        <f>SUMIF(74:74,E9,75:75)-SUMIF(74:74,C9,75:75)+100</f>
        <v>100</v>
      </c>
      <c r="G9" s="2091" t="s">
        <v>3229</v>
      </c>
      <c r="H9" s="121">
        <f>SUMIF(74:74,G9,75:75)-SUMIF(74:74,C9,75:75)+100</f>
        <v>100</v>
      </c>
      <c r="I9" s="2091" t="s">
        <v>3229</v>
      </c>
      <c r="J9" s="121">
        <f>SUMIF(74:74,I9,75:75)-SUMIF(74:74,C9,75:75)+100</f>
        <v>100</v>
      </c>
      <c r="K9" s="558"/>
      <c r="L9" s="2868"/>
      <c r="M9" s="2869"/>
      <c r="N9" s="2869"/>
      <c r="O9" s="2923"/>
      <c r="P9" s="3604" t="s">
        <v>2132</v>
      </c>
      <c r="Q9" s="1456" t="str">
        <f t="shared" ref="Q9:Q15" si="6">B9</f>
        <v>用途</v>
      </c>
      <c r="R9" s="696" t="s">
        <v>17</v>
      </c>
      <c r="S9" s="697">
        <f t="shared" si="0"/>
        <v>100</v>
      </c>
      <c r="T9" s="696" t="s">
        <v>17</v>
      </c>
      <c r="U9" s="697">
        <f t="shared" si="1"/>
        <v>100</v>
      </c>
      <c r="V9" s="696" t="s">
        <v>17</v>
      </c>
      <c r="W9" s="697">
        <f t="shared" si="2"/>
        <v>100</v>
      </c>
      <c r="X9" s="698"/>
      <c r="Y9" s="3563" t="s">
        <v>2133</v>
      </c>
      <c r="Z9" s="55" t="str">
        <f t="shared" ref="Z9:Z15" si="7">Q9</f>
        <v>用途</v>
      </c>
      <c r="AA9" s="699">
        <f t="shared" si="3"/>
        <v>1</v>
      </c>
      <c r="AB9" s="699">
        <f t="shared" si="4"/>
        <v>1</v>
      </c>
      <c r="AC9" s="699">
        <f t="shared" si="5"/>
        <v>1</v>
      </c>
    </row>
    <row r="10" spans="1:30" s="376" customFormat="1" ht="28">
      <c r="A10" s="370"/>
      <c r="B10" s="371" t="s">
        <v>2134</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604"/>
      <c r="Q10" s="1456" t="str">
        <f t="shared" si="6"/>
        <v>土地使用年限（年）</v>
      </c>
      <c r="R10" s="696" t="s">
        <v>17</v>
      </c>
      <c r="S10" s="697">
        <f t="shared" si="0"/>
        <v>105</v>
      </c>
      <c r="T10" s="696" t="s">
        <v>17</v>
      </c>
      <c r="U10" s="697">
        <f t="shared" si="1"/>
        <v>105</v>
      </c>
      <c r="V10" s="696" t="s">
        <v>17</v>
      </c>
      <c r="W10" s="697">
        <f t="shared" si="2"/>
        <v>105</v>
      </c>
      <c r="X10" s="698"/>
      <c r="Y10" s="3563"/>
      <c r="Z10" s="55" t="str">
        <f t="shared" si="7"/>
        <v>土地使用年限（年）</v>
      </c>
      <c r="AA10" s="699">
        <f t="shared" si="3"/>
        <v>0.95238095238095233</v>
      </c>
      <c r="AB10" s="699">
        <f t="shared" si="4"/>
        <v>0.95238095238095233</v>
      </c>
      <c r="AC10" s="699">
        <f t="shared" si="5"/>
        <v>0.95238095238095233</v>
      </c>
    </row>
    <row r="11" spans="1:30" ht="15.5">
      <c r="A11" s="377"/>
      <c r="B11" s="371" t="s">
        <v>2135</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604"/>
      <c r="Q11" s="1456" t="str">
        <f t="shared" si="6"/>
        <v>容积率</v>
      </c>
      <c r="R11" s="696" t="s">
        <v>17</v>
      </c>
      <c r="S11" s="697">
        <f t="shared" si="0"/>
        <v>96</v>
      </c>
      <c r="T11" s="696" t="s">
        <v>17</v>
      </c>
      <c r="U11" s="697">
        <f t="shared" si="1"/>
        <v>100</v>
      </c>
      <c r="V11" s="696" t="s">
        <v>17</v>
      </c>
      <c r="W11" s="697">
        <f t="shared" si="2"/>
        <v>98</v>
      </c>
      <c r="X11" s="698"/>
      <c r="Y11" s="3563"/>
      <c r="Z11" s="55" t="str">
        <f t="shared" si="7"/>
        <v>容积率</v>
      </c>
      <c r="AA11" s="699">
        <f t="shared" si="3"/>
        <v>1.0416666666666667</v>
      </c>
      <c r="AB11" s="699">
        <f t="shared" si="4"/>
        <v>1</v>
      </c>
      <c r="AC11" s="699">
        <f t="shared" si="5"/>
        <v>1.0204081632653061</v>
      </c>
    </row>
    <row r="12" spans="1:30" s="110" customFormat="1" ht="15.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604"/>
      <c r="Q12" s="1456">
        <f t="shared" si="6"/>
        <v>0</v>
      </c>
      <c r="R12" s="696" t="s">
        <v>17</v>
      </c>
      <c r="S12" s="697">
        <f t="shared" si="0"/>
        <v>100</v>
      </c>
      <c r="T12" s="696" t="s">
        <v>17</v>
      </c>
      <c r="U12" s="697">
        <f t="shared" si="1"/>
        <v>100</v>
      </c>
      <c r="V12" s="696" t="s">
        <v>17</v>
      </c>
      <c r="W12" s="697">
        <f t="shared" si="2"/>
        <v>100</v>
      </c>
      <c r="X12" s="698"/>
      <c r="Y12" s="3563"/>
      <c r="Z12" s="55">
        <f t="shared" si="7"/>
        <v>0</v>
      </c>
      <c r="AA12" s="699">
        <f>D12/F12</f>
        <v>1</v>
      </c>
      <c r="AB12" s="699">
        <f>D12/H12</f>
        <v>1</v>
      </c>
      <c r="AC12" s="699">
        <f>D12/J12</f>
        <v>1</v>
      </c>
    </row>
    <row r="13" spans="1:30" ht="15.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604"/>
      <c r="Q13" s="1456">
        <f t="shared" si="6"/>
        <v>0</v>
      </c>
      <c r="R13" s="696" t="s">
        <v>17</v>
      </c>
      <c r="S13" s="697">
        <f t="shared" si="0"/>
        <v>100</v>
      </c>
      <c r="T13" s="696" t="s">
        <v>17</v>
      </c>
      <c r="U13" s="697">
        <f t="shared" si="1"/>
        <v>100</v>
      </c>
      <c r="V13" s="696" t="s">
        <v>17</v>
      </c>
      <c r="W13" s="697">
        <f t="shared" si="2"/>
        <v>100</v>
      </c>
      <c r="X13" s="698"/>
      <c r="Y13" s="3563"/>
      <c r="Z13" s="55">
        <f t="shared" si="7"/>
        <v>0</v>
      </c>
      <c r="AA13" s="699">
        <f>D13/F13</f>
        <v>1</v>
      </c>
      <c r="AB13" s="699">
        <f>D13/H13</f>
        <v>1</v>
      </c>
      <c r="AC13" s="699">
        <f>D13/J13</f>
        <v>1</v>
      </c>
    </row>
    <row r="14" spans="1:30" ht="16" thickBot="1">
      <c r="A14" s="385"/>
      <c r="B14" s="3360" t="s">
        <v>3650</v>
      </c>
      <c r="C14" s="386" t="s">
        <v>3651</v>
      </c>
      <c r="D14" s="387">
        <v>100</v>
      </c>
      <c r="E14" s="3361" t="s">
        <v>3652</v>
      </c>
      <c r="F14" s="387">
        <f>SUMIF(85:85,E14,86:86)-SUMIF(85:85,C14,86:86)+100</f>
        <v>115</v>
      </c>
      <c r="G14" s="3361" t="s">
        <v>3652</v>
      </c>
      <c r="H14" s="387">
        <f>SUMIF(85:85,G14,86:86)-SUMIF(85:85,C14,86:86)+100</f>
        <v>115</v>
      </c>
      <c r="I14" s="3361" t="s">
        <v>3652</v>
      </c>
      <c r="J14" s="387">
        <f>SUMIF(85:85,I14,86:86)-SUMIF(85:85,C14,86:86)+100</f>
        <v>115</v>
      </c>
      <c r="K14" s="618"/>
      <c r="L14" s="2873"/>
      <c r="M14" s="2867"/>
      <c r="N14" s="2867"/>
      <c r="O14" s="2925"/>
      <c r="P14" s="3604"/>
      <c r="Q14" s="1456" t="str">
        <f t="shared" si="6"/>
        <v>自持</v>
      </c>
      <c r="R14" s="696" t="s">
        <v>17</v>
      </c>
      <c r="S14" s="697">
        <f t="shared" si="0"/>
        <v>115</v>
      </c>
      <c r="T14" s="696" t="s">
        <v>17</v>
      </c>
      <c r="U14" s="697">
        <f t="shared" si="1"/>
        <v>115</v>
      </c>
      <c r="V14" s="696" t="s">
        <v>17</v>
      </c>
      <c r="W14" s="697">
        <f t="shared" si="2"/>
        <v>115</v>
      </c>
      <c r="X14" s="698"/>
      <c r="Y14" s="3563"/>
      <c r="Z14" s="55" t="str">
        <f t="shared" si="7"/>
        <v>自持</v>
      </c>
      <c r="AA14" s="699">
        <f>D14/F14</f>
        <v>0.86956521739130432</v>
      </c>
      <c r="AB14" s="699">
        <f>D14/H14</f>
        <v>0.86956521739130432</v>
      </c>
      <c r="AC14" s="699">
        <f>D14/J14</f>
        <v>0.86956521739130432</v>
      </c>
    </row>
    <row r="15" spans="1:30" ht="23.5" customHeight="1">
      <c r="A15" s="389" t="s">
        <v>2136</v>
      </c>
      <c r="B15" s="65" t="s">
        <v>1699</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619" t="s">
        <v>2137</v>
      </c>
      <c r="Q15" s="1465" t="str">
        <f t="shared" si="6"/>
        <v>居住社区成熟度</v>
      </c>
      <c r="R15" s="700" t="s">
        <v>17</v>
      </c>
      <c r="S15" s="701">
        <f t="shared" si="0"/>
        <v>100</v>
      </c>
      <c r="T15" s="700" t="s">
        <v>17</v>
      </c>
      <c r="U15" s="701">
        <f t="shared" si="1"/>
        <v>100</v>
      </c>
      <c r="V15" s="700" t="s">
        <v>17</v>
      </c>
      <c r="W15" s="701">
        <f t="shared" si="2"/>
        <v>100</v>
      </c>
      <c r="X15" s="1468"/>
      <c r="Y15" s="3619" t="s">
        <v>2137</v>
      </c>
      <c r="Z15" s="1469" t="str">
        <f t="shared" si="7"/>
        <v>居住社区成熟度</v>
      </c>
      <c r="AA15" s="1466">
        <f t="shared" si="3"/>
        <v>1</v>
      </c>
      <c r="AB15" s="1466">
        <f t="shared" si="4"/>
        <v>1</v>
      </c>
      <c r="AC15" s="1466">
        <f t="shared" si="5"/>
        <v>1</v>
      </c>
    </row>
    <row r="16" spans="1:30" ht="15.5">
      <c r="A16" s="377"/>
      <c r="B16" s="395"/>
      <c r="C16" s="396"/>
      <c r="D16" s="397"/>
      <c r="E16" s="2012"/>
      <c r="F16" s="397"/>
      <c r="G16" s="2012"/>
      <c r="H16" s="399"/>
      <c r="I16" s="2011"/>
      <c r="J16" s="397"/>
      <c r="K16" s="618"/>
      <c r="L16" s="2873"/>
      <c r="M16" s="2867"/>
      <c r="N16" s="2867"/>
      <c r="O16" s="2925"/>
      <c r="P16" s="3620"/>
      <c r="Q16" s="1465"/>
      <c r="R16" s="700"/>
      <c r="S16" s="701"/>
      <c r="T16" s="700"/>
      <c r="U16" s="701"/>
      <c r="V16" s="700"/>
      <c r="W16" s="701"/>
      <c r="X16" s="1468"/>
      <c r="Y16" s="3620"/>
      <c r="Z16" s="1469"/>
      <c r="AA16" s="1466">
        <v>1</v>
      </c>
      <c r="AB16" s="1466">
        <v>1</v>
      </c>
      <c r="AC16" s="1466">
        <v>1</v>
      </c>
    </row>
    <row r="17" spans="1:29" ht="70">
      <c r="A17" s="377"/>
      <c r="B17" s="400" t="s">
        <v>2230</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3581</v>
      </c>
      <c r="H17" s="404">
        <f>SUMIF(89:89,G18,90:90)-SUMIF(89:89,C18,90:90)+100</f>
        <v>103</v>
      </c>
      <c r="I17" s="3334" t="s">
        <v>3580</v>
      </c>
      <c r="J17" s="404">
        <f>SUMIF(89:89,I18,90:90)-SUMIF(89:89,C18,90:90)+100</f>
        <v>103</v>
      </c>
      <c r="K17" s="619">
        <v>3</v>
      </c>
      <c r="L17" s="2873"/>
      <c r="M17" s="2867"/>
      <c r="N17" s="2867"/>
      <c r="O17" s="2925"/>
      <c r="P17" s="3620"/>
      <c r="Q17" s="1465" t="str">
        <f>B17</f>
        <v>商业繁华度</v>
      </c>
      <c r="R17" s="700" t="s">
        <v>17</v>
      </c>
      <c r="S17" s="701">
        <f>F17</f>
        <v>100</v>
      </c>
      <c r="T17" s="700" t="s">
        <v>17</v>
      </c>
      <c r="U17" s="701">
        <f>H17</f>
        <v>103</v>
      </c>
      <c r="V17" s="700" t="s">
        <v>17</v>
      </c>
      <c r="W17" s="701">
        <f>J17</f>
        <v>103</v>
      </c>
      <c r="X17" s="1468"/>
      <c r="Y17" s="3620"/>
      <c r="Z17" s="1469" t="str">
        <f>Q17</f>
        <v>商业繁华度</v>
      </c>
      <c r="AA17" s="1466">
        <f t="shared" si="3"/>
        <v>1</v>
      </c>
      <c r="AB17" s="1466">
        <f t="shared" si="4"/>
        <v>0.970873786407767</v>
      </c>
      <c r="AC17" s="1466">
        <f t="shared" si="5"/>
        <v>0.970873786407767</v>
      </c>
    </row>
    <row r="18" spans="1:29" ht="15.5">
      <c r="A18" s="377"/>
      <c r="B18" s="405"/>
      <c r="C18" s="2015" t="s">
        <v>3262</v>
      </c>
      <c r="D18" s="399"/>
      <c r="E18" s="2017" t="s">
        <v>3262</v>
      </c>
      <c r="F18" s="399"/>
      <c r="G18" s="2017" t="s">
        <v>3261</v>
      </c>
      <c r="H18" s="397"/>
      <c r="I18" s="2016" t="s">
        <v>3261</v>
      </c>
      <c r="J18" s="397"/>
      <c r="K18" s="618"/>
      <c r="L18" s="2873"/>
      <c r="M18" s="2867"/>
      <c r="N18" s="2867"/>
      <c r="O18" s="2925"/>
      <c r="P18" s="3620"/>
      <c r="Q18" s="1465"/>
      <c r="R18" s="700"/>
      <c r="S18" s="701"/>
      <c r="T18" s="700"/>
      <c r="U18" s="701"/>
      <c r="V18" s="700"/>
      <c r="W18" s="701"/>
      <c r="X18" s="1468"/>
      <c r="Y18" s="3620"/>
      <c r="Z18" s="1469"/>
      <c r="AA18" s="1466">
        <v>1</v>
      </c>
      <c r="AB18" s="1466">
        <v>1</v>
      </c>
      <c r="AC18" s="1466">
        <v>1</v>
      </c>
    </row>
    <row r="19" spans="1:29" ht="70">
      <c r="A19" s="377"/>
      <c r="B19" s="400" t="s">
        <v>2264</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98</v>
      </c>
      <c r="I19" s="3335" t="s">
        <v>3662</v>
      </c>
      <c r="J19" s="399">
        <f>SUMIF(91:91,I20,92:92)-SUMIF(91:91,C20,92:92)+100</f>
        <v>98</v>
      </c>
      <c r="K19" s="619">
        <v>2</v>
      </c>
      <c r="L19" s="2873"/>
      <c r="M19" s="2867"/>
      <c r="N19" s="2867"/>
      <c r="O19" s="2925"/>
      <c r="P19" s="3620"/>
      <c r="Q19" s="1465" t="str">
        <f>B19</f>
        <v>办公集聚程度</v>
      </c>
      <c r="R19" s="700" t="s">
        <v>17</v>
      </c>
      <c r="S19" s="701">
        <f>F19</f>
        <v>100</v>
      </c>
      <c r="T19" s="700" t="s">
        <v>17</v>
      </c>
      <c r="U19" s="701">
        <f>H19</f>
        <v>98</v>
      </c>
      <c r="V19" s="700" t="s">
        <v>17</v>
      </c>
      <c r="W19" s="701">
        <f>J19</f>
        <v>98</v>
      </c>
      <c r="X19" s="1468"/>
      <c r="Y19" s="3620"/>
      <c r="Z19" s="1469" t="str">
        <f>Q19</f>
        <v>办公集聚程度</v>
      </c>
      <c r="AA19" s="1466">
        <f t="shared" si="3"/>
        <v>1</v>
      </c>
      <c r="AB19" s="1466">
        <f t="shared" si="4"/>
        <v>1.0204081632653061</v>
      </c>
      <c r="AC19" s="1466">
        <f t="shared" si="5"/>
        <v>1.0204081632653061</v>
      </c>
    </row>
    <row r="20" spans="1:29" ht="15.5">
      <c r="A20" s="377"/>
      <c r="B20" s="405"/>
      <c r="C20" s="396" t="s">
        <v>3262</v>
      </c>
      <c r="D20" s="397"/>
      <c r="E20" s="2012" t="s">
        <v>3262</v>
      </c>
      <c r="F20" s="397"/>
      <c r="G20" s="2012" t="s">
        <v>3263</v>
      </c>
      <c r="H20" s="397"/>
      <c r="I20" s="2012" t="s">
        <v>3263</v>
      </c>
      <c r="J20" s="397"/>
      <c r="K20" s="618"/>
      <c r="L20" s="2873"/>
      <c r="M20" s="2867"/>
      <c r="N20" s="2867"/>
      <c r="O20" s="2925"/>
      <c r="P20" s="3620"/>
      <c r="Q20" s="1465"/>
      <c r="R20" s="700"/>
      <c r="S20" s="701"/>
      <c r="T20" s="700"/>
      <c r="U20" s="701"/>
      <c r="V20" s="700"/>
      <c r="W20" s="701"/>
      <c r="X20" s="1468"/>
      <c r="Y20" s="3620"/>
      <c r="Z20" s="1469"/>
      <c r="AA20" s="1466">
        <v>1</v>
      </c>
      <c r="AB20" s="1466">
        <v>1</v>
      </c>
      <c r="AC20" s="1466">
        <v>1</v>
      </c>
    </row>
    <row r="21" spans="1:29" ht="91" customHeight="1">
      <c r="A21" s="377"/>
      <c r="B21" s="400" t="s">
        <v>2286</v>
      </c>
      <c r="C21" s="2014" t="str">
        <f>估价对象房地状况!C18</f>
        <v>估价对象周边道路状况、公共交通通达情况434、954、兴41等，2公里有地铁4号线、停车便捷程度，综合评价交通便捷度一般</v>
      </c>
      <c r="D21" s="399">
        <v>100</v>
      </c>
      <c r="E21" s="3337" t="s">
        <v>3582</v>
      </c>
      <c r="F21" s="404">
        <f>SUMIF(93:93,E22,94:94)-SUMIF(93:93,C22,94:94)+100</f>
        <v>103</v>
      </c>
      <c r="G21" s="3337" t="s">
        <v>3583</v>
      </c>
      <c r="H21" s="399">
        <f>SUMIF(93:93,G22,94:94)-SUMIF(93:93,C22,94:94)+100</f>
        <v>100</v>
      </c>
      <c r="I21" s="3338" t="s">
        <v>3586</v>
      </c>
      <c r="J21" s="399">
        <f>SUMIF(93:93,I22,94:94)-SUMIF(93:93,C22,94:94)+100</f>
        <v>103</v>
      </c>
      <c r="K21" s="619">
        <v>3</v>
      </c>
      <c r="L21" s="2873"/>
      <c r="M21" s="2867"/>
      <c r="N21" s="2867"/>
      <c r="O21" s="2925"/>
      <c r="P21" s="3620"/>
      <c r="Q21" s="1465" t="str">
        <f>B21</f>
        <v>交通便捷度</v>
      </c>
      <c r="R21" s="700" t="s">
        <v>17</v>
      </c>
      <c r="S21" s="701">
        <f>F21</f>
        <v>103</v>
      </c>
      <c r="T21" s="700" t="s">
        <v>17</v>
      </c>
      <c r="U21" s="701">
        <f>H21</f>
        <v>100</v>
      </c>
      <c r="V21" s="700" t="s">
        <v>17</v>
      </c>
      <c r="W21" s="701">
        <f>J21</f>
        <v>103</v>
      </c>
      <c r="X21" s="1468"/>
      <c r="Y21" s="3620"/>
      <c r="Z21" s="1469" t="str">
        <f>Q21</f>
        <v>交通便捷度</v>
      </c>
      <c r="AA21" s="1466">
        <f t="shared" si="3"/>
        <v>0.970873786407767</v>
      </c>
      <c r="AB21" s="1466">
        <f t="shared" si="4"/>
        <v>1</v>
      </c>
      <c r="AC21" s="1466">
        <f t="shared" si="5"/>
        <v>0.970873786407767</v>
      </c>
    </row>
    <row r="22" spans="1:29" ht="15.5">
      <c r="A22" s="377"/>
      <c r="B22" s="1225"/>
      <c r="C22" s="396" t="s">
        <v>3262</v>
      </c>
      <c r="D22" s="399"/>
      <c r="E22" s="3240" t="s">
        <v>3261</v>
      </c>
      <c r="F22" s="397"/>
      <c r="G22" s="3240" t="s">
        <v>3262</v>
      </c>
      <c r="H22" s="397"/>
      <c r="I22" s="2011" t="s">
        <v>3261</v>
      </c>
      <c r="J22" s="397"/>
      <c r="K22" s="618"/>
      <c r="L22" s="2873"/>
      <c r="M22" s="2867"/>
      <c r="N22" s="2867"/>
      <c r="O22" s="2925"/>
      <c r="P22" s="3620"/>
      <c r="Q22" s="1465"/>
      <c r="R22" s="700"/>
      <c r="S22" s="701"/>
      <c r="T22" s="700"/>
      <c r="U22" s="701"/>
      <c r="V22" s="700"/>
      <c r="W22" s="701"/>
      <c r="X22" s="1468"/>
      <c r="Y22" s="3620"/>
      <c r="Z22" s="1469"/>
      <c r="AA22" s="1466">
        <v>1</v>
      </c>
      <c r="AB22" s="1466">
        <v>1</v>
      </c>
      <c r="AC22" s="1466">
        <v>1</v>
      </c>
    </row>
    <row r="23" spans="1:29" ht="28">
      <c r="A23" s="354"/>
      <c r="B23" s="400" t="s">
        <v>2324</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620"/>
      <c r="Q23" s="1465" t="str">
        <f t="shared" ref="Q23:Q37" si="8">B23</f>
        <v>区域土地利用方向</v>
      </c>
      <c r="R23" s="700" t="s">
        <v>17</v>
      </c>
      <c r="S23" s="701">
        <f>F23</f>
        <v>100</v>
      </c>
      <c r="T23" s="700" t="s">
        <v>17</v>
      </c>
      <c r="U23" s="701">
        <f>H23</f>
        <v>100</v>
      </c>
      <c r="V23" s="700" t="s">
        <v>17</v>
      </c>
      <c r="W23" s="701">
        <f>J23</f>
        <v>100</v>
      </c>
      <c r="X23" s="1468"/>
      <c r="Y23" s="3620"/>
      <c r="Z23" s="1469" t="str">
        <f>Q23</f>
        <v>区域土地利用方向</v>
      </c>
      <c r="AA23" s="1466">
        <f t="shared" si="3"/>
        <v>1</v>
      </c>
      <c r="AB23" s="1466">
        <f t="shared" si="4"/>
        <v>1</v>
      </c>
      <c r="AC23" s="1466">
        <f t="shared" si="5"/>
        <v>1</v>
      </c>
    </row>
    <row r="24" spans="1:29" ht="15.5">
      <c r="A24" s="354"/>
      <c r="B24" s="405"/>
      <c r="C24" s="563" t="s">
        <v>3261</v>
      </c>
      <c r="D24" s="397"/>
      <c r="E24" s="3238" t="s">
        <v>3261</v>
      </c>
      <c r="F24" s="397"/>
      <c r="G24" s="3238" t="s">
        <v>3261</v>
      </c>
      <c r="H24" s="397"/>
      <c r="I24" s="3238" t="s">
        <v>3261</v>
      </c>
      <c r="J24" s="397"/>
      <c r="K24" s="731"/>
      <c r="L24" s="2873"/>
      <c r="M24" s="2867"/>
      <c r="N24" s="2867"/>
      <c r="O24" s="2925"/>
      <c r="P24" s="3620"/>
      <c r="Q24" s="1465"/>
      <c r="R24" s="700"/>
      <c r="S24" s="701"/>
      <c r="T24" s="700"/>
      <c r="U24" s="701"/>
      <c r="V24" s="700"/>
      <c r="W24" s="701"/>
      <c r="X24" s="1468"/>
      <c r="Y24" s="3620"/>
      <c r="Z24" s="1469"/>
      <c r="AA24" s="1466"/>
      <c r="AB24" s="1466"/>
      <c r="AC24" s="1466"/>
    </row>
    <row r="25" spans="1:29" ht="69.650000000000006" customHeight="1">
      <c r="A25" s="354"/>
      <c r="B25" s="1225" t="s">
        <v>2325</v>
      </c>
      <c r="C25" s="2069" t="str">
        <f>估价对象房地状况!C20</f>
        <v>区域自然环境：金星公园、高米店公园；人文环境：中国人民公安大学团河校区；综合评价环境状况较好</v>
      </c>
      <c r="D25" s="399">
        <v>100</v>
      </c>
      <c r="E25" s="3337" t="s">
        <v>3585</v>
      </c>
      <c r="F25" s="399">
        <f>SUMIF(97:97,E26,98:98)-SUMIF(97:97,C26,98:98)+100</f>
        <v>100</v>
      </c>
      <c r="G25" s="3337" t="s">
        <v>3584</v>
      </c>
      <c r="H25" s="399">
        <f>SUMIF(97:97,G26,98:98)-SUMIF(97:97,C26,98:98)+100</f>
        <v>100</v>
      </c>
      <c r="I25" s="3338" t="s">
        <v>3587</v>
      </c>
      <c r="J25" s="399">
        <f>SUMIF(97:97,I26,98:98)-SUMIF(97:97,C26,98:98)+100</f>
        <v>97</v>
      </c>
      <c r="K25" s="619">
        <v>3</v>
      </c>
      <c r="L25" s="2873"/>
      <c r="M25" s="2867"/>
      <c r="N25" s="2867"/>
      <c r="O25" s="2925"/>
      <c r="P25" s="3620"/>
      <c r="Q25" s="1465" t="str">
        <f t="shared" si="8"/>
        <v>自然及人文环境状况</v>
      </c>
      <c r="R25" s="700" t="s">
        <v>17</v>
      </c>
      <c r="S25" s="701">
        <f>F25</f>
        <v>100</v>
      </c>
      <c r="T25" s="700" t="s">
        <v>17</v>
      </c>
      <c r="U25" s="701">
        <f>H25</f>
        <v>100</v>
      </c>
      <c r="V25" s="700" t="s">
        <v>17</v>
      </c>
      <c r="W25" s="701">
        <f>J25</f>
        <v>97</v>
      </c>
      <c r="X25" s="1468"/>
      <c r="Y25" s="3620"/>
      <c r="Z25" s="1469" t="str">
        <f>Q25</f>
        <v>自然及人文环境状况</v>
      </c>
      <c r="AA25" s="1466">
        <f t="shared" si="3"/>
        <v>1</v>
      </c>
      <c r="AB25" s="1466">
        <f t="shared" si="4"/>
        <v>1</v>
      </c>
      <c r="AC25" s="1466">
        <f t="shared" si="5"/>
        <v>1.0309278350515463</v>
      </c>
    </row>
    <row r="26" spans="1:29" ht="15.5">
      <c r="A26" s="354"/>
      <c r="B26" s="405"/>
      <c r="C26" s="396" t="s">
        <v>3261</v>
      </c>
      <c r="D26" s="397"/>
      <c r="E26" s="3240" t="s">
        <v>3261</v>
      </c>
      <c r="F26" s="397"/>
      <c r="G26" s="3240" t="s">
        <v>3261</v>
      </c>
      <c r="H26" s="397"/>
      <c r="I26" s="3240" t="s">
        <v>3262</v>
      </c>
      <c r="J26" s="397"/>
      <c r="K26" s="618"/>
      <c r="L26" s="2873"/>
      <c r="M26" s="2867"/>
      <c r="N26" s="2867"/>
      <c r="O26" s="2925"/>
      <c r="P26" s="3620"/>
      <c r="Q26" s="1465"/>
      <c r="R26" s="700"/>
      <c r="S26" s="701"/>
      <c r="T26" s="700"/>
      <c r="U26" s="701"/>
      <c r="V26" s="700"/>
      <c r="W26" s="701"/>
      <c r="X26" s="1468"/>
      <c r="Y26" s="3620"/>
      <c r="Z26" s="1469"/>
      <c r="AA26" s="1466">
        <v>1</v>
      </c>
      <c r="AB26" s="1466">
        <v>1</v>
      </c>
      <c r="AC26" s="1466">
        <v>1</v>
      </c>
    </row>
    <row r="27" spans="1:29" s="110" customFormat="1" ht="52" customHeight="1">
      <c r="A27" s="595"/>
      <c r="B27" s="1225" t="s">
        <v>2231</v>
      </c>
      <c r="C27" s="2014" t="str">
        <f>估价对象房地状况!C21</f>
        <v>估价对象所在区域公共配套设施齐备情况一般</v>
      </c>
      <c r="D27" s="399">
        <v>100</v>
      </c>
      <c r="E27" s="3337"/>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620"/>
      <c r="Q27" s="1456" t="str">
        <f t="shared" si="8"/>
        <v>公共配套设施</v>
      </c>
      <c r="R27" s="696" t="s">
        <v>17</v>
      </c>
      <c r="S27" s="697">
        <f>F27</f>
        <v>100</v>
      </c>
      <c r="T27" s="696" t="s">
        <v>17</v>
      </c>
      <c r="U27" s="697">
        <f>H27</f>
        <v>100</v>
      </c>
      <c r="V27" s="696" t="s">
        <v>17</v>
      </c>
      <c r="W27" s="697">
        <f>J27</f>
        <v>100</v>
      </c>
      <c r="X27" s="698"/>
      <c r="Y27" s="3620"/>
      <c r="Z27" s="55" t="str">
        <f>Q27</f>
        <v>公共配套设施</v>
      </c>
      <c r="AA27" s="1466">
        <f>D27/F27</f>
        <v>1</v>
      </c>
      <c r="AB27" s="1466">
        <f>D27/H27</f>
        <v>1</v>
      </c>
      <c r="AC27" s="1466">
        <f>D27/J27</f>
        <v>1</v>
      </c>
    </row>
    <row r="28" spans="1:29" s="110" customFormat="1" ht="15.5">
      <c r="A28" s="595"/>
      <c r="B28" s="405"/>
      <c r="C28" s="2092" t="s">
        <v>3262</v>
      </c>
      <c r="D28" s="397"/>
      <c r="E28" s="3237" t="s">
        <v>3262</v>
      </c>
      <c r="F28" s="397"/>
      <c r="G28" s="3237" t="s">
        <v>3262</v>
      </c>
      <c r="H28" s="397"/>
      <c r="I28" s="3240" t="s">
        <v>3262</v>
      </c>
      <c r="J28" s="397"/>
      <c r="K28" s="618"/>
      <c r="L28" s="2868"/>
      <c r="M28" s="2869"/>
      <c r="N28" s="2869"/>
      <c r="O28" s="2923"/>
      <c r="P28" s="3620"/>
      <c r="Q28" s="1456"/>
      <c r="R28" s="696"/>
      <c r="S28" s="697"/>
      <c r="T28" s="696"/>
      <c r="U28" s="697"/>
      <c r="V28" s="696"/>
      <c r="W28" s="697"/>
      <c r="X28" s="698"/>
      <c r="Y28" s="3620"/>
      <c r="Z28" s="55"/>
      <c r="AA28" s="1466">
        <v>1</v>
      </c>
      <c r="AB28" s="1466">
        <v>1</v>
      </c>
      <c r="AC28" s="1466">
        <v>1</v>
      </c>
    </row>
    <row r="29" spans="1:29" s="110" customFormat="1" ht="20.149999999999999" customHeight="1">
      <c r="A29" s="595"/>
      <c r="B29" s="1225" t="s">
        <v>2232</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620"/>
      <c r="Q29" s="1456" t="str">
        <f t="shared" ref="Q29" si="9">B29</f>
        <v>基础设施水平</v>
      </c>
      <c r="R29" s="696" t="s">
        <v>17</v>
      </c>
      <c r="S29" s="697">
        <f>F29</f>
        <v>100</v>
      </c>
      <c r="T29" s="696" t="s">
        <v>17</v>
      </c>
      <c r="U29" s="697">
        <f>H29</f>
        <v>100</v>
      </c>
      <c r="V29" s="696" t="s">
        <v>17</v>
      </c>
      <c r="W29" s="697">
        <f>J29</f>
        <v>100</v>
      </c>
      <c r="X29" s="698"/>
      <c r="Y29" s="3620"/>
      <c r="Z29" s="55" t="str">
        <f>Q29</f>
        <v>基础设施水平</v>
      </c>
      <c r="AA29" s="1466">
        <f>D29/F29</f>
        <v>1</v>
      </c>
      <c r="AB29" s="1466">
        <f>D29/H29</f>
        <v>1</v>
      </c>
      <c r="AC29" s="1466">
        <f>D29/J29</f>
        <v>1</v>
      </c>
    </row>
    <row r="30" spans="1:29" s="110" customFormat="1" ht="15.5">
      <c r="A30" s="595"/>
      <c r="B30" s="405"/>
      <c r="C30" s="3237" t="s">
        <v>3255</v>
      </c>
      <c r="D30" s="397"/>
      <c r="E30" s="3237" t="s">
        <v>3255</v>
      </c>
      <c r="F30" s="397"/>
      <c r="G30" s="3237" t="s">
        <v>3255</v>
      </c>
      <c r="H30" s="397"/>
      <c r="I30" s="3237" t="s">
        <v>3255</v>
      </c>
      <c r="J30" s="397"/>
      <c r="K30" s="618"/>
      <c r="L30" s="2868"/>
      <c r="M30" s="2869"/>
      <c r="N30" s="2869"/>
      <c r="O30" s="2923"/>
      <c r="P30" s="3620"/>
      <c r="Q30" s="1456"/>
      <c r="R30" s="696"/>
      <c r="S30" s="697"/>
      <c r="T30" s="696"/>
      <c r="U30" s="697"/>
      <c r="V30" s="696"/>
      <c r="W30" s="697"/>
      <c r="X30" s="698"/>
      <c r="Y30" s="3620"/>
      <c r="Z30" s="55"/>
      <c r="AA30" s="1466">
        <v>1</v>
      </c>
      <c r="AB30" s="1466">
        <v>1</v>
      </c>
      <c r="AC30" s="1466">
        <v>1</v>
      </c>
    </row>
    <row r="31" spans="1:29" ht="15.5">
      <c r="A31" s="377"/>
      <c r="B31" s="405" t="s">
        <v>2233</v>
      </c>
      <c r="C31" s="3238" t="s">
        <v>3265</v>
      </c>
      <c r="D31" s="384">
        <v>100</v>
      </c>
      <c r="E31" s="3244" t="s">
        <v>3268</v>
      </c>
      <c r="F31" s="384">
        <f>SUMIF(103:103,E31,104:104)-SUMIF(103:103,C31,104:104)+100</f>
        <v>98</v>
      </c>
      <c r="G31" s="3244" t="s">
        <v>3265</v>
      </c>
      <c r="H31" s="384">
        <f>SUMIF(103:103,G31,104:104)-SUMIF(103:103,C31,104:104)+100</f>
        <v>100</v>
      </c>
      <c r="I31" s="3244" t="s">
        <v>3265</v>
      </c>
      <c r="J31" s="384">
        <f>SUMIF(103:103,I31,104:104)-SUMIF(103:103,C31,104:104)+100</f>
        <v>100</v>
      </c>
      <c r="K31" s="619">
        <v>2</v>
      </c>
      <c r="L31" s="2873"/>
      <c r="M31" s="2867"/>
      <c r="N31" s="2867"/>
      <c r="O31" s="2925"/>
      <c r="P31" s="3620"/>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620"/>
      <c r="Z31" s="1469" t="str">
        <f t="shared" ref="Z31:Z45" si="13">Q31</f>
        <v>临街状况</v>
      </c>
      <c r="AA31" s="1466">
        <f t="shared" si="3"/>
        <v>1.0204081632653061</v>
      </c>
      <c r="AB31" s="1466">
        <f t="shared" si="4"/>
        <v>1</v>
      </c>
      <c r="AC31" s="1466">
        <f t="shared" si="5"/>
        <v>1</v>
      </c>
    </row>
    <row r="32" spans="1:29" ht="28">
      <c r="A32" s="377"/>
      <c r="B32" s="1225" t="s">
        <v>2268</v>
      </c>
      <c r="C32" s="3239"/>
      <c r="D32" s="399">
        <v>100</v>
      </c>
      <c r="E32" s="3245"/>
      <c r="F32" s="399">
        <f>SUMIF(105:105,E33,106:106)-SUMIF(105:105,C33,106:106)+100</f>
        <v>100</v>
      </c>
      <c r="G32" s="3245"/>
      <c r="H32" s="399">
        <f>SUMIF(105:105,G33,106:106)-SUMIF(105:105,C33,106:106)+100</f>
        <v>100</v>
      </c>
      <c r="I32" s="3239"/>
      <c r="J32" s="399">
        <f>SUMIF(105:105,I33,106:106)-SUMIF(105:105,C33,106:106)+100</f>
        <v>99</v>
      </c>
      <c r="K32" s="619">
        <v>1</v>
      </c>
      <c r="L32" s="2873"/>
      <c r="M32" s="2867"/>
      <c r="N32" s="2867"/>
      <c r="O32" s="2925"/>
      <c r="P32" s="3620"/>
      <c r="Q32" s="1465" t="str">
        <f t="shared" si="8"/>
        <v>毗邻道路的类型与等级</v>
      </c>
      <c r="R32" s="700" t="s">
        <v>17</v>
      </c>
      <c r="S32" s="701">
        <f t="shared" si="10"/>
        <v>100</v>
      </c>
      <c r="T32" s="700" t="s">
        <v>17</v>
      </c>
      <c r="U32" s="701">
        <f t="shared" si="11"/>
        <v>100</v>
      </c>
      <c r="V32" s="700" t="s">
        <v>17</v>
      </c>
      <c r="W32" s="701">
        <f t="shared" si="12"/>
        <v>99</v>
      </c>
      <c r="X32" s="1468"/>
      <c r="Y32" s="3620"/>
      <c r="Z32" s="1469" t="str">
        <f t="shared" si="13"/>
        <v>毗邻道路的类型与等级</v>
      </c>
      <c r="AA32" s="1466">
        <f t="shared" si="3"/>
        <v>1</v>
      </c>
      <c r="AB32" s="1466">
        <f t="shared" si="4"/>
        <v>1</v>
      </c>
      <c r="AC32" s="1466">
        <f t="shared" si="5"/>
        <v>1.0101010101010102</v>
      </c>
    </row>
    <row r="33" spans="1:29" ht="15.5">
      <c r="A33" s="377"/>
      <c r="B33" s="405"/>
      <c r="C33" s="3240" t="s">
        <v>3266</v>
      </c>
      <c r="D33" s="397"/>
      <c r="E33" s="3246" t="s">
        <v>3266</v>
      </c>
      <c r="F33" s="397"/>
      <c r="G33" s="3246" t="s">
        <v>3266</v>
      </c>
      <c r="H33" s="397"/>
      <c r="I33" s="3246" t="s">
        <v>3663</v>
      </c>
      <c r="J33" s="397"/>
      <c r="K33" s="560"/>
      <c r="L33" s="2873"/>
      <c r="M33" s="2867"/>
      <c r="N33" s="2867"/>
      <c r="O33" s="2925"/>
      <c r="P33" s="3620"/>
      <c r="Q33" s="1465"/>
      <c r="R33" s="700"/>
      <c r="S33" s="701"/>
      <c r="T33" s="700"/>
      <c r="U33" s="701"/>
      <c r="V33" s="700"/>
      <c r="W33" s="701"/>
      <c r="X33" s="1468"/>
      <c r="Y33" s="3620"/>
      <c r="Z33" s="1469"/>
      <c r="AA33" s="1466">
        <v>1</v>
      </c>
      <c r="AB33" s="1466">
        <v>1</v>
      </c>
      <c r="AC33" s="1466">
        <v>1</v>
      </c>
    </row>
    <row r="34" spans="1:29" ht="15.5">
      <c r="A34" s="377"/>
      <c r="B34" s="371" t="s">
        <v>2326</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620"/>
      <c r="Q34" s="1465" t="str">
        <f t="shared" si="8"/>
        <v>土地级别</v>
      </c>
      <c r="R34" s="700" t="s">
        <v>17</v>
      </c>
      <c r="S34" s="701">
        <f t="shared" si="10"/>
        <v>100</v>
      </c>
      <c r="T34" s="700" t="s">
        <v>17</v>
      </c>
      <c r="U34" s="701">
        <f t="shared" si="11"/>
        <v>100</v>
      </c>
      <c r="V34" s="700" t="s">
        <v>17</v>
      </c>
      <c r="W34" s="701">
        <f t="shared" si="12"/>
        <v>100</v>
      </c>
      <c r="X34" s="1468"/>
      <c r="Y34" s="3620"/>
      <c r="Z34" s="1469" t="str">
        <f t="shared" si="13"/>
        <v>土地级别</v>
      </c>
      <c r="AA34" s="1466">
        <f t="shared" si="3"/>
        <v>1</v>
      </c>
      <c r="AB34" s="1466">
        <f t="shared" si="4"/>
        <v>1</v>
      </c>
      <c r="AC34" s="1466">
        <f t="shared" si="5"/>
        <v>1</v>
      </c>
    </row>
    <row r="35" spans="1:29" ht="15.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620"/>
      <c r="Q35" s="1465">
        <f t="shared" si="8"/>
        <v>111</v>
      </c>
      <c r="R35" s="700" t="s">
        <v>17</v>
      </c>
      <c r="S35" s="701">
        <f t="shared" si="10"/>
        <v>100</v>
      </c>
      <c r="T35" s="700" t="s">
        <v>17</v>
      </c>
      <c r="U35" s="701">
        <f t="shared" si="11"/>
        <v>100</v>
      </c>
      <c r="V35" s="700" t="s">
        <v>17</v>
      </c>
      <c r="W35" s="701">
        <f t="shared" si="12"/>
        <v>100</v>
      </c>
      <c r="X35" s="1468"/>
      <c r="Y35" s="3620"/>
      <c r="Z35" s="1469">
        <f t="shared" si="13"/>
        <v>111</v>
      </c>
      <c r="AA35" s="1466">
        <f t="shared" si="3"/>
        <v>1</v>
      </c>
      <c r="AB35" s="1466">
        <f t="shared" si="4"/>
        <v>1</v>
      </c>
      <c r="AC35" s="1466">
        <f t="shared" si="5"/>
        <v>1</v>
      </c>
    </row>
    <row r="36" spans="1:29" ht="15.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621" t="s">
        <v>2142</v>
      </c>
      <c r="Q36" s="1465">
        <f t="shared" si="8"/>
        <v>111</v>
      </c>
      <c r="R36" s="700" t="s">
        <v>17</v>
      </c>
      <c r="S36" s="701">
        <f t="shared" si="10"/>
        <v>100</v>
      </c>
      <c r="T36" s="700" t="s">
        <v>17</v>
      </c>
      <c r="U36" s="701">
        <f t="shared" si="11"/>
        <v>100</v>
      </c>
      <c r="V36" s="700" t="s">
        <v>17</v>
      </c>
      <c r="W36" s="701">
        <f t="shared" si="12"/>
        <v>100</v>
      </c>
      <c r="X36" s="1468"/>
      <c r="Y36" s="3622" t="s">
        <v>2142</v>
      </c>
      <c r="Z36" s="1469">
        <f t="shared" si="13"/>
        <v>111</v>
      </c>
      <c r="AA36" s="1466">
        <f t="shared" si="3"/>
        <v>1</v>
      </c>
      <c r="AB36" s="1466">
        <f t="shared" si="4"/>
        <v>1</v>
      </c>
      <c r="AC36" s="1466">
        <f t="shared" si="5"/>
        <v>1</v>
      </c>
    </row>
    <row r="37" spans="1:29" s="420" customFormat="1" ht="16"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622"/>
      <c r="Q37" s="1465">
        <f t="shared" si="8"/>
        <v>111</v>
      </c>
      <c r="R37" s="703" t="s">
        <v>17</v>
      </c>
      <c r="S37" s="704">
        <f t="shared" si="10"/>
        <v>100</v>
      </c>
      <c r="T37" s="703" t="s">
        <v>17</v>
      </c>
      <c r="U37" s="704">
        <f t="shared" si="11"/>
        <v>100</v>
      </c>
      <c r="V37" s="703" t="s">
        <v>17</v>
      </c>
      <c r="W37" s="704">
        <f t="shared" si="12"/>
        <v>100</v>
      </c>
      <c r="X37" s="705"/>
      <c r="Y37" s="3622"/>
      <c r="Z37" s="706">
        <f t="shared" si="13"/>
        <v>111</v>
      </c>
      <c r="AA37" s="1466">
        <f t="shared" si="3"/>
        <v>1</v>
      </c>
      <c r="AB37" s="1466">
        <f t="shared" si="4"/>
        <v>1</v>
      </c>
      <c r="AC37" s="1466">
        <f t="shared" si="5"/>
        <v>1</v>
      </c>
    </row>
    <row r="38" spans="1:29" ht="15.5">
      <c r="A38" s="421" t="s">
        <v>2140</v>
      </c>
      <c r="B38" s="405" t="s">
        <v>2327</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622"/>
      <c r="Q38" s="1465" t="str">
        <f>B38</f>
        <v>宗地面积</v>
      </c>
      <c r="R38" s="700" t="s">
        <v>17</v>
      </c>
      <c r="S38" s="701">
        <f t="shared" si="10"/>
        <v>99</v>
      </c>
      <c r="T38" s="700" t="s">
        <v>17</v>
      </c>
      <c r="U38" s="701">
        <f t="shared" si="11"/>
        <v>99</v>
      </c>
      <c r="V38" s="700" t="s">
        <v>17</v>
      </c>
      <c r="W38" s="701">
        <f t="shared" si="12"/>
        <v>99</v>
      </c>
      <c r="X38" s="1468"/>
      <c r="Y38" s="3622"/>
      <c r="Z38" s="1469" t="str">
        <f t="shared" si="13"/>
        <v>宗地面积</v>
      </c>
      <c r="AA38" s="1466">
        <f t="shared" si="3"/>
        <v>1.0101010101010102</v>
      </c>
      <c r="AB38" s="1466">
        <f t="shared" si="4"/>
        <v>1.0101010101010102</v>
      </c>
      <c r="AC38" s="1466">
        <f t="shared" si="5"/>
        <v>1.0101010101010102</v>
      </c>
    </row>
    <row r="39" spans="1:29" ht="15.5">
      <c r="A39" s="421"/>
      <c r="B39" s="371" t="s">
        <v>2328</v>
      </c>
      <c r="C39" s="2020" t="s">
        <v>3267</v>
      </c>
      <c r="D39" s="384">
        <v>100</v>
      </c>
      <c r="E39" s="2020" t="s">
        <v>3267</v>
      </c>
      <c r="F39" s="384">
        <f>SUMIF(118:118,E39,119:119)-SUMIF(118:118,C39,119:119)+100</f>
        <v>100</v>
      </c>
      <c r="G39" s="2020" t="s">
        <v>3267</v>
      </c>
      <c r="H39" s="384">
        <f>SUMIF(118:118,G39,119:119)-SUMIF(118:118,C39,119:119)+100</f>
        <v>100</v>
      </c>
      <c r="I39" s="2020" t="s">
        <v>3267</v>
      </c>
      <c r="J39" s="384">
        <f>SUMIF(118:118,I39,119:119)-SUMIF(118:118,C39,119:119)+100</f>
        <v>100</v>
      </c>
      <c r="K39" s="3252">
        <v>2</v>
      </c>
      <c r="L39" s="2873"/>
      <c r="M39" s="2867"/>
      <c r="N39" s="2867"/>
      <c r="O39" s="2925"/>
      <c r="P39" s="3622"/>
      <c r="Q39" s="1465" t="str">
        <f t="shared" ref="Q39:Q45" si="14">B39</f>
        <v>宗地形状</v>
      </c>
      <c r="R39" s="700" t="s">
        <v>17</v>
      </c>
      <c r="S39" s="701">
        <f t="shared" si="10"/>
        <v>100</v>
      </c>
      <c r="T39" s="700" t="s">
        <v>17</v>
      </c>
      <c r="U39" s="701">
        <f t="shared" si="11"/>
        <v>100</v>
      </c>
      <c r="V39" s="700" t="s">
        <v>17</v>
      </c>
      <c r="W39" s="701">
        <f t="shared" si="12"/>
        <v>100</v>
      </c>
      <c r="X39" s="1468"/>
      <c r="Y39" s="3622"/>
      <c r="Z39" s="1469" t="str">
        <f t="shared" si="13"/>
        <v>宗地形状</v>
      </c>
      <c r="AA39" s="1466">
        <f t="shared" si="3"/>
        <v>1</v>
      </c>
      <c r="AB39" s="1466">
        <f t="shared" si="4"/>
        <v>1</v>
      </c>
      <c r="AC39" s="1466">
        <f t="shared" si="5"/>
        <v>1</v>
      </c>
    </row>
    <row r="40" spans="1:29" ht="15.5">
      <c r="A40" s="421"/>
      <c r="B40" s="371" t="s">
        <v>2329</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622"/>
      <c r="Q40" s="1465" t="str">
        <f t="shared" si="14"/>
        <v>临街宽度及深度</v>
      </c>
      <c r="R40" s="700" t="s">
        <v>17</v>
      </c>
      <c r="S40" s="701">
        <f t="shared" si="10"/>
        <v>100</v>
      </c>
      <c r="T40" s="700" t="s">
        <v>17</v>
      </c>
      <c r="U40" s="701">
        <f t="shared" si="11"/>
        <v>100</v>
      </c>
      <c r="V40" s="700" t="s">
        <v>17</v>
      </c>
      <c r="W40" s="701">
        <f t="shared" si="12"/>
        <v>100</v>
      </c>
      <c r="X40" s="1468"/>
      <c r="Y40" s="3622"/>
      <c r="Z40" s="1469" t="str">
        <f t="shared" si="13"/>
        <v>临街宽度及深度</v>
      </c>
      <c r="AA40" s="1466">
        <f t="shared" si="3"/>
        <v>1</v>
      </c>
      <c r="AB40" s="1466">
        <f t="shared" si="4"/>
        <v>1</v>
      </c>
      <c r="AC40" s="1466">
        <f t="shared" si="5"/>
        <v>1</v>
      </c>
    </row>
    <row r="41" spans="1:29" s="110" customFormat="1" ht="15.5">
      <c r="A41" s="422"/>
      <c r="B41" s="371" t="s">
        <v>2330</v>
      </c>
      <c r="C41" s="2094" t="s">
        <v>3256</v>
      </c>
      <c r="D41" s="122">
        <v>100</v>
      </c>
      <c r="E41" s="2094" t="s">
        <v>3256</v>
      </c>
      <c r="F41" s="384">
        <f>SUMIF(122:122,E41,123:123)-SUMIF(122:122,C41,123:123)+100</f>
        <v>100</v>
      </c>
      <c r="G41" s="2094" t="s">
        <v>3259</v>
      </c>
      <c r="H41" s="384">
        <f>SUMIF(122:122,G41,123:123)-SUMIF(122:122,C41,123:123)+100</f>
        <v>97</v>
      </c>
      <c r="I41" s="2094" t="s">
        <v>3257</v>
      </c>
      <c r="J41" s="384">
        <f>SUMIF(122:122,I41,123:123)-SUMIF(122:122,C41,123:123)+100</f>
        <v>99</v>
      </c>
      <c r="K41" s="3252">
        <v>1</v>
      </c>
      <c r="L41" s="2868"/>
      <c r="M41" s="2869"/>
      <c r="N41" s="2869"/>
      <c r="O41" s="2923"/>
      <c r="P41" s="3622"/>
      <c r="Q41" s="1465" t="str">
        <f t="shared" si="14"/>
        <v>宗地开发程度</v>
      </c>
      <c r="R41" s="696" t="s">
        <v>17</v>
      </c>
      <c r="S41" s="697">
        <f t="shared" si="10"/>
        <v>100</v>
      </c>
      <c r="T41" s="696" t="s">
        <v>17</v>
      </c>
      <c r="U41" s="697">
        <f t="shared" si="11"/>
        <v>97</v>
      </c>
      <c r="V41" s="696" t="s">
        <v>17</v>
      </c>
      <c r="W41" s="697">
        <f t="shared" si="12"/>
        <v>99</v>
      </c>
      <c r="X41" s="698"/>
      <c r="Y41" s="3622"/>
      <c r="Z41" s="55" t="str">
        <f t="shared" si="13"/>
        <v>宗地开发程度</v>
      </c>
      <c r="AA41" s="699">
        <f t="shared" si="3"/>
        <v>1</v>
      </c>
      <c r="AB41" s="699">
        <f t="shared" si="4"/>
        <v>1.0309278350515463</v>
      </c>
      <c r="AC41" s="699">
        <f t="shared" si="5"/>
        <v>1.0101010101010102</v>
      </c>
    </row>
    <row r="42" spans="1:29" ht="15.5">
      <c r="A42" s="421"/>
      <c r="B42" s="371" t="s">
        <v>2331</v>
      </c>
      <c r="C42" s="2020" t="s">
        <v>3261</v>
      </c>
      <c r="D42" s="384">
        <v>100</v>
      </c>
      <c r="E42" s="2020" t="s">
        <v>3261</v>
      </c>
      <c r="F42" s="384">
        <f>SUMIF(124:124,E42,125:125)-SUMIF(124:124,C42,125:125)+100</f>
        <v>100</v>
      </c>
      <c r="G42" s="2020" t="s">
        <v>3261</v>
      </c>
      <c r="H42" s="384">
        <f>SUMIF(124:124,G42,125:125)-SUMIF(124:124,C42,125:125)+100</f>
        <v>100</v>
      </c>
      <c r="I42" s="2020" t="s">
        <v>3261</v>
      </c>
      <c r="J42" s="384">
        <f>SUMIF(124:124,I42,125:125)-SUMIF(124:124,C42,125:125)+100</f>
        <v>100</v>
      </c>
      <c r="K42" s="3252">
        <v>2</v>
      </c>
      <c r="L42" s="2873"/>
      <c r="M42" s="2867"/>
      <c r="N42" s="2867"/>
      <c r="O42" s="2925"/>
      <c r="P42" s="3622" t="s">
        <v>2142</v>
      </c>
      <c r="Q42" s="1465" t="str">
        <f t="shared" si="14"/>
        <v>工程地质条件</v>
      </c>
      <c r="R42" s="700" t="s">
        <v>17</v>
      </c>
      <c r="S42" s="701">
        <f t="shared" si="10"/>
        <v>100</v>
      </c>
      <c r="T42" s="700" t="s">
        <v>17</v>
      </c>
      <c r="U42" s="701">
        <f t="shared" si="11"/>
        <v>100</v>
      </c>
      <c r="V42" s="700" t="s">
        <v>17</v>
      </c>
      <c r="W42" s="701">
        <f t="shared" si="12"/>
        <v>100</v>
      </c>
      <c r="X42" s="1468"/>
      <c r="Y42" s="3622" t="s">
        <v>2142</v>
      </c>
      <c r="Z42" s="1469" t="str">
        <f t="shared" si="13"/>
        <v>工程地质条件</v>
      </c>
      <c r="AA42" s="1466">
        <f t="shared" si="3"/>
        <v>1</v>
      </c>
      <c r="AB42" s="1466">
        <f t="shared" si="4"/>
        <v>1</v>
      </c>
      <c r="AC42" s="1466">
        <f t="shared" si="5"/>
        <v>1</v>
      </c>
    </row>
    <row r="43" spans="1:29" ht="15.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622"/>
      <c r="Q43" s="1465">
        <f t="shared" si="14"/>
        <v>111</v>
      </c>
      <c r="R43" s="700" t="s">
        <v>17</v>
      </c>
      <c r="S43" s="701">
        <f t="shared" si="10"/>
        <v>100</v>
      </c>
      <c r="T43" s="700" t="s">
        <v>17</v>
      </c>
      <c r="U43" s="701">
        <f t="shared" si="11"/>
        <v>100</v>
      </c>
      <c r="V43" s="700" t="s">
        <v>17</v>
      </c>
      <c r="W43" s="701">
        <f t="shared" si="12"/>
        <v>100</v>
      </c>
      <c r="X43" s="1468"/>
      <c r="Y43" s="3622"/>
      <c r="Z43" s="1469">
        <f t="shared" si="13"/>
        <v>111</v>
      </c>
      <c r="AA43" s="1466">
        <f t="shared" si="3"/>
        <v>1</v>
      </c>
      <c r="AB43" s="1466">
        <f t="shared" si="4"/>
        <v>1</v>
      </c>
      <c r="AC43" s="1466">
        <f t="shared" si="5"/>
        <v>1</v>
      </c>
    </row>
    <row r="44" spans="1:29" ht="15.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622"/>
      <c r="Q44" s="1465">
        <f t="shared" si="14"/>
        <v>111</v>
      </c>
      <c r="R44" s="700" t="s">
        <v>17</v>
      </c>
      <c r="S44" s="701">
        <f t="shared" si="10"/>
        <v>100</v>
      </c>
      <c r="T44" s="700" t="s">
        <v>17</v>
      </c>
      <c r="U44" s="701">
        <f t="shared" si="11"/>
        <v>100</v>
      </c>
      <c r="V44" s="700" t="s">
        <v>17</v>
      </c>
      <c r="W44" s="701">
        <f t="shared" si="12"/>
        <v>100</v>
      </c>
      <c r="X44" s="1468"/>
      <c r="Y44" s="3622"/>
      <c r="Z44" s="1469">
        <f t="shared" si="13"/>
        <v>111</v>
      </c>
      <c r="AA44" s="1466">
        <f t="shared" si="3"/>
        <v>1</v>
      </c>
      <c r="AB44" s="1466">
        <f t="shared" si="4"/>
        <v>1</v>
      </c>
      <c r="AC44" s="1466">
        <f t="shared" si="5"/>
        <v>1</v>
      </c>
    </row>
    <row r="45" spans="1:29" s="420" customFormat="1" ht="16"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622"/>
      <c r="Q45" s="1465">
        <f t="shared" si="14"/>
        <v>111</v>
      </c>
      <c r="R45" s="703" t="s">
        <v>17</v>
      </c>
      <c r="S45" s="704">
        <f t="shared" si="10"/>
        <v>100</v>
      </c>
      <c r="T45" s="703" t="s">
        <v>17</v>
      </c>
      <c r="U45" s="704">
        <f t="shared" si="11"/>
        <v>100</v>
      </c>
      <c r="V45" s="703" t="s">
        <v>17</v>
      </c>
      <c r="W45" s="704">
        <f t="shared" si="12"/>
        <v>100</v>
      </c>
      <c r="X45" s="705"/>
      <c r="Y45" s="3622"/>
      <c r="Z45" s="706">
        <f t="shared" si="13"/>
        <v>111</v>
      </c>
      <c r="AA45" s="1466">
        <f t="shared" si="3"/>
        <v>1</v>
      </c>
      <c r="AB45" s="1466">
        <f t="shared" si="4"/>
        <v>1</v>
      </c>
      <c r="AC45" s="1466">
        <f t="shared" si="5"/>
        <v>1</v>
      </c>
    </row>
    <row r="46" spans="1:29">
      <c r="A46" s="428" t="s">
        <v>2297</v>
      </c>
      <c r="B46" s="2096" t="s">
        <v>2332</v>
      </c>
      <c r="C46" s="628" t="s">
        <v>1</v>
      </c>
      <c r="D46" s="430"/>
      <c r="E46" s="431">
        <f>土地案例!AN2</f>
        <v>13779</v>
      </c>
      <c r="F46" s="432"/>
      <c r="G46" s="433">
        <f>土地案例!AN7</f>
        <v>13970</v>
      </c>
      <c r="H46" s="434"/>
      <c r="I46" s="431">
        <f>土地案例!AN10</f>
        <v>12825</v>
      </c>
      <c r="J46" s="434"/>
      <c r="K46" s="709"/>
      <c r="L46" s="2875"/>
      <c r="M46" s="2876"/>
      <c r="N46" s="2867"/>
      <c r="O46" s="2876"/>
      <c r="P46" s="3604" t="str">
        <f>A46</f>
        <v>成交单价</v>
      </c>
      <c r="Q46" s="3604"/>
      <c r="R46" s="3617">
        <f>E46</f>
        <v>13779</v>
      </c>
      <c r="S46" s="3617"/>
      <c r="T46" s="3617">
        <f>G46</f>
        <v>13970</v>
      </c>
      <c r="U46" s="3617"/>
      <c r="V46" s="3617">
        <f>I46</f>
        <v>12825</v>
      </c>
      <c r="W46" s="3617"/>
      <c r="X46" s="685"/>
      <c r="Y46" s="707"/>
      <c r="Z46" s="685"/>
      <c r="AA46" s="685"/>
      <c r="AB46" s="685"/>
      <c r="AC46" s="685"/>
    </row>
    <row r="47" spans="1:29" ht="14.5" thickBot="1">
      <c r="A47" s="435" t="s">
        <v>2246</v>
      </c>
      <c r="B47" s="629"/>
      <c r="C47" s="438">
        <f>R48</f>
        <v>11883</v>
      </c>
      <c r="D47" s="2466" t="s">
        <v>2634</v>
      </c>
      <c r="E47" s="438">
        <f>R47</f>
        <v>11955</v>
      </c>
      <c r="F47" s="2467"/>
      <c r="G47" s="437">
        <f>T47</f>
        <v>12564</v>
      </c>
      <c r="H47" s="2467"/>
      <c r="I47" s="438">
        <f>V47</f>
        <v>11131</v>
      </c>
      <c r="J47" s="2467"/>
      <c r="K47" s="2469">
        <f>F47+H47+J47</f>
        <v>0</v>
      </c>
      <c r="L47" s="2875"/>
      <c r="M47" s="2876"/>
      <c r="N47" s="2876"/>
      <c r="O47" s="2876"/>
      <c r="P47" s="3604" t="str">
        <f>A47</f>
        <v>比较价值（元/平方米）</v>
      </c>
      <c r="Q47" s="3604"/>
      <c r="R47" s="3623">
        <f>ROUND(PRODUCT(R46,AA7:AA45),0)</f>
        <v>11955</v>
      </c>
      <c r="S47" s="3623"/>
      <c r="T47" s="3623">
        <f>ROUND(PRODUCT(T46,AB7:AB45),0)</f>
        <v>12564</v>
      </c>
      <c r="U47" s="3623"/>
      <c r="V47" s="3623">
        <f>ROUND(PRODUCT(V46,AC7:AC45),0)</f>
        <v>11131</v>
      </c>
      <c r="W47" s="3623"/>
      <c r="X47" s="685"/>
      <c r="Y47" s="685"/>
      <c r="Z47" s="685"/>
      <c r="AA47" s="685"/>
      <c r="AB47" s="685"/>
      <c r="AC47" s="685"/>
    </row>
    <row r="48" spans="1:29" ht="14.5" thickBot="1">
      <c r="A48" s="439" t="s">
        <v>2333</v>
      </c>
      <c r="B48" s="440"/>
      <c r="C48" s="441">
        <f>R48</f>
        <v>11883</v>
      </c>
      <c r="D48" s="441"/>
      <c r="E48" s="441"/>
      <c r="F48" s="441"/>
      <c r="G48" s="441"/>
      <c r="H48" s="441"/>
      <c r="I48" s="441"/>
      <c r="J48" s="441"/>
      <c r="K48" s="710"/>
      <c r="L48" s="2875"/>
      <c r="M48" s="2876"/>
      <c r="N48" s="2876"/>
      <c r="O48" s="2876"/>
      <c r="P48" s="3624" t="str">
        <f>A48</f>
        <v>估价对象XX用房的比较价值（楼面单价，元/平方米）</v>
      </c>
      <c r="Q48" s="3625"/>
      <c r="R48" s="3626">
        <f>ROUND(IF(D47="简单平均",AVERAGE(R47:W47),R47*F47+T47*H47+V47*J47),0)</f>
        <v>11883</v>
      </c>
      <c r="S48" s="3626"/>
      <c r="T48" s="3626"/>
      <c r="U48" s="3626"/>
      <c r="V48" s="3626"/>
      <c r="W48" s="3626"/>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2248</v>
      </c>
      <c r="D51" s="445"/>
      <c r="E51" s="446">
        <f>IF(E46&lt;E47,E47/E46-1,E46/E47-1)</f>
        <v>0.15257214554579668</v>
      </c>
      <c r="F51" s="447" t="str">
        <f>IF(OR(E51&gt;=0.3,E51&lt;=-0.3),"超过30%","")</f>
        <v/>
      </c>
      <c r="G51" s="446">
        <f>IF(G46&lt;G47,G47/G46-1,G46/G47-1)</f>
        <v>0.11190703597580387</v>
      </c>
      <c r="H51" s="447" t="str">
        <f>IF(OR(G51&gt;=0.3,G51&lt;=-0.3),"超过30%","")</f>
        <v/>
      </c>
      <c r="I51" s="446">
        <f>IF(I46&lt;I47,I47/I46-1,I46/I47-1)</f>
        <v>0.15218758422423861</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2249</v>
      </c>
      <c r="D52" s="448"/>
      <c r="E52" s="446">
        <f>IF(E47&lt;G47,G47/E47-1,E47/G47-1)</f>
        <v>5.0941028858218385E-2</v>
      </c>
      <c r="F52" s="447" t="str">
        <f>IF(OR(E52&gt;=0.2,E52&lt;=-0.2),"超过20%","")</f>
        <v/>
      </c>
      <c r="G52" s="446">
        <f>IF(G47&lt;I47,I47/G47-1,G47/I47-1)</f>
        <v>0.12873955619441202</v>
      </c>
      <c r="H52" s="447" t="str">
        <f>IF(OR(G52&gt;=0.2,G52&lt;=-0.2),"超过20%","")</f>
        <v/>
      </c>
      <c r="I52" s="446">
        <f>IF(I47&lt;E47,E47/I47-1,I47/E47-1)</f>
        <v>7.4027490791483297E-2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2250</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4.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2334</v>
      </c>
      <c r="B55" s="631" t="s">
        <v>2335</v>
      </c>
      <c r="C55" s="2097" t="s">
        <v>2336</v>
      </c>
      <c r="D55" s="2098" t="s">
        <v>2337</v>
      </c>
      <c r="E55" s="632" t="s">
        <v>2338</v>
      </c>
      <c r="F55" s="982" t="s">
        <v>2339</v>
      </c>
      <c r="G55" s="3605" t="s">
        <v>2340</v>
      </c>
      <c r="H55" s="3627"/>
      <c r="I55" s="130" t="s">
        <v>2341</v>
      </c>
      <c r="J55" s="2099">
        <f>项目基本情况!F35</f>
        <v>0</v>
      </c>
      <c r="K55" s="2100" t="s">
        <v>2342</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2343</v>
      </c>
      <c r="B56" s="635">
        <f>C48</f>
        <v>11883</v>
      </c>
      <c r="C56" s="636">
        <v>1</v>
      </c>
      <c r="D56" s="1036">
        <v>1</v>
      </c>
      <c r="E56" s="636">
        <f>'数据-汇总表'!E8+'数据-汇总表'!E9</f>
        <v>105208.37999999999</v>
      </c>
      <c r="F56" s="978">
        <f t="shared" ref="F56:F64" si="15">ROUND(B56*E56/10000,0)</f>
        <v>125019</v>
      </c>
      <c r="G56" s="3628"/>
      <c r="H56" s="3604"/>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2344</v>
      </c>
      <c r="B57" s="214">
        <f>ROUND($C$48*C57*D57,0)</f>
        <v>1782</v>
      </c>
      <c r="C57" s="166">
        <f t="shared" ref="C57:C64" si="16">IF($C$55="北京市系数",I57,J57)</f>
        <v>0.6</v>
      </c>
      <c r="D57" s="1037">
        <v>0.25</v>
      </c>
      <c r="E57" s="640">
        <f>'数据-汇总表'!G19</f>
        <v>10983.66</v>
      </c>
      <c r="F57" s="978">
        <f t="shared" si="15"/>
        <v>1957</v>
      </c>
      <c r="G57" s="3194" t="s">
        <v>2345</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2346</v>
      </c>
      <c r="B58" s="214">
        <f t="shared" ref="B58:B64" si="17">ROUND($C$48*C58*D58,0)</f>
        <v>891</v>
      </c>
      <c r="C58" s="166">
        <f t="shared" si="16"/>
        <v>0.3</v>
      </c>
      <c r="D58" s="1037">
        <v>0.25</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2347</v>
      </c>
      <c r="B59" s="214">
        <f t="shared" si="17"/>
        <v>743</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2348</v>
      </c>
      <c r="B60" s="214">
        <f t="shared" si="17"/>
        <v>743</v>
      </c>
      <c r="C60" s="166">
        <f t="shared" si="16"/>
        <v>0.25</v>
      </c>
      <c r="D60" s="1037">
        <v>0.25</v>
      </c>
      <c r="E60" s="213">
        <f>'数据-汇总表'!E11</f>
        <v>0</v>
      </c>
      <c r="F60" s="978">
        <f t="shared" si="15"/>
        <v>0</v>
      </c>
      <c r="G60" s="2101" t="s">
        <v>2349</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2350</v>
      </c>
      <c r="B61" s="214">
        <f t="shared" si="17"/>
        <v>743</v>
      </c>
      <c r="C61" s="166">
        <f t="shared" si="16"/>
        <v>0.25</v>
      </c>
      <c r="D61" s="1037">
        <v>0.25</v>
      </c>
      <c r="E61" s="213">
        <f>'数据-汇总表'!E12</f>
        <v>0</v>
      </c>
      <c r="F61" s="978">
        <f t="shared" si="15"/>
        <v>0</v>
      </c>
      <c r="G61" s="984" t="s">
        <v>2351</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2352</v>
      </c>
      <c r="B62" s="214">
        <f t="shared" si="17"/>
        <v>446</v>
      </c>
      <c r="C62" s="166">
        <f t="shared" si="16"/>
        <v>0.15</v>
      </c>
      <c r="D62" s="1037">
        <v>0.25</v>
      </c>
      <c r="E62" s="213">
        <f>'数据-汇总表'!E13</f>
        <v>59578.47</v>
      </c>
      <c r="F62" s="978">
        <f t="shared" si="15"/>
        <v>2657</v>
      </c>
      <c r="G62" s="984" t="s">
        <v>2353</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2354</v>
      </c>
      <c r="B63" s="214">
        <f t="shared" si="17"/>
        <v>446</v>
      </c>
      <c r="C63" s="166">
        <f t="shared" si="16"/>
        <v>0.15</v>
      </c>
      <c r="D63" s="1037">
        <v>0.25</v>
      </c>
      <c r="E63" s="213">
        <f>'数据-汇总表'!E14</f>
        <v>0</v>
      </c>
      <c r="F63" s="978">
        <f t="shared" si="15"/>
        <v>0</v>
      </c>
      <c r="G63" s="2101" t="s">
        <v>2345</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4.5" thickBot="1">
      <c r="A64" s="639" t="s">
        <v>2355</v>
      </c>
      <c r="B64" s="214">
        <f t="shared" si="17"/>
        <v>446</v>
      </c>
      <c r="C64" s="166">
        <f t="shared" si="16"/>
        <v>0.15</v>
      </c>
      <c r="D64" s="1037">
        <v>0.25</v>
      </c>
      <c r="E64" s="213">
        <f>'数据-汇总表'!E15</f>
        <v>0</v>
      </c>
      <c r="F64" s="978">
        <f t="shared" si="15"/>
        <v>0</v>
      </c>
      <c r="G64" s="2102" t="s">
        <v>2349</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thickBot="1">
      <c r="A65" s="641" t="s">
        <v>2356</v>
      </c>
      <c r="B65" s="642" t="s">
        <v>28</v>
      </c>
      <c r="C65" s="642" t="s">
        <v>29</v>
      </c>
      <c r="D65" s="642" t="s">
        <v>816</v>
      </c>
      <c r="E65" s="642">
        <f>IF(B46="楼面地价",SUM(E56:E64),'数据-汇总表'!D3)</f>
        <v>175770.51</v>
      </c>
      <c r="F65" s="643">
        <f>IF(B46="楼面地价",SUM(F56:F64),ROUND(C48*E65/10000,0))</f>
        <v>129633</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2022-5-1</v>
      </c>
      <c r="D67" s="687">
        <f>EDATE(C67,-3)</f>
        <v>44593</v>
      </c>
      <c r="E67" s="687">
        <f>EDATE(D67,-3)</f>
        <v>44501</v>
      </c>
      <c r="F67" s="687">
        <f t="shared" ref="F67:O67" si="18">EDATE(E67,-3)</f>
        <v>44409</v>
      </c>
      <c r="G67" s="687">
        <f t="shared" si="18"/>
        <v>44317</v>
      </c>
      <c r="H67" s="687">
        <f t="shared" si="18"/>
        <v>44228</v>
      </c>
      <c r="I67" s="687">
        <f t="shared" si="18"/>
        <v>44136</v>
      </c>
      <c r="J67" s="687">
        <f t="shared" si="18"/>
        <v>44044</v>
      </c>
      <c r="K67" s="687">
        <f t="shared" si="18"/>
        <v>43952</v>
      </c>
      <c r="L67" s="687">
        <f t="shared" si="18"/>
        <v>43862</v>
      </c>
      <c r="M67" s="687">
        <f t="shared" si="18"/>
        <v>43770</v>
      </c>
      <c r="N67" s="687">
        <f t="shared" si="18"/>
        <v>43678</v>
      </c>
      <c r="O67" s="687">
        <f t="shared" si="18"/>
        <v>43586</v>
      </c>
      <c r="P67" s="2876"/>
      <c r="Q67" s="2876"/>
      <c r="R67" s="2876"/>
      <c r="S67" s="2876"/>
      <c r="T67" s="2876"/>
      <c r="U67" s="2876"/>
      <c r="V67" s="2876"/>
      <c r="W67" s="2876"/>
      <c r="X67" s="2876"/>
      <c r="Y67" s="2876"/>
      <c r="Z67" s="2876"/>
      <c r="AA67" s="2876"/>
      <c r="AB67" s="2876"/>
      <c r="AC67" s="2876"/>
    </row>
    <row r="68" spans="1:29" ht="21.5" thickBot="1">
      <c r="A68" s="689" t="s">
        <v>2251</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c r="A69" s="2103" t="s">
        <v>2357</v>
      </c>
      <c r="B69" s="1201"/>
      <c r="C69" s="1275" t="str">
        <f>YEAR(C67)&amp;"-"&amp;ROUNDUP(MONTH(C67)/3,0)</f>
        <v>2022-2</v>
      </c>
      <c r="D69" s="1275" t="str">
        <f>YEAR(D67)&amp;"-"&amp;ROUNDUP(MONTH(D67)/3,0)</f>
        <v>2022-1</v>
      </c>
      <c r="E69" s="1275" t="str">
        <f t="shared" ref="E69:O69" si="19">YEAR(E67)&amp;"-"&amp;ROUNDUP(MONTH(E67)/3,0)</f>
        <v>2021-4</v>
      </c>
      <c r="F69" s="1275" t="str">
        <f t="shared" si="19"/>
        <v>2021-3</v>
      </c>
      <c r="G69" s="1275" t="str">
        <f t="shared" si="19"/>
        <v>2021-2</v>
      </c>
      <c r="H69" s="1275" t="str">
        <f t="shared" si="19"/>
        <v>2021-1</v>
      </c>
      <c r="I69" s="1275" t="str">
        <f t="shared" si="19"/>
        <v>2020-4</v>
      </c>
      <c r="J69" s="1275" t="str">
        <f t="shared" si="19"/>
        <v>2020-3</v>
      </c>
      <c r="K69" s="1275" t="str">
        <f t="shared" si="19"/>
        <v>2020-2</v>
      </c>
      <c r="L69" s="1275" t="str">
        <f t="shared" si="19"/>
        <v>2020-1</v>
      </c>
      <c r="M69" s="1275" t="str">
        <f t="shared" si="19"/>
        <v>2019-4</v>
      </c>
      <c r="N69" s="1275" t="str">
        <f t="shared" si="19"/>
        <v>2019-3</v>
      </c>
      <c r="O69" s="1275" t="str">
        <f t="shared" si="19"/>
        <v>2019-2</v>
      </c>
      <c r="P69" s="2927"/>
      <c r="Q69" s="2892"/>
      <c r="R69" s="2892"/>
      <c r="S69" s="2892"/>
      <c r="T69" s="2892"/>
      <c r="U69" s="2892"/>
      <c r="V69" s="2892"/>
      <c r="W69" s="2892"/>
      <c r="X69" s="2892"/>
      <c r="Y69" s="2892"/>
      <c r="Z69" s="2892"/>
      <c r="AA69" s="2892"/>
      <c r="AB69" s="2892"/>
      <c r="AC69" s="2892"/>
    </row>
    <row r="70" spans="1:29" s="110" customFormat="1" ht="30" customHeight="1">
      <c r="A70" s="2104" t="s">
        <v>2358</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4.5" thickBot="1">
      <c r="A71" s="462" t="s">
        <v>2162</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c r="A72" s="468" t="s">
        <v>2127</v>
      </c>
      <c r="B72" s="457"/>
      <c r="C72" s="469" t="s">
        <v>2229</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4.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2165</v>
      </c>
      <c r="B74" s="475" t="s">
        <v>2131</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4.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8.5" thickTop="1">
      <c r="A76" s="481"/>
      <c r="B76" s="485" t="s">
        <v>2134</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4.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4.5" thickTop="1">
      <c r="A78" s="481"/>
      <c r="B78" s="493" t="s">
        <v>2135</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4.5" thickTop="1">
      <c r="A81" s="500"/>
      <c r="B81" s="485">
        <f>B12</f>
        <v>0</v>
      </c>
      <c r="C81" s="3266"/>
      <c r="D81" s="3266"/>
      <c r="E81" s="3266"/>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4.5" thickBot="1">
      <c r="A82" s="500"/>
      <c r="B82" s="490"/>
      <c r="C82" s="507"/>
      <c r="D82" s="483"/>
      <c r="E82" s="483"/>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4.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4.5" thickBot="1">
      <c r="A84" s="500"/>
      <c r="B84" s="490"/>
      <c r="C84" s="3362"/>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 thickTop="1">
      <c r="A85" s="500"/>
      <c r="B85" s="493" t="str">
        <f>B14</f>
        <v>自持</v>
      </c>
      <c r="C85" s="3362" t="s">
        <v>3652</v>
      </c>
      <c r="D85" s="470" t="s">
        <v>3653</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4.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2136</v>
      </c>
      <c r="B87" s="475" t="s">
        <v>2173</v>
      </c>
      <c r="C87" s="520" t="s">
        <v>2174</v>
      </c>
      <c r="D87" s="520" t="s">
        <v>2175</v>
      </c>
      <c r="E87" s="520" t="s">
        <v>2176</v>
      </c>
      <c r="F87" s="520" t="s">
        <v>2177</v>
      </c>
      <c r="G87" s="520" t="s">
        <v>2178</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4.5" thickTop="1">
      <c r="A89" s="481"/>
      <c r="B89" s="485" t="s">
        <v>2359</v>
      </c>
      <c r="C89" s="525" t="s">
        <v>2174</v>
      </c>
      <c r="D89" s="525" t="s">
        <v>2175</v>
      </c>
      <c r="E89" s="525" t="s">
        <v>2176</v>
      </c>
      <c r="F89" s="525" t="s">
        <v>2177</v>
      </c>
      <c r="G89" s="525" t="s">
        <v>2178</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4.5" thickBot="1">
      <c r="A90" s="481"/>
      <c r="B90" s="490"/>
      <c r="C90" s="491">
        <v>100</v>
      </c>
      <c r="D90" s="491">
        <f>C90-$K17</f>
        <v>97</v>
      </c>
      <c r="E90" s="491">
        <f>D90-$K17</f>
        <v>94</v>
      </c>
      <c r="F90" s="491">
        <f>E90-$K17</f>
        <v>91</v>
      </c>
      <c r="G90" s="491">
        <f>F90-$K17</f>
        <v>88</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4.5" thickTop="1">
      <c r="A91" s="481"/>
      <c r="B91" s="485" t="s">
        <v>2274</v>
      </c>
      <c r="C91" s="525" t="s">
        <v>2174</v>
      </c>
      <c r="D91" s="525" t="s">
        <v>2175</v>
      </c>
      <c r="E91" s="525" t="s">
        <v>2176</v>
      </c>
      <c r="F91" s="525" t="s">
        <v>2177</v>
      </c>
      <c r="G91" s="525" t="s">
        <v>2178</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4.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4.5" thickTop="1">
      <c r="A93" s="481"/>
      <c r="B93" s="485" t="s">
        <v>2179</v>
      </c>
      <c r="C93" s="525" t="s">
        <v>2174</v>
      </c>
      <c r="D93" s="525" t="s">
        <v>2175</v>
      </c>
      <c r="E93" s="525" t="s">
        <v>2176</v>
      </c>
      <c r="F93" s="525" t="s">
        <v>2177</v>
      </c>
      <c r="G93" s="525" t="s">
        <v>2178</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4.5" thickBot="1">
      <c r="A94" s="481"/>
      <c r="B94" s="490"/>
      <c r="C94" s="491">
        <v>100</v>
      </c>
      <c r="D94" s="491">
        <f>C94-$K21</f>
        <v>97</v>
      </c>
      <c r="E94" s="491">
        <f>D94-$K21</f>
        <v>94</v>
      </c>
      <c r="F94" s="491">
        <f>E94-$K21</f>
        <v>91</v>
      </c>
      <c r="G94" s="491">
        <f>F94-$K21</f>
        <v>88</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28.5" thickTop="1">
      <c r="A95" s="526"/>
      <c r="B95" s="485" t="s">
        <v>2360</v>
      </c>
      <c r="C95" s="525" t="s">
        <v>2174</v>
      </c>
      <c r="D95" s="525" t="s">
        <v>2175</v>
      </c>
      <c r="E95" s="525" t="s">
        <v>2176</v>
      </c>
      <c r="F95" s="525" t="s">
        <v>2177</v>
      </c>
      <c r="G95" s="525" t="s">
        <v>2178</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8.5" thickTop="1">
      <c r="A97" s="526"/>
      <c r="B97" s="485" t="s">
        <v>2361</v>
      </c>
      <c r="C97" s="520" t="s">
        <v>2174</v>
      </c>
      <c r="D97" s="520" t="s">
        <v>2175</v>
      </c>
      <c r="E97" s="520" t="s">
        <v>2176</v>
      </c>
      <c r="F97" s="520" t="s">
        <v>2177</v>
      </c>
      <c r="G97" s="520" t="s">
        <v>2178</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4.5" thickBot="1">
      <c r="A98" s="526"/>
      <c r="B98" s="490"/>
      <c r="C98" s="491">
        <v>100</v>
      </c>
      <c r="D98" s="491">
        <f>C98-$K25</f>
        <v>97</v>
      </c>
      <c r="E98" s="491">
        <f>D98-$K25</f>
        <v>94</v>
      </c>
      <c r="F98" s="491">
        <f>E98-$K25</f>
        <v>91</v>
      </c>
      <c r="G98" s="491">
        <f>F98-$K25</f>
        <v>88</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4.5" thickTop="1">
      <c r="A99" s="500"/>
      <c r="B99" s="485" t="s">
        <v>2231</v>
      </c>
      <c r="C99" s="520" t="s">
        <v>2174</v>
      </c>
      <c r="D99" s="520" t="s">
        <v>2175</v>
      </c>
      <c r="E99" s="520" t="s">
        <v>2176</v>
      </c>
      <c r="F99" s="520" t="s">
        <v>2177</v>
      </c>
      <c r="G99" s="520" t="s">
        <v>2178</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4.5" thickTop="1">
      <c r="A101" s="500"/>
      <c r="B101" s="493" t="s">
        <v>2232</v>
      </c>
      <c r="C101" s="606" t="s">
        <v>2252</v>
      </c>
      <c r="D101" s="606" t="s">
        <v>2253</v>
      </c>
      <c r="E101" s="606" t="s">
        <v>2254</v>
      </c>
      <c r="F101" s="606" t="s">
        <v>2255</v>
      </c>
      <c r="G101" s="606" t="s">
        <v>2256</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4.5" thickTop="1">
      <c r="A103" s="481"/>
      <c r="B103" s="485" t="str">
        <f>B31</f>
        <v>临街状况</v>
      </c>
      <c r="C103" s="486" t="s">
        <v>2362</v>
      </c>
      <c r="D103" s="486" t="s">
        <v>2363</v>
      </c>
      <c r="E103" s="486" t="s">
        <v>2364</v>
      </c>
      <c r="F103" s="486" t="s">
        <v>2365</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8.5" thickTop="1">
      <c r="A105" s="481"/>
      <c r="B105" s="485" t="s">
        <v>2268</v>
      </c>
      <c r="C105" s="3230" t="s">
        <v>3242</v>
      </c>
      <c r="D105" s="3230" t="s">
        <v>3243</v>
      </c>
      <c r="E105" s="3230" t="s">
        <v>3244</v>
      </c>
      <c r="F105" s="3230" t="s">
        <v>3245</v>
      </c>
      <c r="G105" s="3230" t="s">
        <v>3246</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4.5" thickTop="1">
      <c r="A107" s="481"/>
      <c r="B107" s="485" t="s">
        <v>2326</v>
      </c>
      <c r="C107" s="3231" t="s">
        <v>3250</v>
      </c>
      <c r="D107" s="3231" t="s">
        <v>3247</v>
      </c>
      <c r="E107" s="3231" t="s">
        <v>3248</v>
      </c>
      <c r="F107" s="3231" t="s">
        <v>3249</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4.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4.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4.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4.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4.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4.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
      <c r="A115" s="474" t="s">
        <v>2140</v>
      </c>
      <c r="B115" s="475" t="s">
        <v>2366</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4.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4.5" thickTop="1">
      <c r="A118" s="546"/>
      <c r="B118" s="485" t="s">
        <v>2367</v>
      </c>
      <c r="C118" s="3234" t="s">
        <v>3251</v>
      </c>
      <c r="D118" s="3234" t="s">
        <v>3252</v>
      </c>
      <c r="E118" s="3234" t="s">
        <v>3253</v>
      </c>
      <c r="F118" s="3234" t="s">
        <v>3254</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4.5" thickTop="1">
      <c r="A120" s="546"/>
      <c r="B120" s="485" t="s">
        <v>2368</v>
      </c>
      <c r="C120" s="3235" t="s">
        <v>3260</v>
      </c>
      <c r="D120" s="3235" t="s">
        <v>3261</v>
      </c>
      <c r="E120" s="3236" t="s">
        <v>3262</v>
      </c>
      <c r="F120" s="3236" t="s">
        <v>3263</v>
      </c>
      <c r="G120" s="3236" t="s">
        <v>3264</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4.5" thickTop="1">
      <c r="A122" s="540"/>
      <c r="B122" s="485" t="s">
        <v>2369</v>
      </c>
      <c r="C122" s="3235" t="s">
        <v>3255</v>
      </c>
      <c r="D122" s="3235" t="s">
        <v>3256</v>
      </c>
      <c r="E122" s="3235" t="s">
        <v>3257</v>
      </c>
      <c r="F122" s="3235" t="s">
        <v>3258</v>
      </c>
      <c r="G122" s="3235" t="s">
        <v>3259</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4.5" thickTop="1">
      <c r="A124" s="546"/>
      <c r="B124" s="485" t="s">
        <v>2370</v>
      </c>
      <c r="C124" s="3235" t="s">
        <v>3260</v>
      </c>
      <c r="D124" s="3235" t="s">
        <v>3261</v>
      </c>
      <c r="E124" s="3236" t="s">
        <v>3262</v>
      </c>
      <c r="F124" s="3236" t="s">
        <v>3263</v>
      </c>
      <c r="G124" s="3236" t="s">
        <v>3264</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4.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4.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4.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4.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4.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4.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W37"/>
  <sheetViews>
    <sheetView workbookViewId="0">
      <pane xSplit="6" ySplit="1" topLeftCell="I41" activePane="bottomRight" state="frozen"/>
      <selection pane="topRight" activeCell="G1" sqref="G1"/>
      <selection pane="bottomLeft" activeCell="A2" sqref="A2"/>
      <selection pane="bottomRight" activeCell="AQ46" sqref="AQ46"/>
    </sheetView>
  </sheetViews>
  <sheetFormatPr defaultColWidth="8.7265625" defaultRowHeight="13"/>
  <cols>
    <col min="1" max="1" width="21.90625" style="3324" customWidth="1"/>
    <col min="2" max="2" width="10.90625" style="3324" hidden="1" customWidth="1"/>
    <col min="3" max="3" width="8.7265625" style="3324" hidden="1" customWidth="1"/>
    <col min="4" max="5" width="21.90625" style="3324" hidden="1" customWidth="1"/>
    <col min="6" max="6" width="14" style="3324" customWidth="1"/>
    <col min="7" max="7" width="21.90625" style="3324" hidden="1" customWidth="1"/>
    <col min="8" max="8" width="14.6328125" style="3324" hidden="1" customWidth="1"/>
    <col min="9" max="9" width="13.08984375" style="3324" customWidth="1"/>
    <col min="10" max="10" width="14.90625" style="3324" customWidth="1"/>
    <col min="11" max="11" width="11.08984375" style="3324" customWidth="1"/>
    <col min="12" max="12" width="21.90625" style="3324" hidden="1" customWidth="1"/>
    <col min="13" max="13" width="21.90625" style="3324" customWidth="1"/>
    <col min="14" max="15" width="21.90625" style="3324" hidden="1" customWidth="1"/>
    <col min="16" max="16" width="14" style="3324" hidden="1" customWidth="1"/>
    <col min="17" max="17" width="21.90625" style="3324" hidden="1" customWidth="1"/>
    <col min="18" max="18" width="13.7265625" style="3324" hidden="1" customWidth="1"/>
    <col min="19" max="19" width="12.453125" style="3324" customWidth="1"/>
    <col min="20" max="27" width="21.90625" style="3324" hidden="1" customWidth="1"/>
    <col min="28" max="28" width="12.453125" style="3324" customWidth="1"/>
    <col min="29" max="30" width="21.90625" style="3324" hidden="1" customWidth="1"/>
    <col min="31" max="31" width="21.90625" style="3324" customWidth="1"/>
    <col min="32" max="35" width="21.90625" style="3324" hidden="1" customWidth="1"/>
    <col min="36" max="36" width="10.7265625" style="3324" customWidth="1"/>
    <col min="37" max="38" width="21.90625" style="3324" hidden="1" customWidth="1"/>
    <col min="39" max="39" width="15.90625" style="3324" customWidth="1"/>
    <col min="40" max="40" width="15.08984375" style="3324" customWidth="1"/>
    <col min="41" max="42" width="21.90625" style="3324" hidden="1" customWidth="1"/>
    <col min="43" max="43" width="9.08984375" style="3324" customWidth="1"/>
    <col min="44" max="50" width="21.90625" style="3324" customWidth="1"/>
    <col min="51" max="16384" width="8.7265625" style="3324"/>
  </cols>
  <sheetData>
    <row r="1" spans="1:49">
      <c r="A1" s="3323" t="s">
        <v>3177</v>
      </c>
      <c r="B1" s="3323" t="s">
        <v>3178</v>
      </c>
      <c r="C1" s="3323" t="s">
        <v>3179</v>
      </c>
      <c r="D1" s="3323" t="s">
        <v>3180</v>
      </c>
      <c r="E1" s="3323" t="s">
        <v>3181</v>
      </c>
      <c r="F1" s="3323" t="s">
        <v>3182</v>
      </c>
      <c r="G1" s="3323" t="s">
        <v>3183</v>
      </c>
      <c r="H1" s="3323" t="s">
        <v>3184</v>
      </c>
      <c r="I1" s="3323" t="s">
        <v>3185</v>
      </c>
      <c r="J1" s="3323" t="s">
        <v>3186</v>
      </c>
      <c r="K1" s="3323" t="s">
        <v>3187</v>
      </c>
      <c r="L1" s="3323" t="s">
        <v>3188</v>
      </c>
      <c r="M1" s="3323" t="s">
        <v>3189</v>
      </c>
      <c r="N1" s="3323" t="s">
        <v>3190</v>
      </c>
      <c r="O1" s="3323" t="s">
        <v>3191</v>
      </c>
      <c r="P1" s="3323" t="s">
        <v>3192</v>
      </c>
      <c r="Q1" s="3323" t="s">
        <v>3193</v>
      </c>
      <c r="R1" s="3323" t="s">
        <v>3194</v>
      </c>
      <c r="S1" s="3323" t="s">
        <v>3195</v>
      </c>
      <c r="T1" s="3323" t="s">
        <v>3196</v>
      </c>
      <c r="U1" s="3323" t="s">
        <v>3197</v>
      </c>
      <c r="V1" s="3323" t="s">
        <v>3198</v>
      </c>
      <c r="W1" s="3323" t="s">
        <v>3199</v>
      </c>
      <c r="X1" s="3323" t="s">
        <v>3200</v>
      </c>
      <c r="Y1" s="3323" t="s">
        <v>3201</v>
      </c>
      <c r="Z1" s="3323" t="s">
        <v>3202</v>
      </c>
      <c r="AA1" s="3323" t="s">
        <v>3203</v>
      </c>
      <c r="AB1" s="3323" t="s">
        <v>3204</v>
      </c>
      <c r="AC1" s="3323" t="s">
        <v>3205</v>
      </c>
      <c r="AD1" s="3323" t="s">
        <v>3206</v>
      </c>
      <c r="AE1" s="3323" t="s">
        <v>3207</v>
      </c>
      <c r="AF1" s="3323" t="s">
        <v>3208</v>
      </c>
      <c r="AG1" s="3323" t="s">
        <v>3209</v>
      </c>
      <c r="AH1" s="3323" t="s">
        <v>3210</v>
      </c>
      <c r="AI1" s="3323" t="s">
        <v>3211</v>
      </c>
      <c r="AJ1" s="3323" t="s">
        <v>3212</v>
      </c>
      <c r="AK1" s="3323" t="s">
        <v>3213</v>
      </c>
      <c r="AL1" s="3323" t="s">
        <v>3214</v>
      </c>
      <c r="AM1" s="3323" t="s">
        <v>3215</v>
      </c>
      <c r="AN1" s="3323" t="s">
        <v>3216</v>
      </c>
      <c r="AO1" s="3323" t="s">
        <v>3217</v>
      </c>
      <c r="AP1" s="3323" t="s">
        <v>3218</v>
      </c>
      <c r="AQ1" s="3323" t="s">
        <v>3219</v>
      </c>
      <c r="AR1" s="3323" t="s">
        <v>3220</v>
      </c>
      <c r="AS1" s="3323" t="s">
        <v>3221</v>
      </c>
      <c r="AT1" s="3323" t="s">
        <v>3222</v>
      </c>
      <c r="AU1" s="3323" t="s">
        <v>3223</v>
      </c>
      <c r="AV1" s="3323" t="s">
        <v>3224</v>
      </c>
      <c r="AW1" s="3323" t="s">
        <v>3225</v>
      </c>
    </row>
    <row r="2" spans="1:49" s="3325" customFormat="1">
      <c r="A2" s="3325" t="s">
        <v>3349</v>
      </c>
      <c r="B2" s="3325" t="s">
        <v>3170</v>
      </c>
      <c r="C2" s="3325" t="s">
        <v>3226</v>
      </c>
      <c r="D2" s="3325" t="s">
        <v>3350</v>
      </c>
      <c r="E2" s="3325" t="s">
        <v>3351</v>
      </c>
      <c r="F2" s="3325" t="s">
        <v>3352</v>
      </c>
      <c r="G2" s="3325" t="s">
        <v>3353</v>
      </c>
      <c r="H2" s="3325" t="s">
        <v>3227</v>
      </c>
      <c r="I2" s="3325">
        <v>29991.73</v>
      </c>
      <c r="J2" s="3325">
        <v>119966.93</v>
      </c>
      <c r="K2" s="3325" t="s">
        <v>3354</v>
      </c>
      <c r="L2" s="3325" t="s">
        <v>3228</v>
      </c>
      <c r="M2" s="3325" t="s">
        <v>3229</v>
      </c>
      <c r="N2" s="3325" t="s">
        <v>3230</v>
      </c>
      <c r="O2" s="3325" t="s">
        <v>3231</v>
      </c>
      <c r="P2" s="3325" t="s">
        <v>3232</v>
      </c>
      <c r="Q2" s="3325" t="s">
        <v>3355</v>
      </c>
      <c r="R2" s="3325" t="s">
        <v>3232</v>
      </c>
      <c r="S2" s="3325" t="s">
        <v>3232</v>
      </c>
      <c r="T2" s="3325" t="s">
        <v>3232</v>
      </c>
      <c r="U2" s="3325" t="s">
        <v>3232</v>
      </c>
      <c r="V2" s="3325" t="s">
        <v>3232</v>
      </c>
      <c r="W2" s="3325">
        <v>0</v>
      </c>
      <c r="X2" s="3325">
        <v>0</v>
      </c>
      <c r="Y2" s="3326">
        <v>44531.000497685185</v>
      </c>
      <c r="Z2" s="3326">
        <v>44551.000497685185</v>
      </c>
      <c r="AA2" s="3326">
        <v>44566.000497685185</v>
      </c>
      <c r="AB2" s="3326">
        <v>44566.000497685185</v>
      </c>
      <c r="AC2" s="3325" t="s">
        <v>3350</v>
      </c>
      <c r="AD2" s="3325" t="s">
        <v>3233</v>
      </c>
      <c r="AE2" s="3325" t="s">
        <v>3356</v>
      </c>
      <c r="AF2" s="3325" t="s">
        <v>3232</v>
      </c>
      <c r="AG2" s="3325" t="s">
        <v>3357</v>
      </c>
      <c r="AH2" s="3325">
        <v>33100</v>
      </c>
      <c r="AI2" s="3325" t="s">
        <v>3232</v>
      </c>
      <c r="AJ2" s="3325">
        <v>165300</v>
      </c>
      <c r="AK2" s="3325" t="s">
        <v>3358</v>
      </c>
      <c r="AL2" s="3325">
        <v>3674.35</v>
      </c>
      <c r="AM2" s="3325" t="s">
        <v>3359</v>
      </c>
      <c r="AN2" s="3325">
        <v>13779</v>
      </c>
      <c r="AO2" s="3325" t="s">
        <v>3232</v>
      </c>
      <c r="AP2" s="3325" t="s">
        <v>3232</v>
      </c>
      <c r="AQ2" s="3325">
        <v>0</v>
      </c>
      <c r="AR2" s="3325" t="s">
        <v>3235</v>
      </c>
      <c r="AS2" s="3325" t="s">
        <v>3231</v>
      </c>
      <c r="AT2" s="3325" t="s">
        <v>3231</v>
      </c>
      <c r="AU2" s="3325" t="s">
        <v>3232</v>
      </c>
      <c r="AV2" s="3325" t="s">
        <v>3232</v>
      </c>
      <c r="AW2" s="3325" t="s">
        <v>3232</v>
      </c>
    </row>
    <row r="3" spans="1:49" s="3323" customFormat="1">
      <c r="A3" s="3323" t="s">
        <v>3360</v>
      </c>
      <c r="B3" s="3323" t="s">
        <v>3170</v>
      </c>
      <c r="C3" s="3323" t="s">
        <v>3226</v>
      </c>
      <c r="D3" s="3323" t="s">
        <v>3361</v>
      </c>
      <c r="E3" s="3323" t="s">
        <v>3351</v>
      </c>
      <c r="F3" s="3323" t="s">
        <v>3362</v>
      </c>
      <c r="G3" s="3323" t="s">
        <v>3363</v>
      </c>
      <c r="H3" s="3323" t="s">
        <v>3227</v>
      </c>
      <c r="I3" s="3323">
        <v>204418.11</v>
      </c>
      <c r="J3" s="3323">
        <v>302000</v>
      </c>
      <c r="K3" s="3323" t="s">
        <v>3364</v>
      </c>
      <c r="L3" s="3323" t="s">
        <v>3228</v>
      </c>
      <c r="M3" s="3323" t="s">
        <v>3229</v>
      </c>
      <c r="N3" s="3323" t="s">
        <v>3230</v>
      </c>
      <c r="O3" s="3323" t="s">
        <v>3231</v>
      </c>
      <c r="P3" s="3323" t="s">
        <v>3232</v>
      </c>
      <c r="Q3" s="3323" t="s">
        <v>3365</v>
      </c>
      <c r="R3" s="3323" t="s">
        <v>3232</v>
      </c>
      <c r="S3" s="3323" t="s">
        <v>3232</v>
      </c>
      <c r="T3" s="3323" t="s">
        <v>3232</v>
      </c>
      <c r="U3" s="3323" t="s">
        <v>3232</v>
      </c>
      <c r="V3" s="3323" t="s">
        <v>3232</v>
      </c>
      <c r="W3" s="3323">
        <v>0</v>
      </c>
      <c r="X3" s="3323">
        <v>0</v>
      </c>
      <c r="Y3" s="3327">
        <v>44457.000497685185</v>
      </c>
      <c r="Z3" s="3327">
        <v>44481.000497685185</v>
      </c>
      <c r="AA3" s="3327">
        <v>44495.000497685185</v>
      </c>
      <c r="AB3" s="3327">
        <v>44495.000497685185</v>
      </c>
      <c r="AC3" s="3323" t="s">
        <v>3361</v>
      </c>
      <c r="AD3" s="3323" t="s">
        <v>3233</v>
      </c>
      <c r="AE3" s="3323" t="s">
        <v>3366</v>
      </c>
      <c r="AF3" s="3323" t="s">
        <v>3367</v>
      </c>
      <c r="AG3" s="3323" t="s">
        <v>3368</v>
      </c>
      <c r="AH3" s="3323">
        <v>101400</v>
      </c>
      <c r="AI3" s="3323" t="s">
        <v>3234</v>
      </c>
      <c r="AJ3" s="3323">
        <v>506700</v>
      </c>
      <c r="AK3" s="3323" t="s">
        <v>3369</v>
      </c>
      <c r="AL3" s="3323">
        <v>1652.5</v>
      </c>
      <c r="AM3" s="3323" t="s">
        <v>3370</v>
      </c>
      <c r="AN3" s="3323">
        <v>16778</v>
      </c>
      <c r="AO3" s="3323" t="s">
        <v>3232</v>
      </c>
      <c r="AP3" s="3323" t="s">
        <v>3232</v>
      </c>
      <c r="AQ3" s="3323">
        <v>0</v>
      </c>
      <c r="AR3" s="3323" t="s">
        <v>3235</v>
      </c>
      <c r="AS3" s="3323" t="s">
        <v>3231</v>
      </c>
      <c r="AT3" s="3323" t="s">
        <v>3231</v>
      </c>
      <c r="AU3" s="3323" t="s">
        <v>3232</v>
      </c>
      <c r="AV3" s="3323" t="s">
        <v>3232</v>
      </c>
      <c r="AW3" s="3323" t="s">
        <v>3232</v>
      </c>
    </row>
    <row r="4" spans="1:49" s="3323" customFormat="1">
      <c r="A4" s="3323" t="s">
        <v>3371</v>
      </c>
      <c r="B4" s="3323" t="s">
        <v>3170</v>
      </c>
      <c r="C4" s="3323" t="s">
        <v>3226</v>
      </c>
      <c r="D4" s="3323" t="s">
        <v>3372</v>
      </c>
      <c r="E4" s="3323" t="s">
        <v>3351</v>
      </c>
      <c r="F4" s="3323" t="s">
        <v>3352</v>
      </c>
      <c r="G4" s="3323" t="s">
        <v>3373</v>
      </c>
      <c r="H4" s="3323" t="s">
        <v>3227</v>
      </c>
      <c r="I4" s="3323">
        <v>17147.95</v>
      </c>
      <c r="J4" s="3323">
        <v>53158.65</v>
      </c>
      <c r="K4" s="3323" t="s">
        <v>3374</v>
      </c>
      <c r="L4" s="3323" t="s">
        <v>3228</v>
      </c>
      <c r="M4" s="3323" t="s">
        <v>3375</v>
      </c>
      <c r="N4" s="3323" t="s">
        <v>3230</v>
      </c>
      <c r="O4" s="3323" t="s">
        <v>3231</v>
      </c>
      <c r="P4" s="3323" t="s">
        <v>3232</v>
      </c>
      <c r="Q4" s="3323" t="s">
        <v>3376</v>
      </c>
      <c r="R4" s="3323" t="s">
        <v>3232</v>
      </c>
      <c r="S4" s="3323" t="s">
        <v>3232</v>
      </c>
      <c r="T4" s="3323" t="s">
        <v>3232</v>
      </c>
      <c r="U4" s="3323" t="s">
        <v>3237</v>
      </c>
      <c r="V4" s="3323" t="s">
        <v>3237</v>
      </c>
      <c r="W4" s="3323">
        <v>0</v>
      </c>
      <c r="X4" s="3323">
        <v>0</v>
      </c>
      <c r="Y4" s="3327">
        <v>44300.000497685185</v>
      </c>
      <c r="Z4" s="3327">
        <v>44322.000497685185</v>
      </c>
      <c r="AA4" s="3327">
        <v>44335.000497685185</v>
      </c>
      <c r="AB4" s="3327">
        <v>44335.000497685185</v>
      </c>
      <c r="AC4" s="3323" t="s">
        <v>3372</v>
      </c>
      <c r="AD4" s="3323" t="s">
        <v>3233</v>
      </c>
      <c r="AE4" s="3323" t="s">
        <v>3377</v>
      </c>
      <c r="AF4" s="3323" t="s">
        <v>3378</v>
      </c>
      <c r="AG4" s="3323" t="s">
        <v>3379</v>
      </c>
      <c r="AH4" s="3323">
        <v>14000</v>
      </c>
      <c r="AI4" s="3323" t="s">
        <v>3232</v>
      </c>
      <c r="AJ4" s="3323">
        <v>69200</v>
      </c>
      <c r="AK4" s="3323" t="s">
        <v>3380</v>
      </c>
      <c r="AL4" s="3323">
        <v>2690.31</v>
      </c>
      <c r="AM4" s="3323" t="s">
        <v>3381</v>
      </c>
      <c r="AN4" s="3323">
        <v>13018</v>
      </c>
      <c r="AO4" s="3323" t="s">
        <v>3232</v>
      </c>
      <c r="AP4" s="3323" t="s">
        <v>3232</v>
      </c>
      <c r="AQ4" s="3323">
        <v>0</v>
      </c>
      <c r="AR4" s="3323" t="s">
        <v>3382</v>
      </c>
      <c r="AS4" s="3323" t="s">
        <v>3231</v>
      </c>
      <c r="AT4" s="3323" t="s">
        <v>3231</v>
      </c>
      <c r="AU4" s="3323" t="s">
        <v>3232</v>
      </c>
      <c r="AV4" s="3323" t="s">
        <v>3232</v>
      </c>
      <c r="AW4" s="3323" t="s">
        <v>3232</v>
      </c>
    </row>
    <row r="5" spans="1:49" s="3323" customFormat="1">
      <c r="A5" s="3323" t="s">
        <v>3383</v>
      </c>
      <c r="B5" s="3323" t="s">
        <v>3170</v>
      </c>
      <c r="C5" s="3323" t="s">
        <v>3226</v>
      </c>
      <c r="D5" s="3323" t="s">
        <v>3384</v>
      </c>
      <c r="E5" s="3323" t="s">
        <v>3351</v>
      </c>
      <c r="F5" s="3323" t="s">
        <v>3362</v>
      </c>
      <c r="G5" s="3323" t="s">
        <v>3385</v>
      </c>
      <c r="H5" s="3323" t="s">
        <v>3227</v>
      </c>
      <c r="I5" s="3323">
        <v>22058.78</v>
      </c>
      <c r="J5" s="3323">
        <v>47390</v>
      </c>
      <c r="K5" s="3323" t="s">
        <v>3386</v>
      </c>
      <c r="L5" s="3323" t="s">
        <v>3228</v>
      </c>
      <c r="M5" s="3323" t="s">
        <v>3229</v>
      </c>
      <c r="N5" s="3323" t="s">
        <v>3230</v>
      </c>
      <c r="O5" s="3323" t="s">
        <v>3231</v>
      </c>
      <c r="P5" s="3323" t="s">
        <v>3232</v>
      </c>
      <c r="Q5" s="3323" t="s">
        <v>3387</v>
      </c>
      <c r="R5" s="3323" t="s">
        <v>3232</v>
      </c>
      <c r="S5" s="3323" t="s">
        <v>3232</v>
      </c>
      <c r="T5" s="3323" t="s">
        <v>3232</v>
      </c>
      <c r="U5" s="3323" t="s">
        <v>3237</v>
      </c>
      <c r="V5" s="3323" t="s">
        <v>3237</v>
      </c>
      <c r="W5" s="3323">
        <v>0</v>
      </c>
      <c r="X5" s="3323">
        <v>0</v>
      </c>
      <c r="Y5" s="3327">
        <v>44201.000497685185</v>
      </c>
      <c r="Z5" s="3327">
        <v>44221.000497685185</v>
      </c>
      <c r="AA5" s="3327">
        <v>44234.000497685185</v>
      </c>
      <c r="AB5" s="3327">
        <v>44234.000497685185</v>
      </c>
      <c r="AC5" s="3323" t="s">
        <v>3384</v>
      </c>
      <c r="AD5" s="3323" t="s">
        <v>3233</v>
      </c>
      <c r="AE5" s="3323" t="s">
        <v>3388</v>
      </c>
      <c r="AF5" s="3323" t="s">
        <v>3389</v>
      </c>
      <c r="AG5" s="3323" t="s">
        <v>3390</v>
      </c>
      <c r="AH5" s="3323">
        <v>6600</v>
      </c>
      <c r="AI5" s="3323" t="s">
        <v>3232</v>
      </c>
      <c r="AJ5" s="3323">
        <v>32700</v>
      </c>
      <c r="AK5" s="3323" t="s">
        <v>3391</v>
      </c>
      <c r="AL5" s="3323">
        <v>988.27</v>
      </c>
      <c r="AM5" s="3323" t="s">
        <v>3392</v>
      </c>
      <c r="AN5" s="3323">
        <v>6900</v>
      </c>
      <c r="AO5" s="3323" t="s">
        <v>3232</v>
      </c>
      <c r="AP5" s="3323" t="s">
        <v>3232</v>
      </c>
      <c r="AQ5" s="3323">
        <v>0</v>
      </c>
      <c r="AR5" s="3323" t="s">
        <v>3382</v>
      </c>
      <c r="AS5" s="3323" t="s">
        <v>3231</v>
      </c>
      <c r="AT5" s="3323" t="s">
        <v>3231</v>
      </c>
      <c r="AU5" s="3323" t="s">
        <v>3232</v>
      </c>
      <c r="AV5" s="3323" t="s">
        <v>3232</v>
      </c>
      <c r="AW5" s="3323" t="s">
        <v>3232</v>
      </c>
    </row>
    <row r="6" spans="1:49" s="3323" customFormat="1">
      <c r="A6" s="3323" t="s">
        <v>3393</v>
      </c>
      <c r="B6" s="3323" t="s">
        <v>3170</v>
      </c>
      <c r="C6" s="3323" t="s">
        <v>3226</v>
      </c>
      <c r="D6" s="3323" t="s">
        <v>3394</v>
      </c>
      <c r="E6" s="3323" t="s">
        <v>3395</v>
      </c>
      <c r="F6" s="3323" t="s">
        <v>3396</v>
      </c>
      <c r="G6" s="3323" t="s">
        <v>3397</v>
      </c>
      <c r="H6" s="3323" t="s">
        <v>3227</v>
      </c>
      <c r="I6" s="3323">
        <v>25224.15</v>
      </c>
      <c r="J6" s="3323">
        <v>75672.45</v>
      </c>
      <c r="K6" s="3323" t="s">
        <v>3240</v>
      </c>
      <c r="L6" s="3323" t="s">
        <v>3228</v>
      </c>
      <c r="M6" s="3323" t="s">
        <v>3229</v>
      </c>
      <c r="N6" s="3323" t="s">
        <v>3230</v>
      </c>
      <c r="O6" s="3323" t="s">
        <v>3231</v>
      </c>
      <c r="P6" s="3323" t="s">
        <v>3398</v>
      </c>
      <c r="Q6" s="3323" t="s">
        <v>3399</v>
      </c>
      <c r="R6" s="3323" t="s">
        <v>3232</v>
      </c>
      <c r="S6" s="3323" t="s">
        <v>3232</v>
      </c>
      <c r="T6" s="3323" t="s">
        <v>3232</v>
      </c>
      <c r="U6" s="3323" t="s">
        <v>3237</v>
      </c>
      <c r="V6" s="3323" t="s">
        <v>3237</v>
      </c>
      <c r="W6" s="3323">
        <v>0</v>
      </c>
      <c r="X6" s="3323">
        <v>0</v>
      </c>
      <c r="Y6" s="3327">
        <v>44147.000497685185</v>
      </c>
      <c r="Z6" s="3327">
        <v>44179.000497685185</v>
      </c>
      <c r="AA6" s="3327">
        <v>44193.000497685185</v>
      </c>
      <c r="AB6" s="3327">
        <v>44193.000497685185</v>
      </c>
      <c r="AC6" s="3323" t="s">
        <v>3394</v>
      </c>
      <c r="AD6" s="3323" t="s">
        <v>3233</v>
      </c>
      <c r="AE6" s="3323" t="s">
        <v>3400</v>
      </c>
      <c r="AF6" s="3323" t="s">
        <v>3378</v>
      </c>
      <c r="AG6" s="3323" t="s">
        <v>3401</v>
      </c>
      <c r="AH6" s="3323">
        <v>12200</v>
      </c>
      <c r="AI6" s="3323" t="s">
        <v>3402</v>
      </c>
      <c r="AJ6" s="3323">
        <v>60800</v>
      </c>
      <c r="AK6" s="3323" t="s">
        <v>3403</v>
      </c>
      <c r="AL6" s="3323">
        <v>1606.93</v>
      </c>
      <c r="AM6" s="3323" t="s">
        <v>3404</v>
      </c>
      <c r="AN6" s="3323">
        <v>8035</v>
      </c>
      <c r="AO6" s="3323" t="s">
        <v>3232</v>
      </c>
      <c r="AP6" s="3323" t="s">
        <v>3232</v>
      </c>
      <c r="AQ6" s="3323">
        <v>0</v>
      </c>
      <c r="AR6" s="3323" t="s">
        <v>3238</v>
      </c>
      <c r="AS6" s="3323" t="s">
        <v>3231</v>
      </c>
      <c r="AT6" s="3323" t="s">
        <v>3231</v>
      </c>
      <c r="AU6" s="3323" t="s">
        <v>3232</v>
      </c>
      <c r="AV6" s="3323" t="s">
        <v>3232</v>
      </c>
      <c r="AW6" s="3323" t="s">
        <v>3232</v>
      </c>
    </row>
    <row r="7" spans="1:49" s="3325" customFormat="1">
      <c r="A7" s="3325" t="s">
        <v>3405</v>
      </c>
      <c r="B7" s="3325" t="s">
        <v>3170</v>
      </c>
      <c r="C7" s="3325" t="s">
        <v>3226</v>
      </c>
      <c r="D7" s="3325" t="s">
        <v>3406</v>
      </c>
      <c r="E7" s="3325" t="s">
        <v>3351</v>
      </c>
      <c r="F7" s="3325" t="s">
        <v>3352</v>
      </c>
      <c r="G7" s="3325" t="s">
        <v>3407</v>
      </c>
      <c r="H7" s="3325" t="s">
        <v>3227</v>
      </c>
      <c r="I7" s="3325">
        <v>28003.32</v>
      </c>
      <c r="J7" s="3325">
        <v>70008</v>
      </c>
      <c r="K7" s="3325" t="s">
        <v>3408</v>
      </c>
      <c r="L7" s="3325" t="s">
        <v>3228</v>
      </c>
      <c r="M7" s="3325" t="s">
        <v>3229</v>
      </c>
      <c r="N7" s="3325" t="s">
        <v>3230</v>
      </c>
      <c r="O7" s="3325" t="s">
        <v>3231</v>
      </c>
      <c r="P7" s="3325" t="s">
        <v>3239</v>
      </c>
      <c r="Q7" s="3325" t="s">
        <v>3409</v>
      </c>
      <c r="R7" s="3325" t="s">
        <v>3232</v>
      </c>
      <c r="S7" s="3325" t="s">
        <v>3232</v>
      </c>
      <c r="T7" s="3325" t="s">
        <v>3232</v>
      </c>
      <c r="U7" s="3325" t="s">
        <v>3237</v>
      </c>
      <c r="V7" s="3325" t="s">
        <v>3237</v>
      </c>
      <c r="W7" s="3325">
        <v>0</v>
      </c>
      <c r="X7" s="3325">
        <v>0</v>
      </c>
      <c r="Y7" s="3326">
        <v>43707.000497685185</v>
      </c>
      <c r="Z7" s="3326">
        <v>43737.000497685185</v>
      </c>
      <c r="AA7" s="3326">
        <v>43755.000497685185</v>
      </c>
      <c r="AB7" s="3326">
        <v>43755.000497685185</v>
      </c>
      <c r="AC7" s="3325" t="s">
        <v>3406</v>
      </c>
      <c r="AD7" s="3325" t="s">
        <v>3233</v>
      </c>
      <c r="AE7" s="3325" t="s">
        <v>3410</v>
      </c>
      <c r="AF7" s="3325" t="s">
        <v>3411</v>
      </c>
      <c r="AG7" s="3325" t="s">
        <v>3412</v>
      </c>
      <c r="AH7" s="3325">
        <v>19500</v>
      </c>
      <c r="AI7" s="3325" t="s">
        <v>3413</v>
      </c>
      <c r="AJ7" s="3325">
        <v>97800</v>
      </c>
      <c r="AK7" s="3325" t="s">
        <v>3414</v>
      </c>
      <c r="AL7" s="3325">
        <v>2328.3000000000002</v>
      </c>
      <c r="AM7" s="3325" t="s">
        <v>3415</v>
      </c>
      <c r="AN7" s="3325">
        <v>13970</v>
      </c>
      <c r="AO7" s="3325" t="s">
        <v>3232</v>
      </c>
      <c r="AP7" s="3325" t="s">
        <v>3232</v>
      </c>
      <c r="AQ7" s="3325">
        <v>1.03</v>
      </c>
      <c r="AR7" s="3325" t="s">
        <v>3416</v>
      </c>
      <c r="AS7" s="3325" t="s">
        <v>3231</v>
      </c>
      <c r="AT7" s="3325" t="s">
        <v>3231</v>
      </c>
      <c r="AU7" s="3325" t="s">
        <v>3232</v>
      </c>
      <c r="AV7" s="3325" t="s">
        <v>3232</v>
      </c>
      <c r="AW7" s="3325" t="s">
        <v>3232</v>
      </c>
    </row>
    <row r="8" spans="1:49">
      <c r="A8" s="3323" t="s">
        <v>3417</v>
      </c>
      <c r="B8" s="3323" t="s">
        <v>3170</v>
      </c>
      <c r="C8" s="3323" t="s">
        <v>3226</v>
      </c>
      <c r="D8" s="3323" t="s">
        <v>3418</v>
      </c>
      <c r="E8" s="3323" t="s">
        <v>3419</v>
      </c>
      <c r="F8" s="3323" t="s">
        <v>3420</v>
      </c>
      <c r="G8" s="3323" t="s">
        <v>3421</v>
      </c>
      <c r="H8" s="3323" t="s">
        <v>3227</v>
      </c>
      <c r="I8" s="3323">
        <v>59169.74</v>
      </c>
      <c r="J8" s="3323">
        <v>130173.43</v>
      </c>
      <c r="K8" s="3323" t="s">
        <v>3422</v>
      </c>
      <c r="L8" s="3323" t="s">
        <v>3228</v>
      </c>
      <c r="M8" s="3323" t="s">
        <v>3229</v>
      </c>
      <c r="N8" s="3323" t="s">
        <v>3230</v>
      </c>
      <c r="O8" s="3323" t="s">
        <v>3231</v>
      </c>
      <c r="P8" s="3323" t="s">
        <v>3232</v>
      </c>
      <c r="Q8" s="3323" t="s">
        <v>3232</v>
      </c>
      <c r="R8" s="3323" t="s">
        <v>3232</v>
      </c>
      <c r="S8" s="3323" t="s">
        <v>3232</v>
      </c>
      <c r="T8" s="3323" t="s">
        <v>3232</v>
      </c>
      <c r="U8" s="3323" t="s">
        <v>3232</v>
      </c>
      <c r="V8" s="3323" t="s">
        <v>3232</v>
      </c>
      <c r="W8" s="3323">
        <v>0</v>
      </c>
      <c r="X8" s="3323">
        <v>0</v>
      </c>
      <c r="Y8" s="3327">
        <v>44648.000497685185</v>
      </c>
      <c r="Z8" s="3327">
        <v>44669.000497685185</v>
      </c>
      <c r="AA8" s="3327">
        <v>44680.000497685185</v>
      </c>
      <c r="AB8" s="3327">
        <v>44680.000497685185</v>
      </c>
      <c r="AC8" s="3323" t="s">
        <v>3418</v>
      </c>
      <c r="AD8" s="3323" t="s">
        <v>3233</v>
      </c>
      <c r="AE8" s="3323" t="s">
        <v>3423</v>
      </c>
      <c r="AF8" s="3323" t="s">
        <v>3424</v>
      </c>
      <c r="AG8" s="3323">
        <v>131600</v>
      </c>
      <c r="AH8" s="3323">
        <v>27000</v>
      </c>
      <c r="AI8" s="3323" t="s">
        <v>3425</v>
      </c>
      <c r="AJ8" s="3323">
        <v>131600</v>
      </c>
      <c r="AK8" s="3323">
        <v>1482.74</v>
      </c>
      <c r="AL8" s="3323">
        <v>1482.74</v>
      </c>
      <c r="AM8" s="3323">
        <v>10110</v>
      </c>
      <c r="AN8" s="3323">
        <v>10110</v>
      </c>
      <c r="AO8" s="3323" t="s">
        <v>3232</v>
      </c>
      <c r="AP8" s="3323" t="s">
        <v>3232</v>
      </c>
      <c r="AQ8" s="3323">
        <v>0</v>
      </c>
      <c r="AR8" s="3323" t="s">
        <v>3416</v>
      </c>
      <c r="AS8" s="3323" t="s">
        <v>3231</v>
      </c>
      <c r="AT8" s="3323" t="s">
        <v>3231</v>
      </c>
      <c r="AU8" s="3323" t="s">
        <v>3232</v>
      </c>
      <c r="AV8" s="3323" t="s">
        <v>3232</v>
      </c>
      <c r="AW8" s="3323" t="s">
        <v>3232</v>
      </c>
    </row>
    <row r="9" spans="1:49">
      <c r="A9" s="3323" t="s">
        <v>3426</v>
      </c>
      <c r="B9" s="3323" t="s">
        <v>3170</v>
      </c>
      <c r="C9" s="3323" t="s">
        <v>3226</v>
      </c>
      <c r="D9" s="3323" t="s">
        <v>3427</v>
      </c>
      <c r="E9" s="3323" t="s">
        <v>3419</v>
      </c>
      <c r="F9" s="3323" t="s">
        <v>3428</v>
      </c>
      <c r="G9" s="3323" t="s">
        <v>3429</v>
      </c>
      <c r="H9" s="3323" t="s">
        <v>3227</v>
      </c>
      <c r="I9" s="3323">
        <v>12066.9</v>
      </c>
      <c r="J9" s="3323">
        <v>18100.349999999999</v>
      </c>
      <c r="K9" s="3323">
        <v>1.5</v>
      </c>
      <c r="L9" s="3323" t="s">
        <v>3228</v>
      </c>
      <c r="M9" s="3323" t="s">
        <v>3236</v>
      </c>
      <c r="N9" s="3323" t="s">
        <v>3230</v>
      </c>
      <c r="O9" s="3323" t="s">
        <v>3231</v>
      </c>
      <c r="P9" s="3323" t="s">
        <v>3239</v>
      </c>
      <c r="Q9" s="3323" t="s">
        <v>3387</v>
      </c>
      <c r="R9" s="3323" t="s">
        <v>3232</v>
      </c>
      <c r="S9" s="3323" t="s">
        <v>3232</v>
      </c>
      <c r="T9" s="3323" t="s">
        <v>3232</v>
      </c>
      <c r="U9" s="3323" t="s">
        <v>3237</v>
      </c>
      <c r="V9" s="3323" t="s">
        <v>3237</v>
      </c>
      <c r="W9" s="3323">
        <v>0</v>
      </c>
      <c r="X9" s="3323">
        <v>0</v>
      </c>
      <c r="Y9" s="3327">
        <v>44587.000497685185</v>
      </c>
      <c r="Z9" s="3327">
        <v>44607.000497685185</v>
      </c>
      <c r="AA9" s="3327">
        <v>44621.000497685185</v>
      </c>
      <c r="AB9" s="3327">
        <v>44621.000497685185</v>
      </c>
      <c r="AC9" s="3323" t="s">
        <v>3427</v>
      </c>
      <c r="AD9" s="3323" t="s">
        <v>3233</v>
      </c>
      <c r="AE9" s="3323" t="s">
        <v>3423</v>
      </c>
      <c r="AF9" s="3323" t="s">
        <v>3232</v>
      </c>
      <c r="AG9" s="3323">
        <v>9400</v>
      </c>
      <c r="AH9" s="3323">
        <v>1900</v>
      </c>
      <c r="AI9" s="3323" t="s">
        <v>3232</v>
      </c>
      <c r="AJ9" s="3323">
        <v>9400</v>
      </c>
      <c r="AK9" s="3323">
        <v>519.33000000000004</v>
      </c>
      <c r="AL9" s="3323">
        <v>519.33000000000004</v>
      </c>
      <c r="AM9" s="3323">
        <v>5193</v>
      </c>
      <c r="AN9" s="3323">
        <v>5193</v>
      </c>
      <c r="AO9" s="3323" t="s">
        <v>3232</v>
      </c>
      <c r="AP9" s="3323" t="s">
        <v>3232</v>
      </c>
      <c r="AQ9" s="3323">
        <v>0</v>
      </c>
      <c r="AR9" s="3323" t="s">
        <v>3430</v>
      </c>
      <c r="AS9" s="3323" t="s">
        <v>3231</v>
      </c>
      <c r="AT9" s="3323" t="s">
        <v>3231</v>
      </c>
      <c r="AU9" s="3323" t="s">
        <v>3232</v>
      </c>
      <c r="AV9" s="3323" t="s">
        <v>3232</v>
      </c>
      <c r="AW9" s="3323" t="s">
        <v>3232</v>
      </c>
    </row>
    <row r="10" spans="1:49" s="3328" customFormat="1">
      <c r="A10" s="3325" t="s">
        <v>3431</v>
      </c>
      <c r="B10" s="3325" t="s">
        <v>3170</v>
      </c>
      <c r="C10" s="3325" t="s">
        <v>3226</v>
      </c>
      <c r="D10" s="3325" t="s">
        <v>3432</v>
      </c>
      <c r="E10" s="3325" t="s">
        <v>3419</v>
      </c>
      <c r="F10" s="3325" t="s">
        <v>3433</v>
      </c>
      <c r="G10" s="3325" t="s">
        <v>3434</v>
      </c>
      <c r="H10" s="3325" t="s">
        <v>3227</v>
      </c>
      <c r="I10" s="3325">
        <v>15178.6</v>
      </c>
      <c r="J10" s="3325">
        <v>45535.8</v>
      </c>
      <c r="K10" s="3325">
        <v>3</v>
      </c>
      <c r="L10" s="3325" t="s">
        <v>3228</v>
      </c>
      <c r="M10" s="3325" t="s">
        <v>3229</v>
      </c>
      <c r="N10" s="3325" t="s">
        <v>3230</v>
      </c>
      <c r="O10" s="3325" t="s">
        <v>3231</v>
      </c>
      <c r="P10" s="3325" t="s">
        <v>3232</v>
      </c>
      <c r="Q10" s="3325" t="s">
        <v>3232</v>
      </c>
      <c r="R10" s="3325" t="s">
        <v>3232</v>
      </c>
      <c r="S10" s="3325" t="s">
        <v>3232</v>
      </c>
      <c r="T10" s="3325" t="s">
        <v>3232</v>
      </c>
      <c r="U10" s="3325" t="s">
        <v>3232</v>
      </c>
      <c r="V10" s="3325" t="s">
        <v>3232</v>
      </c>
      <c r="W10" s="3325">
        <v>0</v>
      </c>
      <c r="X10" s="3325">
        <v>0</v>
      </c>
      <c r="Y10" s="3326">
        <v>44561.000497685185</v>
      </c>
      <c r="Z10" s="3326">
        <v>44581.000497685185</v>
      </c>
      <c r="AA10" s="3326">
        <v>44600.000497685185</v>
      </c>
      <c r="AB10" s="3326">
        <v>44600.000497685185</v>
      </c>
      <c r="AC10" s="3325" t="s">
        <v>3432</v>
      </c>
      <c r="AD10" s="3325" t="s">
        <v>3233</v>
      </c>
      <c r="AE10" s="3325" t="s">
        <v>3435</v>
      </c>
      <c r="AF10" s="3325" t="s">
        <v>3436</v>
      </c>
      <c r="AG10" s="3325">
        <v>58400</v>
      </c>
      <c r="AH10" s="3325">
        <v>11700</v>
      </c>
      <c r="AI10" s="3325" t="s">
        <v>3232</v>
      </c>
      <c r="AJ10" s="3325">
        <v>58400</v>
      </c>
      <c r="AK10" s="3325">
        <v>2565.0100000000002</v>
      </c>
      <c r="AL10" s="3325">
        <v>2565.0100000000002</v>
      </c>
      <c r="AM10" s="3325">
        <v>12825</v>
      </c>
      <c r="AN10" s="3325">
        <v>12825</v>
      </c>
      <c r="AO10" s="3325" t="s">
        <v>3232</v>
      </c>
      <c r="AP10" s="3325" t="s">
        <v>3232</v>
      </c>
      <c r="AQ10" s="3325">
        <v>0</v>
      </c>
      <c r="AR10" s="3325" t="s">
        <v>3238</v>
      </c>
      <c r="AS10" s="3325" t="s">
        <v>3231</v>
      </c>
      <c r="AT10" s="3325" t="s">
        <v>3231</v>
      </c>
      <c r="AU10" s="3325" t="s">
        <v>3232</v>
      </c>
      <c r="AV10" s="3325" t="s">
        <v>3232</v>
      </c>
      <c r="AW10" s="3325" t="s">
        <v>3232</v>
      </c>
    </row>
    <row r="11" spans="1:49">
      <c r="A11" s="3323" t="s">
        <v>3437</v>
      </c>
      <c r="B11" s="3323" t="s">
        <v>3170</v>
      </c>
      <c r="C11" s="3323" t="s">
        <v>3226</v>
      </c>
      <c r="D11" s="3323" t="s">
        <v>3438</v>
      </c>
      <c r="E11" s="3323" t="s">
        <v>3419</v>
      </c>
      <c r="F11" s="3323" t="s">
        <v>3439</v>
      </c>
      <c r="G11" s="3323" t="s">
        <v>3440</v>
      </c>
      <c r="H11" s="3323" t="s">
        <v>3227</v>
      </c>
      <c r="I11" s="3323">
        <v>15197.52</v>
      </c>
      <c r="J11" s="3323">
        <v>30395.05</v>
      </c>
      <c r="K11" s="3323">
        <v>2</v>
      </c>
      <c r="L11" s="3323" t="s">
        <v>3228</v>
      </c>
      <c r="M11" s="3323" t="s">
        <v>3441</v>
      </c>
      <c r="N11" s="3323" t="s">
        <v>3442</v>
      </c>
      <c r="O11" s="3323" t="s">
        <v>3231</v>
      </c>
      <c r="P11" s="3323" t="s">
        <v>3232</v>
      </c>
      <c r="Q11" s="3323" t="s">
        <v>3365</v>
      </c>
      <c r="R11" s="3323" t="s">
        <v>3232</v>
      </c>
      <c r="S11" s="3323" t="s">
        <v>3232</v>
      </c>
      <c r="T11" s="3323" t="s">
        <v>3232</v>
      </c>
      <c r="U11" s="3323" t="s">
        <v>3232</v>
      </c>
      <c r="V11" s="3323" t="s">
        <v>3232</v>
      </c>
      <c r="W11" s="3323">
        <v>0</v>
      </c>
      <c r="X11" s="3323">
        <v>0</v>
      </c>
      <c r="Y11" s="3327">
        <v>44519.000497685185</v>
      </c>
      <c r="Z11" s="3327">
        <v>44540.000497685185</v>
      </c>
      <c r="AA11" s="3327">
        <v>44554.000497685185</v>
      </c>
      <c r="AB11" s="3327">
        <v>44554.000497685185</v>
      </c>
      <c r="AC11" s="3323" t="s">
        <v>3438</v>
      </c>
      <c r="AD11" s="3323" t="s">
        <v>3233</v>
      </c>
      <c r="AE11" s="3323" t="s">
        <v>3443</v>
      </c>
      <c r="AF11" s="3323" t="s">
        <v>3444</v>
      </c>
      <c r="AG11" s="3323">
        <v>42600</v>
      </c>
      <c r="AH11" s="3323">
        <v>8600</v>
      </c>
      <c r="AI11" s="3323" t="s">
        <v>3445</v>
      </c>
      <c r="AJ11" s="3323">
        <v>42600</v>
      </c>
      <c r="AK11" s="3323">
        <v>1868.73</v>
      </c>
      <c r="AL11" s="3323">
        <v>1868.73</v>
      </c>
      <c r="AM11" s="3323">
        <v>14015</v>
      </c>
      <c r="AN11" s="3323">
        <v>14015</v>
      </c>
      <c r="AO11" s="3323" t="s">
        <v>3232</v>
      </c>
      <c r="AP11" s="3323" t="s">
        <v>3232</v>
      </c>
      <c r="AQ11" s="3323">
        <v>0</v>
      </c>
      <c r="AR11" s="3323" t="s">
        <v>3238</v>
      </c>
      <c r="AS11" s="3323" t="s">
        <v>3231</v>
      </c>
      <c r="AT11" s="3323" t="s">
        <v>3231</v>
      </c>
      <c r="AU11" s="3323" t="s">
        <v>3232</v>
      </c>
      <c r="AV11" s="3323" t="s">
        <v>3232</v>
      </c>
      <c r="AW11" s="3323" t="s">
        <v>3232</v>
      </c>
    </row>
    <row r="12" spans="1:49">
      <c r="A12" s="3323" t="s">
        <v>3446</v>
      </c>
      <c r="B12" s="3323" t="s">
        <v>3170</v>
      </c>
      <c r="C12" s="3323" t="s">
        <v>3226</v>
      </c>
      <c r="D12" s="3323" t="s">
        <v>3447</v>
      </c>
      <c r="E12" s="3323" t="s">
        <v>3419</v>
      </c>
      <c r="F12" s="3323" t="s">
        <v>3448</v>
      </c>
      <c r="G12" s="3323" t="s">
        <v>3449</v>
      </c>
      <c r="H12" s="3323" t="s">
        <v>3227</v>
      </c>
      <c r="I12" s="3323">
        <v>265269.8</v>
      </c>
      <c r="J12" s="3323">
        <v>665975.69999999995</v>
      </c>
      <c r="K12" s="3323" t="s">
        <v>3450</v>
      </c>
      <c r="L12" s="3323" t="s">
        <v>3228</v>
      </c>
      <c r="M12" s="3323" t="s">
        <v>3229</v>
      </c>
      <c r="N12" s="3323" t="s">
        <v>3230</v>
      </c>
      <c r="O12" s="3323" t="s">
        <v>3231</v>
      </c>
      <c r="P12" s="3323" t="s">
        <v>3451</v>
      </c>
      <c r="Q12" s="3323" t="s">
        <v>3452</v>
      </c>
      <c r="R12" s="3323" t="s">
        <v>3232</v>
      </c>
      <c r="S12" s="3323" t="s">
        <v>3232</v>
      </c>
      <c r="T12" s="3323" t="s">
        <v>3232</v>
      </c>
      <c r="U12" s="3323" t="s">
        <v>3237</v>
      </c>
      <c r="V12" s="3323" t="s">
        <v>3237</v>
      </c>
      <c r="W12" s="3323">
        <v>0</v>
      </c>
      <c r="X12" s="3323">
        <v>0</v>
      </c>
      <c r="Y12" s="3327">
        <v>44012.000497685185</v>
      </c>
      <c r="Z12" s="3327">
        <v>44032.000497685185</v>
      </c>
      <c r="AA12" s="3327">
        <v>44046.000497685185</v>
      </c>
      <c r="AB12" s="3327">
        <v>44046.000497685185</v>
      </c>
      <c r="AC12" s="3323" t="s">
        <v>3447</v>
      </c>
      <c r="AD12" s="3323" t="s">
        <v>3233</v>
      </c>
      <c r="AE12" s="3323" t="s">
        <v>3453</v>
      </c>
      <c r="AF12" s="3323" t="s">
        <v>3454</v>
      </c>
      <c r="AG12" s="3323">
        <v>699300</v>
      </c>
      <c r="AH12" s="3323">
        <v>139900</v>
      </c>
      <c r="AI12" s="3323" t="s">
        <v>3455</v>
      </c>
      <c r="AJ12" s="3323">
        <v>699300</v>
      </c>
      <c r="AK12" s="3323">
        <v>1757.46</v>
      </c>
      <c r="AL12" s="3323">
        <v>1757.46</v>
      </c>
      <c r="AM12" s="3323">
        <v>10500</v>
      </c>
      <c r="AN12" s="3323">
        <v>10500</v>
      </c>
      <c r="AO12" s="3323" t="s">
        <v>3232</v>
      </c>
      <c r="AP12" s="3323" t="s">
        <v>3232</v>
      </c>
      <c r="AQ12" s="3323">
        <v>0</v>
      </c>
      <c r="AR12" s="3323" t="s">
        <v>3238</v>
      </c>
      <c r="AS12" s="3323" t="s">
        <v>3231</v>
      </c>
      <c r="AT12" s="3323" t="s">
        <v>3231</v>
      </c>
      <c r="AU12" s="3323" t="s">
        <v>3232</v>
      </c>
      <c r="AV12" s="3323" t="s">
        <v>3232</v>
      </c>
      <c r="AW12" s="3323" t="s">
        <v>3232</v>
      </c>
    </row>
    <row r="13" spans="1:49">
      <c r="A13" s="3323" t="s">
        <v>3456</v>
      </c>
      <c r="B13" s="3323" t="s">
        <v>3170</v>
      </c>
      <c r="C13" s="3323" t="s">
        <v>3226</v>
      </c>
      <c r="D13" s="3323" t="s">
        <v>3457</v>
      </c>
      <c r="E13" s="3323" t="s">
        <v>3419</v>
      </c>
      <c r="F13" s="3323" t="s">
        <v>3458</v>
      </c>
      <c r="G13" s="3323" t="s">
        <v>3459</v>
      </c>
      <c r="H13" s="3323" t="s">
        <v>3227</v>
      </c>
      <c r="I13" s="3323">
        <v>42276.47</v>
      </c>
      <c r="J13" s="3323">
        <v>84552.93</v>
      </c>
      <c r="K13" s="3323" t="s">
        <v>3460</v>
      </c>
      <c r="L13" s="3323" t="s">
        <v>3228</v>
      </c>
      <c r="M13" s="3323" t="s">
        <v>3236</v>
      </c>
      <c r="N13" s="3323" t="s">
        <v>3230</v>
      </c>
      <c r="O13" s="3323" t="s">
        <v>3231</v>
      </c>
      <c r="P13" s="3323" t="s">
        <v>3398</v>
      </c>
      <c r="Q13" s="3323" t="s">
        <v>3461</v>
      </c>
      <c r="R13" s="3323" t="s">
        <v>3232</v>
      </c>
      <c r="S13" s="3323" t="s">
        <v>3232</v>
      </c>
      <c r="T13" s="3323" t="s">
        <v>3232</v>
      </c>
      <c r="U13" s="3323" t="s">
        <v>3237</v>
      </c>
      <c r="V13" s="3323" t="s">
        <v>3237</v>
      </c>
      <c r="W13" s="3323">
        <v>0</v>
      </c>
      <c r="X13" s="3323">
        <v>0</v>
      </c>
      <c r="Y13" s="3327">
        <v>43672.000497685185</v>
      </c>
      <c r="Z13" s="3327">
        <v>43692.000497685185</v>
      </c>
      <c r="AA13" s="3327">
        <v>43706.000497685185</v>
      </c>
      <c r="AB13" s="3327">
        <v>43706.000497685185</v>
      </c>
      <c r="AC13" s="3323" t="s">
        <v>3457</v>
      </c>
      <c r="AD13" s="3323" t="s">
        <v>3233</v>
      </c>
      <c r="AE13" s="3323" t="s">
        <v>3462</v>
      </c>
      <c r="AF13" s="3323" t="s">
        <v>3463</v>
      </c>
      <c r="AG13" s="3323">
        <v>95000</v>
      </c>
      <c r="AH13" s="3323">
        <v>19000</v>
      </c>
      <c r="AI13" s="3323" t="s">
        <v>3464</v>
      </c>
      <c r="AJ13" s="3323">
        <v>96500</v>
      </c>
      <c r="AK13" s="3323">
        <v>1498.08</v>
      </c>
      <c r="AL13" s="3323">
        <v>1521.73</v>
      </c>
      <c r="AM13" s="3323">
        <v>11236</v>
      </c>
      <c r="AN13" s="3323">
        <v>11413</v>
      </c>
      <c r="AO13" s="3323" t="s">
        <v>3232</v>
      </c>
      <c r="AP13" s="3323" t="s">
        <v>3232</v>
      </c>
      <c r="AQ13" s="3323">
        <v>1.58</v>
      </c>
      <c r="AR13" s="3323" t="s">
        <v>3465</v>
      </c>
      <c r="AS13" s="3323" t="s">
        <v>3231</v>
      </c>
      <c r="AT13" s="3323" t="s">
        <v>3231</v>
      </c>
      <c r="AU13" s="3323" t="s">
        <v>3232</v>
      </c>
      <c r="AV13" s="3323" t="s">
        <v>3232</v>
      </c>
      <c r="AW13" s="3323" t="s">
        <v>3232</v>
      </c>
    </row>
    <row r="14" spans="1:49">
      <c r="A14" s="3323" t="s">
        <v>3466</v>
      </c>
      <c r="B14" s="3323" t="s">
        <v>3170</v>
      </c>
      <c r="C14" s="3323" t="s">
        <v>3226</v>
      </c>
      <c r="D14" s="3323" t="s">
        <v>3467</v>
      </c>
      <c r="E14" s="3323" t="s">
        <v>3419</v>
      </c>
      <c r="F14" s="3323" t="s">
        <v>3433</v>
      </c>
      <c r="G14" s="3323" t="s">
        <v>3468</v>
      </c>
      <c r="H14" s="3323" t="s">
        <v>3227</v>
      </c>
      <c r="I14" s="3323">
        <v>51736.9</v>
      </c>
      <c r="J14" s="3323">
        <v>81600.05</v>
      </c>
      <c r="K14" s="3323" t="s">
        <v>3469</v>
      </c>
      <c r="L14" s="3323" t="s">
        <v>3228</v>
      </c>
      <c r="M14" s="3323" t="s">
        <v>3229</v>
      </c>
      <c r="N14" s="3323" t="s">
        <v>3230</v>
      </c>
      <c r="O14" s="3323" t="s">
        <v>3231</v>
      </c>
      <c r="P14" s="3323" t="s">
        <v>3398</v>
      </c>
      <c r="Q14" s="3323" t="s">
        <v>3470</v>
      </c>
      <c r="R14" s="3323" t="s">
        <v>3232</v>
      </c>
      <c r="S14" s="3323" t="s">
        <v>3232</v>
      </c>
      <c r="T14" s="3323" t="s">
        <v>3232</v>
      </c>
      <c r="U14" s="3323" t="s">
        <v>3237</v>
      </c>
      <c r="V14" s="3323" t="s">
        <v>3237</v>
      </c>
      <c r="W14" s="3323">
        <v>0</v>
      </c>
      <c r="X14" s="3323">
        <v>0</v>
      </c>
      <c r="Y14" s="3327">
        <v>43579.000497685185</v>
      </c>
      <c r="Z14" s="3327">
        <v>43599.000497685185</v>
      </c>
      <c r="AA14" s="3327">
        <v>43613.000497685185</v>
      </c>
      <c r="AB14" s="3327">
        <v>43613.000497685185</v>
      </c>
      <c r="AC14" s="3323" t="s">
        <v>3467</v>
      </c>
      <c r="AD14" s="3323" t="s">
        <v>3233</v>
      </c>
      <c r="AE14" s="3323" t="s">
        <v>3471</v>
      </c>
      <c r="AF14" s="3323" t="s">
        <v>3472</v>
      </c>
      <c r="AG14" s="3323">
        <v>150000</v>
      </c>
      <c r="AH14" s="3323">
        <v>30000</v>
      </c>
      <c r="AI14" s="3323" t="s">
        <v>3232</v>
      </c>
      <c r="AJ14" s="3323">
        <v>150000</v>
      </c>
      <c r="AK14" s="3323">
        <v>1932.86</v>
      </c>
      <c r="AL14" s="3323">
        <v>1932.86</v>
      </c>
      <c r="AM14" s="3323">
        <v>18382</v>
      </c>
      <c r="AN14" s="3323">
        <v>18382</v>
      </c>
      <c r="AO14" s="3323" t="s">
        <v>3232</v>
      </c>
      <c r="AP14" s="3323" t="s">
        <v>3232</v>
      </c>
      <c r="AQ14" s="3323">
        <v>0</v>
      </c>
      <c r="AR14" s="3323" t="s">
        <v>3238</v>
      </c>
      <c r="AS14" s="3323" t="s">
        <v>3231</v>
      </c>
      <c r="AT14" s="3323" t="s">
        <v>3231</v>
      </c>
      <c r="AU14" s="3323" t="s">
        <v>3232</v>
      </c>
      <c r="AV14" s="3323" t="s">
        <v>3232</v>
      </c>
      <c r="AW14" s="3323" t="s">
        <v>3232</v>
      </c>
    </row>
    <row r="15" spans="1:49">
      <c r="A15" s="3323" t="s">
        <v>3473</v>
      </c>
      <c r="B15" s="3323" t="s">
        <v>3170</v>
      </c>
      <c r="C15" s="3323" t="s">
        <v>3226</v>
      </c>
      <c r="D15" s="3323" t="s">
        <v>3474</v>
      </c>
      <c r="E15" s="3323" t="s">
        <v>3419</v>
      </c>
      <c r="F15" s="3323" t="s">
        <v>3448</v>
      </c>
      <c r="G15" s="3323" t="s">
        <v>3475</v>
      </c>
      <c r="H15" s="3323" t="s">
        <v>3227</v>
      </c>
      <c r="I15" s="3323">
        <v>33071.620000000003</v>
      </c>
      <c r="J15" s="3323">
        <v>122423.9</v>
      </c>
      <c r="K15" s="3323">
        <v>3.7</v>
      </c>
      <c r="L15" s="3323" t="s">
        <v>3228</v>
      </c>
      <c r="M15" s="3323" t="s">
        <v>3476</v>
      </c>
      <c r="N15" s="3323" t="s">
        <v>3230</v>
      </c>
      <c r="O15" s="3323" t="s">
        <v>3231</v>
      </c>
      <c r="P15" s="3323" t="s">
        <v>3477</v>
      </c>
      <c r="Q15" s="3323" t="s">
        <v>3477</v>
      </c>
      <c r="R15" s="3323" t="s">
        <v>3478</v>
      </c>
      <c r="S15" s="3323" t="s">
        <v>3478</v>
      </c>
      <c r="T15" s="3323" t="s">
        <v>3232</v>
      </c>
      <c r="U15" s="3323" t="s">
        <v>3237</v>
      </c>
      <c r="V15" s="3323" t="s">
        <v>3237</v>
      </c>
      <c r="W15" s="3323">
        <v>0</v>
      </c>
      <c r="X15" s="3323">
        <v>0</v>
      </c>
      <c r="Y15" s="3327">
        <v>43231.000497685185</v>
      </c>
      <c r="Z15" s="3327">
        <v>43251.000497685185</v>
      </c>
      <c r="AA15" s="3327">
        <v>43265.000497685185</v>
      </c>
      <c r="AB15" s="3327">
        <v>43265.000497685185</v>
      </c>
      <c r="AC15" s="3323" t="s">
        <v>3474</v>
      </c>
      <c r="AD15" s="3323" t="s">
        <v>3233</v>
      </c>
      <c r="AE15" s="3323" t="s">
        <v>3479</v>
      </c>
      <c r="AF15" s="3323" t="s">
        <v>3480</v>
      </c>
      <c r="AG15" s="3323">
        <v>183000</v>
      </c>
      <c r="AH15" s="3323">
        <v>55000</v>
      </c>
      <c r="AI15" s="3323" t="s">
        <v>3232</v>
      </c>
      <c r="AJ15" s="3323">
        <v>183000</v>
      </c>
      <c r="AK15" s="3323">
        <v>3688.96</v>
      </c>
      <c r="AL15" s="3323">
        <v>3688.96</v>
      </c>
      <c r="AM15" s="3323">
        <v>14948</v>
      </c>
      <c r="AN15" s="3323">
        <v>14948</v>
      </c>
      <c r="AO15" s="3323" t="s">
        <v>3232</v>
      </c>
      <c r="AP15" s="3323" t="s">
        <v>3232</v>
      </c>
      <c r="AQ15" s="3323">
        <v>0</v>
      </c>
      <c r="AR15" s="3323" t="s">
        <v>3465</v>
      </c>
      <c r="AS15" s="3323" t="s">
        <v>3231</v>
      </c>
      <c r="AT15" s="3323" t="s">
        <v>3231</v>
      </c>
      <c r="AU15" s="3323" t="s">
        <v>3232</v>
      </c>
      <c r="AV15" s="3323" t="s">
        <v>3232</v>
      </c>
      <c r="AW15" s="3323" t="s">
        <v>3232</v>
      </c>
    </row>
    <row r="16" spans="1:49">
      <c r="A16" s="3323" t="s">
        <v>3481</v>
      </c>
      <c r="B16" s="3323" t="s">
        <v>3170</v>
      </c>
      <c r="C16" s="3323" t="s">
        <v>3226</v>
      </c>
      <c r="D16" s="3323" t="s">
        <v>3482</v>
      </c>
      <c r="E16" s="3323" t="s">
        <v>3419</v>
      </c>
      <c r="F16" s="3323" t="s">
        <v>3448</v>
      </c>
      <c r="G16" s="3323" t="s">
        <v>3483</v>
      </c>
      <c r="H16" s="3323" t="s">
        <v>3227</v>
      </c>
      <c r="I16" s="3323">
        <v>66237.2</v>
      </c>
      <c r="J16" s="3323">
        <v>264058.7</v>
      </c>
      <c r="K16" s="3323">
        <v>3.99</v>
      </c>
      <c r="L16" s="3323" t="s">
        <v>3228</v>
      </c>
      <c r="M16" s="3323" t="s">
        <v>3476</v>
      </c>
      <c r="N16" s="3323" t="s">
        <v>3230</v>
      </c>
      <c r="O16" s="3323" t="s">
        <v>3231</v>
      </c>
      <c r="P16" s="3323" t="s">
        <v>3398</v>
      </c>
      <c r="Q16" s="3323" t="s">
        <v>3232</v>
      </c>
      <c r="R16" s="3323" t="s">
        <v>3478</v>
      </c>
      <c r="S16" s="3323" t="s">
        <v>3478</v>
      </c>
      <c r="T16" s="3323" t="s">
        <v>3232</v>
      </c>
      <c r="U16" s="3323" t="s">
        <v>3237</v>
      </c>
      <c r="V16" s="3323" t="s">
        <v>3237</v>
      </c>
      <c r="W16" s="3323">
        <v>0</v>
      </c>
      <c r="X16" s="3323">
        <v>0</v>
      </c>
      <c r="Y16" s="3327">
        <v>42916.000497685185</v>
      </c>
      <c r="Z16" s="3327">
        <v>42941.000497685185</v>
      </c>
      <c r="AA16" s="3327">
        <v>42955.000497685185</v>
      </c>
      <c r="AB16" s="3327">
        <v>42955.000497685185</v>
      </c>
      <c r="AC16" s="3323" t="s">
        <v>3482</v>
      </c>
      <c r="AD16" s="3323" t="s">
        <v>3233</v>
      </c>
      <c r="AE16" s="3323" t="s">
        <v>3484</v>
      </c>
      <c r="AF16" s="3323" t="s">
        <v>3232</v>
      </c>
      <c r="AG16" s="3323">
        <v>385000</v>
      </c>
      <c r="AH16" s="3323">
        <v>115500</v>
      </c>
      <c r="AI16" s="3323" t="s">
        <v>3232</v>
      </c>
      <c r="AJ16" s="3323">
        <v>385000</v>
      </c>
      <c r="AK16" s="3323">
        <v>3874.96</v>
      </c>
      <c r="AL16" s="3323">
        <v>3874.96</v>
      </c>
      <c r="AM16" s="3323">
        <v>14580</v>
      </c>
      <c r="AN16" s="3323">
        <v>14580</v>
      </c>
      <c r="AO16" s="3323" t="s">
        <v>3232</v>
      </c>
      <c r="AP16" s="3323" t="s">
        <v>3232</v>
      </c>
      <c r="AQ16" s="3323">
        <v>0</v>
      </c>
      <c r="AR16" s="3323" t="s">
        <v>3465</v>
      </c>
      <c r="AS16" s="3323" t="s">
        <v>3231</v>
      </c>
      <c r="AT16" s="3323" t="s">
        <v>3231</v>
      </c>
      <c r="AU16" s="3323" t="s">
        <v>3232</v>
      </c>
      <c r="AV16" s="3323" t="s">
        <v>3232</v>
      </c>
      <c r="AW16" s="3323" t="s">
        <v>3232</v>
      </c>
    </row>
    <row r="17" spans="1:49" s="3331" customFormat="1">
      <c r="A17" s="3329" t="s">
        <v>3485</v>
      </c>
      <c r="B17" s="3329" t="s">
        <v>3170</v>
      </c>
      <c r="C17" s="3329" t="s">
        <v>3226</v>
      </c>
      <c r="D17" s="3329" t="s">
        <v>3486</v>
      </c>
      <c r="E17" s="3329" t="s">
        <v>3419</v>
      </c>
      <c r="F17" s="3329" t="s">
        <v>3487</v>
      </c>
      <c r="G17" s="3329" t="s">
        <v>3440</v>
      </c>
      <c r="H17" s="3329" t="s">
        <v>3227</v>
      </c>
      <c r="I17" s="3329">
        <v>18303.330000000002</v>
      </c>
      <c r="J17" s="3329">
        <v>58571</v>
      </c>
      <c r="K17" s="3329">
        <v>3.2</v>
      </c>
      <c r="L17" s="3329" t="s">
        <v>3228</v>
      </c>
      <c r="M17" s="3329" t="s">
        <v>3229</v>
      </c>
      <c r="N17" s="3329" t="s">
        <v>3230</v>
      </c>
      <c r="O17" s="3329" t="s">
        <v>3231</v>
      </c>
      <c r="P17" s="3329" t="s">
        <v>3232</v>
      </c>
      <c r="Q17" s="3329" t="s">
        <v>3232</v>
      </c>
      <c r="R17" s="3329" t="s">
        <v>3232</v>
      </c>
      <c r="S17" s="3329" t="s">
        <v>3232</v>
      </c>
      <c r="T17" s="3329" t="s">
        <v>3232</v>
      </c>
      <c r="U17" s="3329" t="s">
        <v>3237</v>
      </c>
      <c r="V17" s="3329" t="s">
        <v>3237</v>
      </c>
      <c r="W17" s="3329">
        <v>0</v>
      </c>
      <c r="X17" s="3329">
        <v>0</v>
      </c>
      <c r="Y17" s="3330">
        <v>42796.000497685185</v>
      </c>
      <c r="Z17" s="3330">
        <v>42816.000497685185</v>
      </c>
      <c r="AA17" s="3330">
        <v>42831.000497685185</v>
      </c>
      <c r="AB17" s="3330">
        <v>42831.000497685185</v>
      </c>
      <c r="AC17" s="3329" t="s">
        <v>3486</v>
      </c>
      <c r="AD17" s="3329" t="s">
        <v>3233</v>
      </c>
      <c r="AE17" s="3329" t="s">
        <v>3488</v>
      </c>
      <c r="AF17" s="3329" t="s">
        <v>3489</v>
      </c>
      <c r="AG17" s="3329">
        <v>79600</v>
      </c>
      <c r="AH17" s="3329">
        <v>24000</v>
      </c>
      <c r="AI17" s="3329" t="s">
        <v>3232</v>
      </c>
      <c r="AJ17" s="3329">
        <v>129000</v>
      </c>
      <c r="AK17" s="3329">
        <v>2899.29</v>
      </c>
      <c r="AL17" s="3329">
        <v>4698.6000000000004</v>
      </c>
      <c r="AM17" s="3329">
        <v>13590</v>
      </c>
      <c r="AN17" s="3329">
        <v>22025</v>
      </c>
      <c r="AO17" s="3329" t="s">
        <v>3232</v>
      </c>
      <c r="AP17" s="3329" t="s">
        <v>3232</v>
      </c>
      <c r="AQ17" s="3329">
        <v>62.06</v>
      </c>
      <c r="AR17" s="3329" t="s">
        <v>3238</v>
      </c>
      <c r="AS17" s="3329" t="s">
        <v>3231</v>
      </c>
      <c r="AT17" s="3329" t="s">
        <v>3231</v>
      </c>
      <c r="AU17" s="3329" t="s">
        <v>3232</v>
      </c>
      <c r="AV17" s="3329" t="s">
        <v>3232</v>
      </c>
      <c r="AW17" s="3329" t="s">
        <v>3232</v>
      </c>
    </row>
    <row r="18" spans="1:49">
      <c r="A18" s="3323" t="s">
        <v>3490</v>
      </c>
      <c r="B18" s="3323" t="s">
        <v>3170</v>
      </c>
      <c r="C18" s="3323" t="s">
        <v>3226</v>
      </c>
      <c r="D18" s="3323" t="s">
        <v>3491</v>
      </c>
      <c r="E18" s="3323" t="s">
        <v>3419</v>
      </c>
      <c r="F18" s="3323" t="s">
        <v>3492</v>
      </c>
      <c r="G18" s="3323" t="s">
        <v>3493</v>
      </c>
      <c r="H18" s="3323" t="s">
        <v>3227</v>
      </c>
      <c r="I18" s="3323">
        <v>29183.54</v>
      </c>
      <c r="J18" s="3323">
        <v>72959</v>
      </c>
      <c r="K18" s="3323">
        <v>2.5</v>
      </c>
      <c r="L18" s="3323" t="s">
        <v>3228</v>
      </c>
      <c r="M18" s="3323" t="s">
        <v>3229</v>
      </c>
      <c r="N18" s="3323" t="s">
        <v>3230</v>
      </c>
      <c r="O18" s="3323" t="s">
        <v>3231</v>
      </c>
      <c r="P18" s="3323" t="s">
        <v>3232</v>
      </c>
      <c r="Q18" s="3323" t="s">
        <v>3232</v>
      </c>
      <c r="R18" s="3323" t="s">
        <v>3232</v>
      </c>
      <c r="S18" s="3323" t="s">
        <v>3232</v>
      </c>
      <c r="T18" s="3323" t="s">
        <v>3232</v>
      </c>
      <c r="U18" s="3323" t="s">
        <v>3237</v>
      </c>
      <c r="V18" s="3323" t="s">
        <v>3237</v>
      </c>
      <c r="W18" s="3323">
        <v>0</v>
      </c>
      <c r="X18" s="3323">
        <v>0</v>
      </c>
      <c r="Y18" s="3327">
        <v>42790.000497685185</v>
      </c>
      <c r="Z18" s="3327">
        <v>42810.000497685185</v>
      </c>
      <c r="AA18" s="3327">
        <v>42824.000497685185</v>
      </c>
      <c r="AB18" s="3327">
        <v>42824.000497685185</v>
      </c>
      <c r="AC18" s="3323" t="s">
        <v>3491</v>
      </c>
      <c r="AD18" s="3323" t="s">
        <v>3233</v>
      </c>
      <c r="AE18" s="3323" t="s">
        <v>3494</v>
      </c>
      <c r="AF18" s="3323" t="s">
        <v>3495</v>
      </c>
      <c r="AG18" s="3323">
        <v>83000</v>
      </c>
      <c r="AH18" s="3323">
        <v>25000</v>
      </c>
      <c r="AI18" s="3323" t="s">
        <v>3232</v>
      </c>
      <c r="AJ18" s="3323">
        <v>106000</v>
      </c>
      <c r="AK18" s="3323">
        <v>1896.05</v>
      </c>
      <c r="AL18" s="3323">
        <v>2421.46</v>
      </c>
      <c r="AM18" s="3323">
        <v>11376</v>
      </c>
      <c r="AN18" s="3323">
        <v>14529</v>
      </c>
      <c r="AO18" s="3323" t="s">
        <v>3232</v>
      </c>
      <c r="AP18" s="3323" t="s">
        <v>3232</v>
      </c>
      <c r="AQ18" s="3323">
        <v>27.71</v>
      </c>
      <c r="AR18" s="3323" t="s">
        <v>3238</v>
      </c>
      <c r="AS18" s="3323" t="s">
        <v>3231</v>
      </c>
      <c r="AT18" s="3323" t="s">
        <v>3231</v>
      </c>
      <c r="AU18" s="3323" t="s">
        <v>3232</v>
      </c>
      <c r="AV18" s="3323" t="s">
        <v>3232</v>
      </c>
      <c r="AW18" s="3323" t="s">
        <v>3232</v>
      </c>
    </row>
    <row r="19" spans="1:49" s="3331" customFormat="1">
      <c r="A19" s="3329" t="s">
        <v>3496</v>
      </c>
      <c r="B19" s="3329" t="s">
        <v>3170</v>
      </c>
      <c r="C19" s="3329" t="s">
        <v>3226</v>
      </c>
      <c r="D19" s="3329" t="s">
        <v>3497</v>
      </c>
      <c r="E19" s="3329" t="s">
        <v>3419</v>
      </c>
      <c r="F19" s="3329" t="s">
        <v>3487</v>
      </c>
      <c r="G19" s="3329" t="s">
        <v>3440</v>
      </c>
      <c r="H19" s="3329" t="s">
        <v>3227</v>
      </c>
      <c r="I19" s="3329">
        <v>23639.39</v>
      </c>
      <c r="J19" s="3329">
        <v>75646</v>
      </c>
      <c r="K19" s="3329">
        <v>3.2</v>
      </c>
      <c r="L19" s="3329" t="s">
        <v>3228</v>
      </c>
      <c r="M19" s="3329" t="s">
        <v>3229</v>
      </c>
      <c r="N19" s="3329" t="s">
        <v>3230</v>
      </c>
      <c r="O19" s="3329" t="s">
        <v>3231</v>
      </c>
      <c r="P19" s="3329" t="s">
        <v>3232</v>
      </c>
      <c r="Q19" s="3329" t="s">
        <v>3232</v>
      </c>
      <c r="R19" s="3329" t="s">
        <v>3232</v>
      </c>
      <c r="S19" s="3329" t="s">
        <v>3232</v>
      </c>
      <c r="T19" s="3329" t="s">
        <v>3232</v>
      </c>
      <c r="U19" s="3329" t="s">
        <v>3237</v>
      </c>
      <c r="V19" s="3329" t="s">
        <v>3237</v>
      </c>
      <c r="W19" s="3329">
        <v>0</v>
      </c>
      <c r="X19" s="3329">
        <v>0</v>
      </c>
      <c r="Y19" s="3330">
        <v>42690.000497685185</v>
      </c>
      <c r="Z19" s="3330">
        <v>42710.000497685185</v>
      </c>
      <c r="AA19" s="3330">
        <v>42724.000497685185</v>
      </c>
      <c r="AB19" s="3330">
        <v>42724.000497685185</v>
      </c>
      <c r="AC19" s="3329" t="s">
        <v>3497</v>
      </c>
      <c r="AD19" s="3329" t="s">
        <v>3233</v>
      </c>
      <c r="AE19" s="3329" t="s">
        <v>3498</v>
      </c>
      <c r="AF19" s="3329" t="s">
        <v>3499</v>
      </c>
      <c r="AG19" s="3329">
        <v>102000</v>
      </c>
      <c r="AH19" s="3329">
        <v>30600</v>
      </c>
      <c r="AI19" s="3329" t="s">
        <v>3232</v>
      </c>
      <c r="AJ19" s="3329">
        <v>103020</v>
      </c>
      <c r="AK19" s="3329">
        <v>2876.55</v>
      </c>
      <c r="AL19" s="3329">
        <v>2905.32</v>
      </c>
      <c r="AM19" s="3329">
        <v>13484</v>
      </c>
      <c r="AN19" s="3329">
        <v>13619</v>
      </c>
      <c r="AO19" s="3329" t="s">
        <v>3232</v>
      </c>
      <c r="AP19" s="3329" t="s">
        <v>3232</v>
      </c>
      <c r="AQ19" s="3329">
        <v>1</v>
      </c>
      <c r="AR19" s="3329" t="s">
        <v>3238</v>
      </c>
      <c r="AS19" s="3329" t="s">
        <v>3231</v>
      </c>
      <c r="AT19" s="3329" t="s">
        <v>3231</v>
      </c>
      <c r="AU19" s="3329" t="s">
        <v>3232</v>
      </c>
      <c r="AV19" s="3329" t="s">
        <v>3232</v>
      </c>
      <c r="AW19" s="3329" t="s">
        <v>3232</v>
      </c>
    </row>
    <row r="20" spans="1:49">
      <c r="A20" s="3323" t="s">
        <v>3500</v>
      </c>
      <c r="B20" s="3323" t="s">
        <v>3170</v>
      </c>
      <c r="C20" s="3323" t="s">
        <v>3226</v>
      </c>
      <c r="D20" s="3323" t="s">
        <v>3501</v>
      </c>
      <c r="E20" s="3323" t="s">
        <v>3419</v>
      </c>
      <c r="F20" s="3323" t="s">
        <v>3502</v>
      </c>
      <c r="G20" s="3323" t="s">
        <v>3503</v>
      </c>
      <c r="H20" s="3323" t="s">
        <v>3227</v>
      </c>
      <c r="I20" s="3323">
        <v>33619.79</v>
      </c>
      <c r="J20" s="3323">
        <v>134479</v>
      </c>
      <c r="K20" s="3323">
        <v>4</v>
      </c>
      <c r="L20" s="3323" t="s">
        <v>3228</v>
      </c>
      <c r="M20" s="3323" t="s">
        <v>3236</v>
      </c>
      <c r="N20" s="3323" t="s">
        <v>3230</v>
      </c>
      <c r="O20" s="3323" t="s">
        <v>3231</v>
      </c>
      <c r="P20" s="3323" t="s">
        <v>3232</v>
      </c>
      <c r="Q20" s="3323" t="s">
        <v>3232</v>
      </c>
      <c r="R20" s="3323" t="s">
        <v>3232</v>
      </c>
      <c r="S20" s="3323" t="s">
        <v>3232</v>
      </c>
      <c r="T20" s="3323" t="s">
        <v>3232</v>
      </c>
      <c r="U20" s="3323" t="s">
        <v>3237</v>
      </c>
      <c r="V20" s="3323" t="s">
        <v>3237</v>
      </c>
      <c r="W20" s="3323">
        <v>0</v>
      </c>
      <c r="X20" s="3323">
        <v>0</v>
      </c>
      <c r="Y20" s="3327">
        <v>42460.000497685185</v>
      </c>
      <c r="Z20" s="3327">
        <v>42480.000497685185</v>
      </c>
      <c r="AA20" s="3327">
        <v>42495.000497685185</v>
      </c>
      <c r="AB20" s="3327">
        <v>42495.000497685185</v>
      </c>
      <c r="AC20" s="3323" t="s">
        <v>3501</v>
      </c>
      <c r="AD20" s="3323" t="s">
        <v>3233</v>
      </c>
      <c r="AE20" s="3323" t="s">
        <v>3504</v>
      </c>
      <c r="AF20" s="3323" t="s">
        <v>3505</v>
      </c>
      <c r="AG20" s="3323">
        <v>153000</v>
      </c>
      <c r="AH20" s="3323">
        <v>46000</v>
      </c>
      <c r="AI20" s="3323" t="s">
        <v>3232</v>
      </c>
      <c r="AJ20" s="3323">
        <v>334000</v>
      </c>
      <c r="AK20" s="3323">
        <v>3033.93</v>
      </c>
      <c r="AL20" s="3323">
        <v>6623.08</v>
      </c>
      <c r="AM20" s="3323">
        <v>11377</v>
      </c>
      <c r="AN20" s="3323">
        <v>24837</v>
      </c>
      <c r="AO20" s="3323" t="s">
        <v>3232</v>
      </c>
      <c r="AP20" s="3323" t="s">
        <v>3232</v>
      </c>
      <c r="AQ20" s="3323">
        <v>118.3</v>
      </c>
      <c r="AR20" s="3323" t="s">
        <v>3238</v>
      </c>
      <c r="AS20" s="3323" t="s">
        <v>3231</v>
      </c>
      <c r="AT20" s="3323" t="s">
        <v>3231</v>
      </c>
      <c r="AU20" s="3323" t="s">
        <v>3232</v>
      </c>
      <c r="AV20" s="3323" t="s">
        <v>3232</v>
      </c>
      <c r="AW20" s="3323" t="s">
        <v>3232</v>
      </c>
    </row>
    <row r="21" spans="1:49">
      <c r="A21" s="3323" t="s">
        <v>3506</v>
      </c>
      <c r="B21" s="3323" t="s">
        <v>3170</v>
      </c>
      <c r="C21" s="3323" t="s">
        <v>3226</v>
      </c>
      <c r="D21" s="3323" t="s">
        <v>3507</v>
      </c>
      <c r="E21" s="3323" t="s">
        <v>3419</v>
      </c>
      <c r="F21" s="3323" t="s">
        <v>3492</v>
      </c>
      <c r="G21" s="3323" t="s">
        <v>3493</v>
      </c>
      <c r="H21" s="3323" t="s">
        <v>3227</v>
      </c>
      <c r="I21" s="3323">
        <v>71916.58</v>
      </c>
      <c r="J21" s="3323">
        <v>107875</v>
      </c>
      <c r="K21" s="3323">
        <v>1.5</v>
      </c>
      <c r="L21" s="3323" t="s">
        <v>3228</v>
      </c>
      <c r="M21" s="3323" t="s">
        <v>3229</v>
      </c>
      <c r="N21" s="3323" t="s">
        <v>3230</v>
      </c>
      <c r="O21" s="3323" t="s">
        <v>3231</v>
      </c>
      <c r="P21" s="3323" t="s">
        <v>3232</v>
      </c>
      <c r="Q21" s="3323" t="s">
        <v>3232</v>
      </c>
      <c r="R21" s="3323" t="s">
        <v>3232</v>
      </c>
      <c r="S21" s="3323" t="s">
        <v>3232</v>
      </c>
      <c r="T21" s="3323" t="s">
        <v>3232</v>
      </c>
      <c r="U21" s="3323" t="s">
        <v>3237</v>
      </c>
      <c r="V21" s="3323" t="s">
        <v>3237</v>
      </c>
      <c r="W21" s="3323">
        <v>0</v>
      </c>
      <c r="X21" s="3323">
        <v>0</v>
      </c>
      <c r="Y21" s="3327">
        <v>42389.000497685185</v>
      </c>
      <c r="Z21" s="3327">
        <v>42414.000497685185</v>
      </c>
      <c r="AA21" s="3327">
        <v>42426.000497685185</v>
      </c>
      <c r="AB21" s="3327">
        <v>42426.000497685185</v>
      </c>
      <c r="AC21" s="3323" t="s">
        <v>3507</v>
      </c>
      <c r="AD21" s="3323" t="s">
        <v>3233</v>
      </c>
      <c r="AE21" s="3323" t="s">
        <v>3508</v>
      </c>
      <c r="AF21" s="3323" t="s">
        <v>3509</v>
      </c>
      <c r="AG21" s="3323">
        <v>90000</v>
      </c>
      <c r="AH21" s="3323">
        <v>27000</v>
      </c>
      <c r="AI21" s="3323" t="s">
        <v>3232</v>
      </c>
      <c r="AJ21" s="3323">
        <v>181000</v>
      </c>
      <c r="AK21" s="3323">
        <v>834.3</v>
      </c>
      <c r="AL21" s="3323">
        <v>1677.87</v>
      </c>
      <c r="AM21" s="3323">
        <v>8343</v>
      </c>
      <c r="AN21" s="3323">
        <v>16779</v>
      </c>
      <c r="AO21" s="3323" t="s">
        <v>3232</v>
      </c>
      <c r="AP21" s="3323" t="s">
        <v>3232</v>
      </c>
      <c r="AQ21" s="3323">
        <v>101.11</v>
      </c>
      <c r="AR21" s="3323" t="s">
        <v>3238</v>
      </c>
      <c r="AS21" s="3323" t="s">
        <v>3231</v>
      </c>
      <c r="AT21" s="3323" t="s">
        <v>3231</v>
      </c>
      <c r="AU21" s="3323" t="s">
        <v>3232</v>
      </c>
      <c r="AV21" s="3323" t="s">
        <v>3232</v>
      </c>
      <c r="AW21" s="3323" t="s">
        <v>3232</v>
      </c>
    </row>
    <row r="22" spans="1:49">
      <c r="A22" s="3323" t="s">
        <v>3510</v>
      </c>
      <c r="B22" s="3323" t="s">
        <v>3170</v>
      </c>
      <c r="C22" s="3323" t="s">
        <v>3226</v>
      </c>
      <c r="D22" s="3323" t="s">
        <v>3511</v>
      </c>
      <c r="E22" s="3323" t="s">
        <v>3419</v>
      </c>
      <c r="F22" s="3323" t="s">
        <v>3492</v>
      </c>
      <c r="G22" s="3323" t="s">
        <v>3493</v>
      </c>
      <c r="H22" s="3323" t="s">
        <v>3227</v>
      </c>
      <c r="I22" s="3323">
        <v>47919.26</v>
      </c>
      <c r="J22" s="3323">
        <v>143758</v>
      </c>
      <c r="K22" s="3323">
        <v>3</v>
      </c>
      <c r="L22" s="3323" t="s">
        <v>3228</v>
      </c>
      <c r="M22" s="3323" t="s">
        <v>3229</v>
      </c>
      <c r="N22" s="3323" t="s">
        <v>3230</v>
      </c>
      <c r="O22" s="3323" t="s">
        <v>3231</v>
      </c>
      <c r="P22" s="3323" t="s">
        <v>3232</v>
      </c>
      <c r="Q22" s="3323" t="s">
        <v>3232</v>
      </c>
      <c r="R22" s="3323" t="s">
        <v>3232</v>
      </c>
      <c r="S22" s="3323" t="s">
        <v>3232</v>
      </c>
      <c r="T22" s="3323" t="s">
        <v>3232</v>
      </c>
      <c r="U22" s="3323" t="s">
        <v>3237</v>
      </c>
      <c r="V22" s="3323" t="s">
        <v>3237</v>
      </c>
      <c r="W22" s="3323">
        <v>0</v>
      </c>
      <c r="X22" s="3323">
        <v>0</v>
      </c>
      <c r="Y22" s="3327">
        <v>42384.000497685185</v>
      </c>
      <c r="Z22" s="3327">
        <v>42404.000497685185</v>
      </c>
      <c r="AA22" s="3327">
        <v>42423.000497685185</v>
      </c>
      <c r="AB22" s="3327">
        <v>42423.000497685185</v>
      </c>
      <c r="AC22" s="3323" t="s">
        <v>3511</v>
      </c>
      <c r="AD22" s="3323" t="s">
        <v>3233</v>
      </c>
      <c r="AE22" s="3323" t="s">
        <v>3508</v>
      </c>
      <c r="AF22" s="3323" t="s">
        <v>3509</v>
      </c>
      <c r="AG22" s="3323">
        <v>120000</v>
      </c>
      <c r="AH22" s="3323">
        <v>36000</v>
      </c>
      <c r="AI22" s="3323" t="s">
        <v>3232</v>
      </c>
      <c r="AJ22" s="3323">
        <v>130000</v>
      </c>
      <c r="AK22" s="3323">
        <v>1669.47</v>
      </c>
      <c r="AL22" s="3323">
        <v>1808.6</v>
      </c>
      <c r="AM22" s="3323">
        <v>8347</v>
      </c>
      <c r="AN22" s="3323">
        <v>9043</v>
      </c>
      <c r="AO22" s="3323" t="s">
        <v>3232</v>
      </c>
      <c r="AP22" s="3323" t="s">
        <v>3232</v>
      </c>
      <c r="AQ22" s="3323">
        <v>8.33</v>
      </c>
      <c r="AR22" s="3323" t="s">
        <v>3238</v>
      </c>
      <c r="AS22" s="3323" t="s">
        <v>3231</v>
      </c>
      <c r="AT22" s="3323" t="s">
        <v>3231</v>
      </c>
      <c r="AU22" s="3323" t="s">
        <v>3232</v>
      </c>
      <c r="AV22" s="3323" t="s">
        <v>3232</v>
      </c>
      <c r="AW22" s="3323" t="s">
        <v>3232</v>
      </c>
    </row>
    <row r="23" spans="1:49">
      <c r="A23" s="3323" t="s">
        <v>3512</v>
      </c>
      <c r="B23" s="3323" t="s">
        <v>3170</v>
      </c>
      <c r="C23" s="3323" t="s">
        <v>3226</v>
      </c>
      <c r="D23" s="3323" t="s">
        <v>3513</v>
      </c>
      <c r="E23" s="3323" t="s">
        <v>3419</v>
      </c>
      <c r="F23" s="3323" t="s">
        <v>3492</v>
      </c>
      <c r="G23" s="3323" t="s">
        <v>3493</v>
      </c>
      <c r="H23" s="3323" t="s">
        <v>3227</v>
      </c>
      <c r="I23" s="3323">
        <v>61900.3</v>
      </c>
      <c r="J23" s="3323">
        <v>111421</v>
      </c>
      <c r="K23" s="3323">
        <v>1.8</v>
      </c>
      <c r="L23" s="3323" t="s">
        <v>3228</v>
      </c>
      <c r="M23" s="3323" t="s">
        <v>3229</v>
      </c>
      <c r="N23" s="3323" t="s">
        <v>3230</v>
      </c>
      <c r="O23" s="3323" t="s">
        <v>3231</v>
      </c>
      <c r="P23" s="3323" t="s">
        <v>3232</v>
      </c>
      <c r="Q23" s="3323" t="s">
        <v>3232</v>
      </c>
      <c r="R23" s="3323" t="s">
        <v>3232</v>
      </c>
      <c r="S23" s="3323" t="s">
        <v>3232</v>
      </c>
      <c r="T23" s="3323" t="s">
        <v>3232</v>
      </c>
      <c r="U23" s="3323" t="s">
        <v>3237</v>
      </c>
      <c r="V23" s="3323" t="s">
        <v>3237</v>
      </c>
      <c r="W23" s="3323">
        <v>0</v>
      </c>
      <c r="X23" s="3323">
        <v>0</v>
      </c>
      <c r="Y23" s="3327">
        <v>42327.000497685185</v>
      </c>
      <c r="Z23" s="3327">
        <v>42347.000497685185</v>
      </c>
      <c r="AA23" s="3327">
        <v>42361.000497685185</v>
      </c>
      <c r="AB23" s="3327">
        <v>42361.000497685185</v>
      </c>
      <c r="AC23" s="3323" t="s">
        <v>3513</v>
      </c>
      <c r="AD23" s="3323" t="s">
        <v>3233</v>
      </c>
      <c r="AE23" s="3323" t="s">
        <v>3508</v>
      </c>
      <c r="AF23" s="3323" t="s">
        <v>3509</v>
      </c>
      <c r="AG23" s="3323">
        <v>89500</v>
      </c>
      <c r="AH23" s="3323">
        <v>27000</v>
      </c>
      <c r="AI23" s="3323" t="s">
        <v>3232</v>
      </c>
      <c r="AJ23" s="3323">
        <v>197000</v>
      </c>
      <c r="AK23" s="3323">
        <v>963.92</v>
      </c>
      <c r="AL23" s="3323">
        <v>2121.69</v>
      </c>
      <c r="AM23" s="3323">
        <v>8033</v>
      </c>
      <c r="AN23" s="3323">
        <v>17681</v>
      </c>
      <c r="AO23" s="3323" t="s">
        <v>3232</v>
      </c>
      <c r="AP23" s="3323" t="s">
        <v>3232</v>
      </c>
      <c r="AQ23" s="3323">
        <v>120.11</v>
      </c>
      <c r="AR23" s="3323" t="s">
        <v>3238</v>
      </c>
      <c r="AS23" s="3323" t="s">
        <v>3231</v>
      </c>
      <c r="AT23" s="3323" t="s">
        <v>3231</v>
      </c>
      <c r="AU23" s="3323" t="s">
        <v>3232</v>
      </c>
      <c r="AV23" s="3323" t="s">
        <v>3232</v>
      </c>
      <c r="AW23" s="3323" t="s">
        <v>3232</v>
      </c>
    </row>
    <row r="24" spans="1:49">
      <c r="A24" s="3323" t="s">
        <v>3514</v>
      </c>
      <c r="B24" s="3323" t="s">
        <v>3170</v>
      </c>
      <c r="C24" s="3323" t="s">
        <v>3226</v>
      </c>
      <c r="D24" s="3323" t="s">
        <v>3515</v>
      </c>
      <c r="E24" s="3323" t="s">
        <v>3419</v>
      </c>
      <c r="F24" s="3323" t="s">
        <v>3492</v>
      </c>
      <c r="G24" s="3323" t="s">
        <v>3493</v>
      </c>
      <c r="H24" s="3323" t="s">
        <v>3227</v>
      </c>
      <c r="I24" s="3323">
        <v>66594.820000000007</v>
      </c>
      <c r="J24" s="3323">
        <v>119871</v>
      </c>
      <c r="K24" s="3323">
        <v>1.8</v>
      </c>
      <c r="L24" s="3323" t="s">
        <v>3228</v>
      </c>
      <c r="M24" s="3323" t="s">
        <v>3229</v>
      </c>
      <c r="N24" s="3323" t="s">
        <v>3230</v>
      </c>
      <c r="O24" s="3323" t="s">
        <v>3231</v>
      </c>
      <c r="P24" s="3323" t="s">
        <v>3232</v>
      </c>
      <c r="Q24" s="3323" t="s">
        <v>3232</v>
      </c>
      <c r="R24" s="3323" t="s">
        <v>3232</v>
      </c>
      <c r="S24" s="3323" t="s">
        <v>3232</v>
      </c>
      <c r="T24" s="3323" t="s">
        <v>3232</v>
      </c>
      <c r="U24" s="3323" t="s">
        <v>3237</v>
      </c>
      <c r="V24" s="3323" t="s">
        <v>3237</v>
      </c>
      <c r="W24" s="3323">
        <v>0</v>
      </c>
      <c r="X24" s="3323">
        <v>0</v>
      </c>
      <c r="Y24" s="3327">
        <v>42327.000497685185</v>
      </c>
      <c r="Z24" s="3327">
        <v>42347.000497685185</v>
      </c>
      <c r="AA24" s="3327">
        <v>42361.000497685185</v>
      </c>
      <c r="AB24" s="3327">
        <v>42361.000497685185</v>
      </c>
      <c r="AC24" s="3323" t="s">
        <v>3515</v>
      </c>
      <c r="AD24" s="3323" t="s">
        <v>3233</v>
      </c>
      <c r="AE24" s="3323" t="s">
        <v>3508</v>
      </c>
      <c r="AF24" s="3323" t="s">
        <v>3509</v>
      </c>
      <c r="AG24" s="3323">
        <v>96000</v>
      </c>
      <c r="AH24" s="3323">
        <v>29000</v>
      </c>
      <c r="AI24" s="3323" t="s">
        <v>3232</v>
      </c>
      <c r="AJ24" s="3323">
        <v>196000</v>
      </c>
      <c r="AK24" s="3323">
        <v>961.04</v>
      </c>
      <c r="AL24" s="3323">
        <v>1962.11</v>
      </c>
      <c r="AM24" s="3323">
        <v>8009</v>
      </c>
      <c r="AN24" s="3323">
        <v>16351</v>
      </c>
      <c r="AO24" s="3323" t="s">
        <v>3232</v>
      </c>
      <c r="AP24" s="3323" t="s">
        <v>3232</v>
      </c>
      <c r="AQ24" s="3323">
        <v>104.17</v>
      </c>
      <c r="AR24" s="3323" t="s">
        <v>3238</v>
      </c>
      <c r="AS24" s="3323" t="s">
        <v>3231</v>
      </c>
      <c r="AT24" s="3323" t="s">
        <v>3231</v>
      </c>
      <c r="AU24" s="3323" t="s">
        <v>3232</v>
      </c>
      <c r="AV24" s="3323" t="s">
        <v>3232</v>
      </c>
      <c r="AW24" s="3323" t="s">
        <v>3232</v>
      </c>
    </row>
    <row r="25" spans="1:49">
      <c r="A25" s="3323" t="s">
        <v>3516</v>
      </c>
      <c r="B25" s="3323" t="s">
        <v>3170</v>
      </c>
      <c r="C25" s="3323" t="s">
        <v>3226</v>
      </c>
      <c r="D25" s="3323" t="s">
        <v>3517</v>
      </c>
      <c r="E25" s="3323" t="s">
        <v>3419</v>
      </c>
      <c r="F25" s="3323" t="s">
        <v>3518</v>
      </c>
      <c r="G25" s="3323" t="s">
        <v>3519</v>
      </c>
      <c r="H25" s="3323" t="s">
        <v>3227</v>
      </c>
      <c r="I25" s="3323">
        <v>24464</v>
      </c>
      <c r="J25" s="3323">
        <v>48928</v>
      </c>
      <c r="K25" s="3323">
        <v>2</v>
      </c>
      <c r="L25" s="3323" t="s">
        <v>3228</v>
      </c>
      <c r="M25" s="3323" t="s">
        <v>3236</v>
      </c>
      <c r="N25" s="3323" t="s">
        <v>3230</v>
      </c>
      <c r="O25" s="3323" t="s">
        <v>3231</v>
      </c>
      <c r="P25" s="3323" t="s">
        <v>3232</v>
      </c>
      <c r="Q25" s="3323" t="s">
        <v>3232</v>
      </c>
      <c r="R25" s="3323" t="s">
        <v>3232</v>
      </c>
      <c r="S25" s="3323" t="s">
        <v>3232</v>
      </c>
      <c r="T25" s="3323" t="s">
        <v>3232</v>
      </c>
      <c r="U25" s="3323" t="s">
        <v>3237</v>
      </c>
      <c r="V25" s="3323" t="s">
        <v>3237</v>
      </c>
      <c r="W25" s="3323">
        <v>0</v>
      </c>
      <c r="X25" s="3323">
        <v>0</v>
      </c>
      <c r="Y25" s="3327">
        <v>42151.000497685185</v>
      </c>
      <c r="Z25" s="3327">
        <v>42171.000497685185</v>
      </c>
      <c r="AA25" s="3327">
        <v>42186.000497685185</v>
      </c>
      <c r="AB25" s="3327">
        <v>42186.000497685185</v>
      </c>
      <c r="AC25" s="3323" t="s">
        <v>3517</v>
      </c>
      <c r="AD25" s="3323" t="s">
        <v>3233</v>
      </c>
      <c r="AE25" s="3323" t="s">
        <v>3520</v>
      </c>
      <c r="AF25" s="3323" t="s">
        <v>3232</v>
      </c>
      <c r="AG25" s="3323">
        <v>28200</v>
      </c>
      <c r="AH25" s="3323">
        <v>8500</v>
      </c>
      <c r="AI25" s="3323" t="s">
        <v>3232</v>
      </c>
      <c r="AJ25" s="3323">
        <v>46800</v>
      </c>
      <c r="AK25" s="3323">
        <v>768.48</v>
      </c>
      <c r="AL25" s="3323">
        <v>1275.3399999999999</v>
      </c>
      <c r="AM25" s="3323">
        <v>5764</v>
      </c>
      <c r="AN25" s="3323">
        <v>9565</v>
      </c>
      <c r="AO25" s="3323" t="s">
        <v>3232</v>
      </c>
      <c r="AP25" s="3323" t="s">
        <v>3232</v>
      </c>
      <c r="AQ25" s="3323">
        <v>65.959999999999994</v>
      </c>
      <c r="AR25" s="3323" t="s">
        <v>3238</v>
      </c>
      <c r="AS25" s="3323" t="s">
        <v>3231</v>
      </c>
      <c r="AT25" s="3323" t="s">
        <v>3231</v>
      </c>
      <c r="AU25" s="3323" t="s">
        <v>3232</v>
      </c>
      <c r="AV25" s="3323" t="s">
        <v>3232</v>
      </c>
      <c r="AW25" s="3323" t="s">
        <v>3232</v>
      </c>
    </row>
    <row r="26" spans="1:49" s="3332" customFormat="1">
      <c r="A26" s="3332" t="s">
        <v>3521</v>
      </c>
      <c r="B26" s="3332" t="s">
        <v>3170</v>
      </c>
      <c r="C26" s="3332" t="s">
        <v>3226</v>
      </c>
      <c r="D26" s="3332" t="s">
        <v>3522</v>
      </c>
      <c r="E26" s="3332" t="s">
        <v>3419</v>
      </c>
      <c r="F26" s="3332" t="s">
        <v>3487</v>
      </c>
      <c r="G26" s="3332" t="s">
        <v>3440</v>
      </c>
      <c r="H26" s="3332" t="s">
        <v>3227</v>
      </c>
      <c r="I26" s="3332">
        <v>38024.39</v>
      </c>
      <c r="J26" s="3332">
        <v>106468</v>
      </c>
      <c r="K26" s="3332">
        <v>2.8</v>
      </c>
      <c r="L26" s="3332" t="s">
        <v>3228</v>
      </c>
      <c r="M26" s="3332" t="s">
        <v>3523</v>
      </c>
      <c r="N26" s="3332" t="s">
        <v>3230</v>
      </c>
      <c r="O26" s="3332" t="s">
        <v>3231</v>
      </c>
      <c r="P26" s="3332" t="s">
        <v>3232</v>
      </c>
      <c r="Q26" s="3332" t="s">
        <v>3232</v>
      </c>
      <c r="R26" s="3332" t="s">
        <v>3232</v>
      </c>
      <c r="S26" s="3332" t="s">
        <v>3232</v>
      </c>
      <c r="T26" s="3332" t="s">
        <v>3232</v>
      </c>
      <c r="U26" s="3332" t="s">
        <v>3237</v>
      </c>
      <c r="V26" s="3332" t="s">
        <v>3237</v>
      </c>
      <c r="W26" s="3332">
        <v>0</v>
      </c>
      <c r="X26" s="3332">
        <v>0</v>
      </c>
      <c r="Y26" s="3333">
        <v>42149.000497685185</v>
      </c>
      <c r="Z26" s="3333">
        <v>42170.000497685185</v>
      </c>
      <c r="AA26" s="3333">
        <v>42185.000497685185</v>
      </c>
      <c r="AB26" s="3333">
        <v>42185.000497685185</v>
      </c>
      <c r="AC26" s="3332" t="s">
        <v>3522</v>
      </c>
      <c r="AD26" s="3332" t="s">
        <v>3233</v>
      </c>
      <c r="AE26" s="3332" t="s">
        <v>3524</v>
      </c>
      <c r="AF26" s="3332" t="s">
        <v>3232</v>
      </c>
      <c r="AG26" s="3332">
        <v>87000</v>
      </c>
      <c r="AH26" s="3332">
        <v>26000</v>
      </c>
      <c r="AI26" s="3332" t="s">
        <v>3232</v>
      </c>
      <c r="AJ26" s="3332">
        <v>97000</v>
      </c>
      <c r="AK26" s="3332">
        <v>1525.34</v>
      </c>
      <c r="AL26" s="3332">
        <v>1700.66</v>
      </c>
      <c r="AM26" s="3332">
        <v>8171</v>
      </c>
      <c r="AN26" s="3332">
        <v>9111</v>
      </c>
      <c r="AO26" s="3332" t="s">
        <v>3232</v>
      </c>
      <c r="AP26" s="3332" t="s">
        <v>3232</v>
      </c>
      <c r="AQ26" s="3332">
        <v>11.49</v>
      </c>
      <c r="AR26" s="3332" t="s">
        <v>3238</v>
      </c>
      <c r="AS26" s="3332" t="s">
        <v>3231</v>
      </c>
      <c r="AT26" s="3332" t="s">
        <v>3231</v>
      </c>
      <c r="AU26" s="3332" t="s">
        <v>3232</v>
      </c>
      <c r="AV26" s="3332" t="s">
        <v>3232</v>
      </c>
      <c r="AW26" s="3332" t="s">
        <v>3232</v>
      </c>
    </row>
    <row r="27" spans="1:49">
      <c r="A27" s="3323" t="s">
        <v>3525</v>
      </c>
      <c r="B27" s="3323" t="s">
        <v>3170</v>
      </c>
      <c r="C27" s="3323" t="s">
        <v>3226</v>
      </c>
      <c r="D27" s="3323" t="s">
        <v>3526</v>
      </c>
      <c r="E27" s="3323" t="s">
        <v>3419</v>
      </c>
      <c r="F27" s="3323" t="s">
        <v>3527</v>
      </c>
      <c r="G27" s="3323" t="s">
        <v>3528</v>
      </c>
      <c r="H27" s="3323" t="s">
        <v>3227</v>
      </c>
      <c r="I27" s="3323">
        <v>13920.77</v>
      </c>
      <c r="J27" s="3323">
        <v>16705</v>
      </c>
      <c r="K27" s="3323">
        <v>1.2</v>
      </c>
      <c r="L27" s="3323" t="s">
        <v>3228</v>
      </c>
      <c r="M27" s="3323" t="s">
        <v>3236</v>
      </c>
      <c r="N27" s="3323" t="s">
        <v>3230</v>
      </c>
      <c r="O27" s="3323" t="s">
        <v>3231</v>
      </c>
      <c r="P27" s="3323" t="s">
        <v>3232</v>
      </c>
      <c r="Q27" s="3323" t="s">
        <v>3232</v>
      </c>
      <c r="R27" s="3323" t="s">
        <v>3232</v>
      </c>
      <c r="S27" s="3323" t="s">
        <v>3232</v>
      </c>
      <c r="T27" s="3323" t="s">
        <v>3232</v>
      </c>
      <c r="U27" s="3323" t="s">
        <v>3237</v>
      </c>
      <c r="V27" s="3323" t="s">
        <v>3237</v>
      </c>
      <c r="W27" s="3323">
        <v>0</v>
      </c>
      <c r="X27" s="3323">
        <v>0</v>
      </c>
      <c r="Y27" s="3327">
        <v>42146.000497685185</v>
      </c>
      <c r="Z27" s="3327">
        <v>42166.000497685185</v>
      </c>
      <c r="AA27" s="3327">
        <v>42181.000497685185</v>
      </c>
      <c r="AB27" s="3327">
        <v>42181.000497685185</v>
      </c>
      <c r="AC27" s="3323" t="s">
        <v>3526</v>
      </c>
      <c r="AD27" s="3323" t="s">
        <v>3233</v>
      </c>
      <c r="AE27" s="3323" t="s">
        <v>3529</v>
      </c>
      <c r="AF27" s="3323" t="s">
        <v>3232</v>
      </c>
      <c r="AG27" s="3323">
        <v>10500</v>
      </c>
      <c r="AH27" s="3323">
        <v>3200</v>
      </c>
      <c r="AI27" s="3323" t="s">
        <v>3232</v>
      </c>
      <c r="AJ27" s="3323">
        <v>12200</v>
      </c>
      <c r="AK27" s="3323">
        <v>502.85</v>
      </c>
      <c r="AL27" s="3323">
        <v>584.26</v>
      </c>
      <c r="AM27" s="3323">
        <v>6286</v>
      </c>
      <c r="AN27" s="3323">
        <v>7303</v>
      </c>
      <c r="AO27" s="3323" t="s">
        <v>3232</v>
      </c>
      <c r="AP27" s="3323" t="s">
        <v>3232</v>
      </c>
      <c r="AQ27" s="3323">
        <v>16.190000000000001</v>
      </c>
      <c r="AR27" s="3323" t="s">
        <v>3238</v>
      </c>
      <c r="AS27" s="3323" t="s">
        <v>3231</v>
      </c>
      <c r="AT27" s="3323" t="s">
        <v>3231</v>
      </c>
      <c r="AU27" s="3323" t="s">
        <v>3232</v>
      </c>
      <c r="AV27" s="3323" t="s">
        <v>3232</v>
      </c>
      <c r="AW27" s="3323" t="s">
        <v>3232</v>
      </c>
    </row>
    <row r="28" spans="1:49">
      <c r="A28" s="3323" t="s">
        <v>3530</v>
      </c>
      <c r="B28" s="3323" t="s">
        <v>3170</v>
      </c>
      <c r="C28" s="3323" t="s">
        <v>3226</v>
      </c>
      <c r="D28" s="3323" t="s">
        <v>3531</v>
      </c>
      <c r="E28" s="3323" t="s">
        <v>3419</v>
      </c>
      <c r="F28" s="3323" t="s">
        <v>3502</v>
      </c>
      <c r="G28" s="3323" t="s">
        <v>3532</v>
      </c>
      <c r="H28" s="3323" t="s">
        <v>3227</v>
      </c>
      <c r="I28" s="3323">
        <v>6189.23</v>
      </c>
      <c r="J28" s="3323">
        <v>6189</v>
      </c>
      <c r="K28" s="3323">
        <v>1</v>
      </c>
      <c r="L28" s="3323" t="s">
        <v>3228</v>
      </c>
      <c r="M28" s="3323" t="s">
        <v>3241</v>
      </c>
      <c r="N28" s="3323" t="s">
        <v>3230</v>
      </c>
      <c r="O28" s="3323" t="s">
        <v>3231</v>
      </c>
      <c r="P28" s="3323" t="s">
        <v>3232</v>
      </c>
      <c r="Q28" s="3323" t="s">
        <v>3232</v>
      </c>
      <c r="R28" s="3323" t="s">
        <v>3232</v>
      </c>
      <c r="S28" s="3323" t="s">
        <v>3232</v>
      </c>
      <c r="T28" s="3323" t="s">
        <v>3232</v>
      </c>
      <c r="U28" s="3323" t="s">
        <v>3237</v>
      </c>
      <c r="V28" s="3323" t="s">
        <v>3237</v>
      </c>
      <c r="W28" s="3323">
        <v>0</v>
      </c>
      <c r="X28" s="3323">
        <v>0</v>
      </c>
      <c r="Y28" s="3327">
        <v>41976.000497685185</v>
      </c>
      <c r="Z28" s="3327">
        <v>41996.000497685185</v>
      </c>
      <c r="AA28" s="3327">
        <v>42011.000497685185</v>
      </c>
      <c r="AB28" s="3327">
        <v>42011.000497685185</v>
      </c>
      <c r="AC28" s="3323" t="s">
        <v>3531</v>
      </c>
      <c r="AD28" s="3323" t="s">
        <v>3233</v>
      </c>
      <c r="AE28" s="3323" t="s">
        <v>3533</v>
      </c>
      <c r="AF28" s="3323" t="s">
        <v>3232</v>
      </c>
      <c r="AG28" s="3323">
        <v>7500</v>
      </c>
      <c r="AH28" s="3323">
        <v>2300</v>
      </c>
      <c r="AI28" s="3323" t="s">
        <v>3232</v>
      </c>
      <c r="AJ28" s="3323">
        <v>12900</v>
      </c>
      <c r="AK28" s="3323">
        <v>807.85</v>
      </c>
      <c r="AL28" s="3323">
        <v>1389.51</v>
      </c>
      <c r="AM28" s="3323">
        <v>12118</v>
      </c>
      <c r="AN28" s="3323">
        <v>20843</v>
      </c>
      <c r="AO28" s="3323" t="s">
        <v>3232</v>
      </c>
      <c r="AP28" s="3323" t="s">
        <v>3232</v>
      </c>
      <c r="AQ28" s="3323">
        <v>72</v>
      </c>
      <c r="AR28" s="3323" t="s">
        <v>3534</v>
      </c>
      <c r="AS28" s="3323" t="s">
        <v>3231</v>
      </c>
      <c r="AT28" s="3323" t="s">
        <v>3231</v>
      </c>
      <c r="AU28" s="3323" t="s">
        <v>3232</v>
      </c>
      <c r="AV28" s="3323" t="s">
        <v>3232</v>
      </c>
      <c r="AW28" s="3323" t="s">
        <v>3232</v>
      </c>
    </row>
    <row r="29" spans="1:49">
      <c r="A29" s="3323" t="s">
        <v>3535</v>
      </c>
      <c r="B29" s="3323" t="s">
        <v>3170</v>
      </c>
      <c r="C29" s="3323" t="s">
        <v>3226</v>
      </c>
      <c r="D29" s="3323" t="s">
        <v>3536</v>
      </c>
      <c r="E29" s="3323" t="s">
        <v>3419</v>
      </c>
      <c r="F29" s="3323" t="s">
        <v>3537</v>
      </c>
      <c r="G29" s="3323" t="s">
        <v>3538</v>
      </c>
      <c r="H29" s="3323" t="s">
        <v>3227</v>
      </c>
      <c r="I29" s="3323">
        <v>40417.42</v>
      </c>
      <c r="J29" s="3323">
        <v>121252</v>
      </c>
      <c r="K29" s="3323">
        <v>3</v>
      </c>
      <c r="L29" s="3323" t="s">
        <v>3228</v>
      </c>
      <c r="M29" s="3323" t="s">
        <v>3523</v>
      </c>
      <c r="N29" s="3323" t="s">
        <v>3230</v>
      </c>
      <c r="O29" s="3323" t="s">
        <v>3231</v>
      </c>
      <c r="P29" s="3323" t="s">
        <v>3232</v>
      </c>
      <c r="Q29" s="3323" t="s">
        <v>3232</v>
      </c>
      <c r="R29" s="3323" t="s">
        <v>3232</v>
      </c>
      <c r="S29" s="3323" t="s">
        <v>3232</v>
      </c>
      <c r="T29" s="3323" t="s">
        <v>3232</v>
      </c>
      <c r="U29" s="3323" t="s">
        <v>3237</v>
      </c>
      <c r="V29" s="3323" t="s">
        <v>3237</v>
      </c>
      <c r="W29" s="3323">
        <v>0</v>
      </c>
      <c r="X29" s="3323">
        <v>0</v>
      </c>
      <c r="Y29" s="3327">
        <v>41696.000497685185</v>
      </c>
      <c r="Z29" s="3327">
        <v>41750.000497685185</v>
      </c>
      <c r="AA29" s="3327">
        <v>41765.000497685185</v>
      </c>
      <c r="AB29" s="3327">
        <v>41765.000497685185</v>
      </c>
      <c r="AC29" s="3323" t="s">
        <v>3536</v>
      </c>
      <c r="AD29" s="3323" t="s">
        <v>3233</v>
      </c>
      <c r="AE29" s="3323" t="s">
        <v>3539</v>
      </c>
      <c r="AF29" s="3323" t="s">
        <v>3232</v>
      </c>
      <c r="AG29" s="3323">
        <v>103000</v>
      </c>
      <c r="AH29" s="3323">
        <v>30000</v>
      </c>
      <c r="AI29" s="3323" t="s">
        <v>3232</v>
      </c>
      <c r="AJ29" s="3323">
        <v>191000</v>
      </c>
      <c r="AK29" s="3323">
        <v>1698.94</v>
      </c>
      <c r="AL29" s="3323">
        <v>3150.46</v>
      </c>
      <c r="AM29" s="3323">
        <v>8495</v>
      </c>
      <c r="AN29" s="3323">
        <v>15752</v>
      </c>
      <c r="AO29" s="3323" t="s">
        <v>3232</v>
      </c>
      <c r="AP29" s="3323" t="s">
        <v>3232</v>
      </c>
      <c r="AQ29" s="3323">
        <v>85.44</v>
      </c>
      <c r="AR29" s="3323" t="s">
        <v>3534</v>
      </c>
      <c r="AS29" s="3323" t="s">
        <v>3231</v>
      </c>
      <c r="AT29" s="3323" t="s">
        <v>3231</v>
      </c>
      <c r="AU29" s="3323" t="s">
        <v>3232</v>
      </c>
      <c r="AV29" s="3323" t="s">
        <v>3232</v>
      </c>
      <c r="AW29" s="3323" t="s">
        <v>3232</v>
      </c>
    </row>
    <row r="30" spans="1:49">
      <c r="A30" s="3323" t="s">
        <v>3540</v>
      </c>
      <c r="B30" s="3323" t="s">
        <v>3170</v>
      </c>
      <c r="C30" s="3323" t="s">
        <v>3226</v>
      </c>
      <c r="D30" s="3323" t="s">
        <v>3541</v>
      </c>
      <c r="E30" s="3323" t="s">
        <v>3419</v>
      </c>
      <c r="F30" s="3323" t="s">
        <v>3537</v>
      </c>
      <c r="G30" s="3323" t="s">
        <v>3538</v>
      </c>
      <c r="H30" s="3323" t="s">
        <v>3227</v>
      </c>
      <c r="I30" s="3323">
        <v>48028.78</v>
      </c>
      <c r="J30" s="3323">
        <v>122714</v>
      </c>
      <c r="K30" s="3323">
        <v>2.56</v>
      </c>
      <c r="L30" s="3323" t="s">
        <v>3228</v>
      </c>
      <c r="M30" s="3323" t="s">
        <v>3542</v>
      </c>
      <c r="N30" s="3323" t="s">
        <v>3230</v>
      </c>
      <c r="O30" s="3323" t="s">
        <v>3231</v>
      </c>
      <c r="P30" s="3323" t="s">
        <v>3232</v>
      </c>
      <c r="Q30" s="3323" t="s">
        <v>3232</v>
      </c>
      <c r="R30" s="3323" t="s">
        <v>3232</v>
      </c>
      <c r="S30" s="3323" t="s">
        <v>3232</v>
      </c>
      <c r="T30" s="3323" t="s">
        <v>3232</v>
      </c>
      <c r="U30" s="3323" t="s">
        <v>3237</v>
      </c>
      <c r="V30" s="3323" t="s">
        <v>3237</v>
      </c>
      <c r="W30" s="3323">
        <v>0</v>
      </c>
      <c r="X30" s="3323">
        <v>0</v>
      </c>
      <c r="Y30" s="3327">
        <v>41696.000497685185</v>
      </c>
      <c r="Z30" s="3327">
        <v>41750.000497685185</v>
      </c>
      <c r="AA30" s="3327">
        <v>41765.000497685185</v>
      </c>
      <c r="AB30" s="3327">
        <v>41765.000497685185</v>
      </c>
      <c r="AC30" s="3323" t="s">
        <v>3541</v>
      </c>
      <c r="AD30" s="3323" t="s">
        <v>3233</v>
      </c>
      <c r="AE30" s="3323" t="s">
        <v>3543</v>
      </c>
      <c r="AF30" s="3323" t="s">
        <v>3544</v>
      </c>
      <c r="AG30" s="3323">
        <v>98000</v>
      </c>
      <c r="AH30" s="3323">
        <v>30000</v>
      </c>
      <c r="AI30" s="3323" t="s">
        <v>3232</v>
      </c>
      <c r="AJ30" s="3323">
        <v>108000</v>
      </c>
      <c r="AK30" s="3323">
        <v>1360.3</v>
      </c>
      <c r="AL30" s="3323">
        <v>1499.1</v>
      </c>
      <c r="AM30" s="3323">
        <v>7986</v>
      </c>
      <c r="AN30" s="3323">
        <v>8801</v>
      </c>
      <c r="AO30" s="3323" t="s">
        <v>3232</v>
      </c>
      <c r="AP30" s="3323" t="s">
        <v>3232</v>
      </c>
      <c r="AQ30" s="3323">
        <v>10.199999999999999</v>
      </c>
      <c r="AR30" s="3323" t="s">
        <v>3534</v>
      </c>
      <c r="AS30" s="3323" t="s">
        <v>3231</v>
      </c>
      <c r="AT30" s="3323" t="s">
        <v>3231</v>
      </c>
      <c r="AU30" s="3323" t="s">
        <v>3232</v>
      </c>
      <c r="AV30" s="3323" t="s">
        <v>3232</v>
      </c>
      <c r="AW30" s="3323" t="s">
        <v>3232</v>
      </c>
    </row>
    <row r="31" spans="1:49">
      <c r="A31" s="3323" t="s">
        <v>3545</v>
      </c>
      <c r="B31" s="3323" t="s">
        <v>3170</v>
      </c>
      <c r="C31" s="3323" t="s">
        <v>3226</v>
      </c>
      <c r="D31" s="3323" t="s">
        <v>3546</v>
      </c>
      <c r="E31" s="3323" t="s">
        <v>3419</v>
      </c>
      <c r="F31" s="3323" t="s">
        <v>3439</v>
      </c>
      <c r="G31" s="3323" t="s">
        <v>3440</v>
      </c>
      <c r="H31" s="3323" t="s">
        <v>3227</v>
      </c>
      <c r="I31" s="3323">
        <v>46923.74</v>
      </c>
      <c r="J31" s="3323">
        <v>94797</v>
      </c>
      <c r="K31" s="3323">
        <v>2.02</v>
      </c>
      <c r="L31" s="3323" t="s">
        <v>3228</v>
      </c>
      <c r="M31" s="3323" t="s">
        <v>3547</v>
      </c>
      <c r="N31" s="3323" t="s">
        <v>3230</v>
      </c>
      <c r="O31" s="3323" t="s">
        <v>3231</v>
      </c>
      <c r="P31" s="3323" t="s">
        <v>3232</v>
      </c>
      <c r="Q31" s="3323" t="s">
        <v>3232</v>
      </c>
      <c r="R31" s="3323" t="s">
        <v>3232</v>
      </c>
      <c r="S31" s="3323" t="s">
        <v>3232</v>
      </c>
      <c r="T31" s="3323" t="s">
        <v>3232</v>
      </c>
      <c r="U31" s="3323" t="s">
        <v>3237</v>
      </c>
      <c r="V31" s="3323" t="s">
        <v>3237</v>
      </c>
      <c r="W31" s="3323">
        <v>0</v>
      </c>
      <c r="X31" s="3323">
        <v>0</v>
      </c>
      <c r="Y31" s="3327">
        <v>41698.000497685185</v>
      </c>
      <c r="Z31" s="3327">
        <v>41739.000497685185</v>
      </c>
      <c r="AA31" s="3327">
        <v>41753.000497685185</v>
      </c>
      <c r="AB31" s="3327">
        <v>41753.000497685185</v>
      </c>
      <c r="AC31" s="3323" t="s">
        <v>3546</v>
      </c>
      <c r="AD31" s="3323" t="s">
        <v>3233</v>
      </c>
      <c r="AE31" s="3323" t="s">
        <v>3548</v>
      </c>
      <c r="AF31" s="3323" t="s">
        <v>3549</v>
      </c>
      <c r="AG31" s="3323">
        <v>75900</v>
      </c>
      <c r="AH31" s="3323">
        <v>22800</v>
      </c>
      <c r="AI31" s="3323" t="s">
        <v>3232</v>
      </c>
      <c r="AJ31" s="3323">
        <v>76300</v>
      </c>
      <c r="AK31" s="3323">
        <v>1078.3499999999999</v>
      </c>
      <c r="AL31" s="3323">
        <v>1084.03</v>
      </c>
      <c r="AM31" s="3323">
        <v>8007</v>
      </c>
      <c r="AN31" s="3323">
        <v>8049</v>
      </c>
      <c r="AO31" s="3323" t="s">
        <v>3232</v>
      </c>
      <c r="AP31" s="3323" t="s">
        <v>3232</v>
      </c>
      <c r="AQ31" s="3323">
        <v>0.53</v>
      </c>
      <c r="AR31" s="3323" t="s">
        <v>3534</v>
      </c>
      <c r="AS31" s="3323" t="s">
        <v>3231</v>
      </c>
      <c r="AT31" s="3323" t="s">
        <v>3231</v>
      </c>
      <c r="AU31" s="3323" t="s">
        <v>3232</v>
      </c>
      <c r="AV31" s="3323" t="s">
        <v>3232</v>
      </c>
      <c r="AW31" s="3323" t="s">
        <v>3232</v>
      </c>
    </row>
    <row r="32" spans="1:49">
      <c r="A32" s="3323" t="s">
        <v>3550</v>
      </c>
      <c r="B32" s="3323" t="s">
        <v>3170</v>
      </c>
      <c r="C32" s="3323" t="s">
        <v>3226</v>
      </c>
      <c r="D32" s="3323" t="s">
        <v>3551</v>
      </c>
      <c r="E32" s="3323" t="s">
        <v>3419</v>
      </c>
      <c r="F32" s="3323" t="s">
        <v>3448</v>
      </c>
      <c r="G32" s="3323" t="s">
        <v>3552</v>
      </c>
      <c r="H32" s="3323" t="s">
        <v>3227</v>
      </c>
      <c r="I32" s="3323">
        <v>51666</v>
      </c>
      <c r="J32" s="3323">
        <v>129165</v>
      </c>
      <c r="K32" s="3323" t="s">
        <v>3408</v>
      </c>
      <c r="L32" s="3323" t="s">
        <v>3228</v>
      </c>
      <c r="M32" s="3323" t="s">
        <v>3229</v>
      </c>
      <c r="N32" s="3323" t="s">
        <v>3230</v>
      </c>
      <c r="O32" s="3323" t="s">
        <v>3231</v>
      </c>
      <c r="P32" s="3323" t="s">
        <v>3232</v>
      </c>
      <c r="Q32" s="3323" t="s">
        <v>3232</v>
      </c>
      <c r="R32" s="3323" t="s">
        <v>3232</v>
      </c>
      <c r="S32" s="3323" t="s">
        <v>3232</v>
      </c>
      <c r="T32" s="3323" t="s">
        <v>3232</v>
      </c>
      <c r="U32" s="3323" t="s">
        <v>3237</v>
      </c>
      <c r="V32" s="3323" t="s">
        <v>3237</v>
      </c>
      <c r="W32" s="3323">
        <v>0</v>
      </c>
      <c r="X32" s="3323">
        <v>0</v>
      </c>
      <c r="Y32" s="3327">
        <v>41698.000497685185</v>
      </c>
      <c r="Z32" s="3327">
        <v>41739.000497685185</v>
      </c>
      <c r="AA32" s="3327">
        <v>41753.000497685185</v>
      </c>
      <c r="AB32" s="3327">
        <v>41753.000497685185</v>
      </c>
      <c r="AC32" s="3323" t="s">
        <v>3551</v>
      </c>
      <c r="AD32" s="3323" t="s">
        <v>3233</v>
      </c>
      <c r="AE32" s="3323" t="s">
        <v>3553</v>
      </c>
      <c r="AF32" s="3323" t="s">
        <v>3232</v>
      </c>
      <c r="AG32" s="3323">
        <v>64600</v>
      </c>
      <c r="AH32" s="3323">
        <v>19000</v>
      </c>
      <c r="AI32" s="3323" t="s">
        <v>3232</v>
      </c>
      <c r="AJ32" s="3323">
        <v>81000</v>
      </c>
      <c r="AK32" s="3323">
        <v>833.56</v>
      </c>
      <c r="AL32" s="3323">
        <v>1045.17</v>
      </c>
      <c r="AM32" s="3323">
        <v>5001</v>
      </c>
      <c r="AN32" s="3323">
        <v>6271</v>
      </c>
      <c r="AO32" s="3323" t="s">
        <v>3232</v>
      </c>
      <c r="AP32" s="3323" t="s">
        <v>3232</v>
      </c>
      <c r="AQ32" s="3323">
        <v>25.39</v>
      </c>
      <c r="AR32" s="3323" t="s">
        <v>3534</v>
      </c>
      <c r="AS32" s="3323" t="s">
        <v>3231</v>
      </c>
      <c r="AT32" s="3323" t="s">
        <v>3231</v>
      </c>
      <c r="AU32" s="3323" t="s">
        <v>3232</v>
      </c>
      <c r="AV32" s="3323" t="s">
        <v>3232</v>
      </c>
      <c r="AW32" s="3323" t="s">
        <v>3232</v>
      </c>
    </row>
    <row r="33" spans="1:49">
      <c r="A33" s="3323" t="s">
        <v>3554</v>
      </c>
      <c r="B33" s="3323" t="s">
        <v>3170</v>
      </c>
      <c r="C33" s="3323" t="s">
        <v>3226</v>
      </c>
      <c r="D33" s="3323" t="s">
        <v>3555</v>
      </c>
      <c r="E33" s="3323" t="s">
        <v>3419</v>
      </c>
      <c r="F33" s="3323" t="s">
        <v>3556</v>
      </c>
      <c r="G33" s="3323" t="s">
        <v>3557</v>
      </c>
      <c r="H33" s="3323" t="s">
        <v>3227</v>
      </c>
      <c r="I33" s="3323">
        <v>85515.199999999997</v>
      </c>
      <c r="J33" s="3323">
        <v>283835.3</v>
      </c>
      <c r="K33" s="3323" t="s">
        <v>3558</v>
      </c>
      <c r="L33" s="3323" t="s">
        <v>3228</v>
      </c>
      <c r="M33" s="3323" t="s">
        <v>3547</v>
      </c>
      <c r="N33" s="3323" t="s">
        <v>3230</v>
      </c>
      <c r="O33" s="3323" t="s">
        <v>3231</v>
      </c>
      <c r="P33" s="3323" t="s">
        <v>3232</v>
      </c>
      <c r="Q33" s="3323" t="s">
        <v>3232</v>
      </c>
      <c r="R33" s="3323" t="s">
        <v>3232</v>
      </c>
      <c r="S33" s="3323" t="s">
        <v>3232</v>
      </c>
      <c r="T33" s="3323" t="s">
        <v>3232</v>
      </c>
      <c r="U33" s="3323" t="s">
        <v>3237</v>
      </c>
      <c r="V33" s="3323" t="s">
        <v>3237</v>
      </c>
      <c r="W33" s="3323">
        <v>0</v>
      </c>
      <c r="X33" s="3323">
        <v>0</v>
      </c>
      <c r="Y33" s="3327">
        <v>41698.000497685185</v>
      </c>
      <c r="Z33" s="3327">
        <v>41739.000497685185</v>
      </c>
      <c r="AA33" s="3327">
        <v>41753.000497685185</v>
      </c>
      <c r="AB33" s="3327">
        <v>41753.000497685185</v>
      </c>
      <c r="AC33" s="3323" t="s">
        <v>3555</v>
      </c>
      <c r="AD33" s="3323" t="s">
        <v>3233</v>
      </c>
      <c r="AE33" s="3323" t="s">
        <v>3559</v>
      </c>
      <c r="AF33" s="3323" t="s">
        <v>3232</v>
      </c>
      <c r="AG33" s="3323">
        <v>142000</v>
      </c>
      <c r="AH33" s="3323">
        <v>43000</v>
      </c>
      <c r="AI33" s="3323" t="s">
        <v>3232</v>
      </c>
      <c r="AJ33" s="3323">
        <v>145000</v>
      </c>
      <c r="AK33" s="3323">
        <v>1107.02</v>
      </c>
      <c r="AL33" s="3323">
        <v>1130.4000000000001</v>
      </c>
      <c r="AM33" s="3323">
        <v>5003</v>
      </c>
      <c r="AN33" s="3323">
        <v>5109</v>
      </c>
      <c r="AO33" s="3323" t="s">
        <v>3232</v>
      </c>
      <c r="AP33" s="3323" t="s">
        <v>3232</v>
      </c>
      <c r="AQ33" s="3323">
        <v>2.11</v>
      </c>
      <c r="AR33" s="3323" t="s">
        <v>3534</v>
      </c>
      <c r="AS33" s="3323" t="s">
        <v>3231</v>
      </c>
      <c r="AT33" s="3323" t="s">
        <v>3231</v>
      </c>
      <c r="AU33" s="3323" t="s">
        <v>3232</v>
      </c>
      <c r="AV33" s="3323" t="s">
        <v>3232</v>
      </c>
      <c r="AW33" s="3323" t="s">
        <v>3232</v>
      </c>
    </row>
    <row r="34" spans="1:49">
      <c r="A34" s="3323" t="s">
        <v>3560</v>
      </c>
      <c r="B34" s="3323" t="s">
        <v>3170</v>
      </c>
      <c r="C34" s="3323" t="s">
        <v>3226</v>
      </c>
      <c r="D34" s="3323" t="s">
        <v>3561</v>
      </c>
      <c r="E34" s="3323" t="s">
        <v>3419</v>
      </c>
      <c r="F34" s="3323" t="s">
        <v>3439</v>
      </c>
      <c r="G34" s="3323" t="s">
        <v>3440</v>
      </c>
      <c r="H34" s="3323" t="s">
        <v>3227</v>
      </c>
      <c r="I34" s="3323">
        <v>33628.9</v>
      </c>
      <c r="J34" s="3323">
        <v>82719</v>
      </c>
      <c r="K34" s="3323">
        <v>2.5</v>
      </c>
      <c r="L34" s="3323" t="s">
        <v>3228</v>
      </c>
      <c r="M34" s="3323" t="s">
        <v>3523</v>
      </c>
      <c r="N34" s="3323" t="s">
        <v>3230</v>
      </c>
      <c r="O34" s="3323" t="s">
        <v>3231</v>
      </c>
      <c r="P34" s="3323" t="s">
        <v>3232</v>
      </c>
      <c r="Q34" s="3323" t="s">
        <v>3232</v>
      </c>
      <c r="R34" s="3323" t="s">
        <v>3232</v>
      </c>
      <c r="S34" s="3323" t="s">
        <v>3232</v>
      </c>
      <c r="T34" s="3323" t="s">
        <v>3232</v>
      </c>
      <c r="U34" s="3323" t="s">
        <v>3237</v>
      </c>
      <c r="V34" s="3323" t="s">
        <v>3237</v>
      </c>
      <c r="W34" s="3323">
        <v>0</v>
      </c>
      <c r="X34" s="3323">
        <v>0</v>
      </c>
      <c r="Y34" s="3327">
        <v>41695.000497685185</v>
      </c>
      <c r="Z34" s="3327">
        <v>41724.000497685185</v>
      </c>
      <c r="AA34" s="3327">
        <v>41739.000497685185</v>
      </c>
      <c r="AB34" s="3327">
        <v>41739.000497685185</v>
      </c>
      <c r="AC34" s="3323" t="s">
        <v>3561</v>
      </c>
      <c r="AD34" s="3323" t="s">
        <v>3233</v>
      </c>
      <c r="AE34" s="3323" t="s">
        <v>3562</v>
      </c>
      <c r="AF34" s="3323" t="s">
        <v>3563</v>
      </c>
      <c r="AG34" s="3323">
        <v>66200</v>
      </c>
      <c r="AH34" s="3323">
        <v>19000</v>
      </c>
      <c r="AI34" s="3323" t="s">
        <v>3232</v>
      </c>
      <c r="AJ34" s="3323">
        <v>171000</v>
      </c>
      <c r="AK34" s="3323">
        <v>1312.36</v>
      </c>
      <c r="AL34" s="3323">
        <v>3389.94</v>
      </c>
      <c r="AM34" s="3323">
        <v>8003</v>
      </c>
      <c r="AN34" s="3323">
        <v>20672</v>
      </c>
      <c r="AO34" s="3323" t="s">
        <v>3232</v>
      </c>
      <c r="AP34" s="3323" t="s">
        <v>3232</v>
      </c>
      <c r="AQ34" s="3323">
        <v>158.31</v>
      </c>
      <c r="AR34" s="3323" t="s">
        <v>3534</v>
      </c>
      <c r="AS34" s="3323" t="s">
        <v>3231</v>
      </c>
      <c r="AT34" s="3323" t="s">
        <v>3231</v>
      </c>
      <c r="AU34" s="3323" t="s">
        <v>3232</v>
      </c>
      <c r="AV34" s="3323" t="s">
        <v>3232</v>
      </c>
      <c r="AW34" s="3323" t="s">
        <v>3232</v>
      </c>
    </row>
    <row r="35" spans="1:49">
      <c r="A35" s="3323" t="s">
        <v>3564</v>
      </c>
      <c r="B35" s="3323" t="s">
        <v>3170</v>
      </c>
      <c r="C35" s="3323" t="s">
        <v>3226</v>
      </c>
      <c r="D35" s="3323" t="s">
        <v>3565</v>
      </c>
      <c r="E35" s="3323" t="s">
        <v>3419</v>
      </c>
      <c r="F35" s="3323" t="s">
        <v>3439</v>
      </c>
      <c r="G35" s="3323" t="s">
        <v>3440</v>
      </c>
      <c r="H35" s="3323" t="s">
        <v>3227</v>
      </c>
      <c r="I35" s="3323">
        <v>47871.43</v>
      </c>
      <c r="J35" s="3323">
        <v>176549</v>
      </c>
      <c r="K35" s="3323">
        <v>3.69</v>
      </c>
      <c r="L35" s="3323" t="s">
        <v>3228</v>
      </c>
      <c r="M35" s="3323" t="s">
        <v>3523</v>
      </c>
      <c r="N35" s="3323" t="s">
        <v>3230</v>
      </c>
      <c r="O35" s="3323" t="s">
        <v>3231</v>
      </c>
      <c r="P35" s="3323" t="s">
        <v>3232</v>
      </c>
      <c r="Q35" s="3323" t="s">
        <v>3232</v>
      </c>
      <c r="R35" s="3323" t="s">
        <v>3232</v>
      </c>
      <c r="S35" s="3323" t="s">
        <v>3232</v>
      </c>
      <c r="T35" s="3323" t="s">
        <v>3232</v>
      </c>
      <c r="U35" s="3323" t="s">
        <v>3237</v>
      </c>
      <c r="V35" s="3323" t="s">
        <v>3237</v>
      </c>
      <c r="W35" s="3323">
        <v>0</v>
      </c>
      <c r="X35" s="3323">
        <v>0</v>
      </c>
      <c r="Y35" s="3327">
        <v>41695.000497685185</v>
      </c>
      <c r="Z35" s="3327">
        <v>41724.000497685185</v>
      </c>
      <c r="AA35" s="3327">
        <v>41739.000497685185</v>
      </c>
      <c r="AB35" s="3327">
        <v>41739.000497685185</v>
      </c>
      <c r="AC35" s="3323" t="s">
        <v>3565</v>
      </c>
      <c r="AD35" s="3323" t="s">
        <v>3233</v>
      </c>
      <c r="AE35" s="3323" t="s">
        <v>3562</v>
      </c>
      <c r="AF35" s="3323" t="s">
        <v>3563</v>
      </c>
      <c r="AG35" s="3323">
        <v>141000</v>
      </c>
      <c r="AH35" s="3323">
        <v>42000</v>
      </c>
      <c r="AI35" s="3323" t="s">
        <v>3232</v>
      </c>
      <c r="AJ35" s="3323">
        <v>346000</v>
      </c>
      <c r="AK35" s="3323">
        <v>1963.59</v>
      </c>
      <c r="AL35" s="3323">
        <v>4818.46</v>
      </c>
      <c r="AM35" s="3323">
        <v>7986</v>
      </c>
      <c r="AN35" s="3323">
        <v>19598</v>
      </c>
      <c r="AO35" s="3323" t="s">
        <v>3232</v>
      </c>
      <c r="AP35" s="3323" t="s">
        <v>3232</v>
      </c>
      <c r="AQ35" s="3323">
        <v>145.38999999999999</v>
      </c>
      <c r="AR35" s="3323" t="s">
        <v>3534</v>
      </c>
      <c r="AS35" s="3323" t="s">
        <v>3231</v>
      </c>
      <c r="AT35" s="3323" t="s">
        <v>3231</v>
      </c>
      <c r="AU35" s="3323" t="s">
        <v>3232</v>
      </c>
      <c r="AV35" s="3323" t="s">
        <v>3232</v>
      </c>
      <c r="AW35" s="3323" t="s">
        <v>3232</v>
      </c>
    </row>
    <row r="36" spans="1:49">
      <c r="A36" s="3323" t="s">
        <v>3566</v>
      </c>
      <c r="B36" s="3323" t="s">
        <v>3170</v>
      </c>
      <c r="C36" s="3323" t="s">
        <v>3226</v>
      </c>
      <c r="D36" s="3323" t="s">
        <v>3567</v>
      </c>
      <c r="E36" s="3323" t="s">
        <v>3419</v>
      </c>
      <c r="F36" s="3323" t="s">
        <v>3568</v>
      </c>
      <c r="G36" s="3323" t="s">
        <v>3569</v>
      </c>
      <c r="H36" s="3323" t="s">
        <v>3227</v>
      </c>
      <c r="I36" s="3323">
        <v>50532</v>
      </c>
      <c r="J36" s="3323">
        <v>90958</v>
      </c>
      <c r="K36" s="3323">
        <v>1.8</v>
      </c>
      <c r="L36" s="3323" t="s">
        <v>3228</v>
      </c>
      <c r="M36" s="3323" t="s">
        <v>3523</v>
      </c>
      <c r="N36" s="3323" t="s">
        <v>3230</v>
      </c>
      <c r="O36" s="3323" t="s">
        <v>3231</v>
      </c>
      <c r="P36" s="3323" t="s">
        <v>3232</v>
      </c>
      <c r="Q36" s="3323" t="s">
        <v>3232</v>
      </c>
      <c r="R36" s="3323" t="s">
        <v>3232</v>
      </c>
      <c r="S36" s="3323" t="s">
        <v>3232</v>
      </c>
      <c r="T36" s="3323" t="s">
        <v>3232</v>
      </c>
      <c r="U36" s="3323" t="s">
        <v>3232</v>
      </c>
      <c r="V36" s="3323" t="s">
        <v>3232</v>
      </c>
      <c r="W36" s="3323">
        <v>0</v>
      </c>
      <c r="X36" s="3323">
        <v>0</v>
      </c>
      <c r="Y36" s="3327">
        <v>41424.000497685185</v>
      </c>
      <c r="Z36" s="3327">
        <v>41444.000497685185</v>
      </c>
      <c r="AA36" s="3327">
        <v>41458.000497685185</v>
      </c>
      <c r="AB36" s="3327">
        <v>41458.000497685185</v>
      </c>
      <c r="AC36" s="3323" t="s">
        <v>3567</v>
      </c>
      <c r="AD36" s="3323" t="s">
        <v>3233</v>
      </c>
      <c r="AE36" s="3323" t="s">
        <v>3570</v>
      </c>
      <c r="AF36" s="3323" t="s">
        <v>3571</v>
      </c>
      <c r="AG36" s="3323">
        <v>45500</v>
      </c>
      <c r="AH36" s="3323">
        <v>11000</v>
      </c>
      <c r="AI36" s="3323" t="s">
        <v>3232</v>
      </c>
      <c r="AJ36" s="3323">
        <v>46000</v>
      </c>
      <c r="AK36" s="3323">
        <v>600.28</v>
      </c>
      <c r="AL36" s="3323">
        <v>606.88</v>
      </c>
      <c r="AM36" s="3323">
        <v>5002</v>
      </c>
      <c r="AN36" s="3323">
        <v>5057</v>
      </c>
      <c r="AO36" s="3323" t="s">
        <v>3232</v>
      </c>
      <c r="AP36" s="3323" t="s">
        <v>3232</v>
      </c>
      <c r="AQ36" s="3323">
        <v>1.1000000000000001</v>
      </c>
      <c r="AR36" s="3323" t="s">
        <v>3534</v>
      </c>
      <c r="AS36" s="3323" t="s">
        <v>3231</v>
      </c>
      <c r="AT36" s="3323" t="s">
        <v>3231</v>
      </c>
      <c r="AU36" s="3323" t="s">
        <v>3232</v>
      </c>
      <c r="AV36" s="3323" t="s">
        <v>3232</v>
      </c>
      <c r="AW36" s="3323" t="s">
        <v>3232</v>
      </c>
    </row>
    <row r="37" spans="1:49">
      <c r="A37" s="3323" t="s">
        <v>3572</v>
      </c>
      <c r="B37" s="3323" t="s">
        <v>3170</v>
      </c>
      <c r="C37" s="3323" t="s">
        <v>3226</v>
      </c>
      <c r="D37" s="3323" t="s">
        <v>3573</v>
      </c>
      <c r="E37" s="3323" t="s">
        <v>3419</v>
      </c>
      <c r="F37" s="3323" t="s">
        <v>3568</v>
      </c>
      <c r="G37" s="3323" t="s">
        <v>3569</v>
      </c>
      <c r="H37" s="3323" t="s">
        <v>3227</v>
      </c>
      <c r="I37" s="3323">
        <v>92124</v>
      </c>
      <c r="J37" s="3323">
        <v>184248</v>
      </c>
      <c r="K37" s="3323">
        <v>2</v>
      </c>
      <c r="L37" s="3323" t="s">
        <v>3228</v>
      </c>
      <c r="M37" s="3323" t="s">
        <v>3523</v>
      </c>
      <c r="N37" s="3323" t="s">
        <v>3230</v>
      </c>
      <c r="O37" s="3323" t="s">
        <v>3231</v>
      </c>
      <c r="P37" s="3323" t="s">
        <v>3232</v>
      </c>
      <c r="Q37" s="3323" t="s">
        <v>3232</v>
      </c>
      <c r="R37" s="3323" t="s">
        <v>3232</v>
      </c>
      <c r="S37" s="3323" t="s">
        <v>3232</v>
      </c>
      <c r="T37" s="3323" t="s">
        <v>3232</v>
      </c>
      <c r="U37" s="3323" t="s">
        <v>3232</v>
      </c>
      <c r="V37" s="3323" t="s">
        <v>3237</v>
      </c>
      <c r="W37" s="3323">
        <v>0</v>
      </c>
      <c r="X37" s="3323">
        <v>0</v>
      </c>
      <c r="Y37" s="3327">
        <v>41382.000497685185</v>
      </c>
      <c r="Z37" s="3327">
        <v>41402.000497685185</v>
      </c>
      <c r="AA37" s="3327">
        <v>41416.000497685185</v>
      </c>
      <c r="AB37" s="3327">
        <v>41416.000497685185</v>
      </c>
      <c r="AC37" s="3323" t="s">
        <v>3573</v>
      </c>
      <c r="AD37" s="3323" t="s">
        <v>3233</v>
      </c>
      <c r="AE37" s="3323" t="s">
        <v>3570</v>
      </c>
      <c r="AF37" s="3323" t="s">
        <v>3571</v>
      </c>
      <c r="AG37" s="3323">
        <v>55300</v>
      </c>
      <c r="AH37" s="3323">
        <v>12000</v>
      </c>
      <c r="AI37" s="3323" t="s">
        <v>3232</v>
      </c>
      <c r="AJ37" s="3323">
        <v>111500</v>
      </c>
      <c r="AK37" s="3323">
        <v>400.19</v>
      </c>
      <c r="AL37" s="3323">
        <v>806.88</v>
      </c>
      <c r="AM37" s="3323">
        <v>3001</v>
      </c>
      <c r="AN37" s="3323">
        <v>6052</v>
      </c>
      <c r="AO37" s="3323" t="s">
        <v>3232</v>
      </c>
      <c r="AP37" s="3323" t="s">
        <v>3232</v>
      </c>
      <c r="AQ37" s="3323">
        <v>101.63</v>
      </c>
      <c r="AR37" s="3323" t="s">
        <v>3534</v>
      </c>
      <c r="AS37" s="3323" t="s">
        <v>3231</v>
      </c>
      <c r="AT37" s="3323" t="s">
        <v>3231</v>
      </c>
      <c r="AU37" s="3323" t="s">
        <v>3232</v>
      </c>
      <c r="AV37" s="3323" t="s">
        <v>3232</v>
      </c>
      <c r="AW37" s="3323" t="s">
        <v>3232</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J25" sqref="J25"/>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c r="C1" s="194"/>
      <c r="D1" s="194"/>
      <c r="E1" s="194"/>
      <c r="F1" s="194"/>
      <c r="G1" s="1220">
        <f>MATCH(B1,'数据-取费表'!A6:A16,0)+5</f>
        <v>7</v>
      </c>
    </row>
    <row r="2" spans="1:9" s="196" customFormat="1" ht="18" customHeight="1">
      <c r="A2" s="197" t="s">
        <v>1904</v>
      </c>
      <c r="B2" s="198">
        <f ca="1">C52-H2</f>
        <v>286607</v>
      </c>
      <c r="C2" s="195" t="s">
        <v>1905</v>
      </c>
      <c r="D2" s="1967" t="s">
        <v>70</v>
      </c>
      <c r="E2" s="1263" t="e">
        <f ca="1">SUMIF(INDIRECT("'"&amp;G2&amp;"'"&amp;"!A:A"),"承租人权益价值",INDIRECT("'"&amp;G2&amp;"'"&amp;"!c:c"))</f>
        <v>#REF!</v>
      </c>
      <c r="F2" s="1968" t="s">
        <v>1905</v>
      </c>
      <c r="G2" s="1969"/>
      <c r="H2" s="196">
        <v>0</v>
      </c>
    </row>
    <row r="3" spans="1:9" s="196" customFormat="1" ht="18" customHeight="1" thickBot="1">
      <c r="A3" s="199" t="s">
        <v>1906</v>
      </c>
      <c r="B3" s="200">
        <f ca="1">ROUND(B2*10000/(IF(B1="",'数据-汇总表'!E3,INDIRECT("'数据-取费表'!k"&amp;$G$1))),0)</f>
        <v>16306</v>
      </c>
      <c r="C3" s="195" t="s">
        <v>1907</v>
      </c>
      <c r="D3" s="195"/>
      <c r="E3" s="195"/>
      <c r="F3" s="195"/>
      <c r="G3" s="195"/>
    </row>
    <row r="4" spans="1:9" s="204" customFormat="1" ht="16">
      <c r="A4" s="201" t="s">
        <v>1908</v>
      </c>
      <c r="B4" s="202"/>
      <c r="C4" s="202"/>
      <c r="D4" s="202"/>
      <c r="E4" s="202"/>
      <c r="F4" s="202"/>
      <c r="G4" s="203"/>
    </row>
    <row r="5" spans="1:9" s="210" customFormat="1" ht="13.5" customHeight="1">
      <c r="A5" s="251" t="s">
        <v>1909</v>
      </c>
      <c r="B5" s="206" t="s">
        <v>1910</v>
      </c>
      <c r="C5" s="207">
        <f>C6+C7+C8</f>
        <v>136927</v>
      </c>
      <c r="D5" s="207" t="s">
        <v>1911</v>
      </c>
      <c r="E5" s="208" t="s">
        <v>1912</v>
      </c>
      <c r="F5" s="208" t="s">
        <v>1913</v>
      </c>
      <c r="G5" s="209"/>
    </row>
    <row r="6" spans="1:9" s="210" customFormat="1" ht="13.5" customHeight="1">
      <c r="A6" s="847" t="s">
        <v>1914</v>
      </c>
      <c r="B6" s="211" t="s">
        <v>1915</v>
      </c>
      <c r="C6" s="212">
        <f>'土地比较法-住宅、综合'!F65</f>
        <v>129633</v>
      </c>
      <c r="D6" s="213"/>
      <c r="E6" s="214"/>
      <c r="F6" s="214"/>
      <c r="G6" s="215"/>
    </row>
    <row r="7" spans="1:9" s="210" customFormat="1" ht="13.5" customHeight="1">
      <c r="A7" s="847" t="s">
        <v>1916</v>
      </c>
      <c r="B7" s="211" t="s">
        <v>1917</v>
      </c>
      <c r="C7" s="216">
        <f>ROUND(C6*F7,0)</f>
        <v>3954</v>
      </c>
      <c r="D7" s="216"/>
      <c r="E7" s="214"/>
      <c r="F7" s="217">
        <f>IF(项目基本情况!B8="出让",0,'数据-取费表'!B48+'数据-取费表'!B49)</f>
        <v>3.0499999999999999E-2</v>
      </c>
      <c r="G7" s="215"/>
    </row>
    <row r="8" spans="1:9" s="219" customFormat="1" ht="13">
      <c r="A8" s="847" t="s">
        <v>1918</v>
      </c>
      <c r="B8" s="211" t="s">
        <v>1919</v>
      </c>
      <c r="C8" s="216">
        <f>IF(G8="已包含在土地购买价格中","0",IF(B1="",'数据-取费表'!B29,IF(G9="全部缴纳",C9+C10,H9)))</f>
        <v>3340</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1926</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1926</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175770.51</v>
      </c>
      <c r="E19" s="207">
        <f>'数据-取费表'!B31</f>
        <v>200</v>
      </c>
      <c r="F19" s="227"/>
      <c r="G19" s="1970" t="s">
        <v>3649</v>
      </c>
    </row>
    <row r="20" spans="1:7" s="210" customFormat="1" ht="13.5" customHeight="1">
      <c r="A20" s="251" t="s">
        <v>1935</v>
      </c>
      <c r="B20" s="206" t="s">
        <v>1936</v>
      </c>
      <c r="C20" s="228">
        <f>ROUND((C5+C19)*F20,0)</f>
        <v>2739</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18162</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1944</v>
      </c>
      <c r="B23" s="211" t="s">
        <v>1945</v>
      </c>
      <c r="C23" s="1197">
        <f ca="1">ROUND(IF('数据-取费表'!B22&lt;=1,C5*F22*'数据-取费表'!B23,C5*(POWER((1+F22),'数据-取费表'!B23)-1)),0)</f>
        <v>17988</v>
      </c>
      <c r="D23" s="234"/>
      <c r="E23" s="234"/>
      <c r="F23" s="235"/>
      <c r="G23" s="236" t="s">
        <v>1946</v>
      </c>
    </row>
    <row r="24" spans="1:7" s="210" customFormat="1" ht="13.5" customHeight="1">
      <c r="A24" s="849" t="s">
        <v>1947</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1950</v>
      </c>
      <c r="B25" s="211" t="s">
        <v>1951</v>
      </c>
      <c r="C25" s="1197">
        <f ca="1">ROUND(IF('数据-取费表'!B22&lt;=1,C20*F22*'数据-取费表'!B23/2,C20*(POWER((1+F22),'数据-取费表'!B23/2)-1)),0)</f>
        <v>174</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20950</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20950</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193629</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70762</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1968</v>
      </c>
    </row>
    <row r="35" spans="1:7" ht="13.5" customHeight="1">
      <c r="A35" s="849" t="s">
        <v>615</v>
      </c>
      <c r="B35" s="211" t="s">
        <v>1969</v>
      </c>
      <c r="C35" s="216">
        <f ca="1">ROUND(C34*F35,0)</f>
        <v>1931</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3515</v>
      </c>
      <c r="D37" s="213">
        <f ca="1">D19</f>
        <v>175770.51</v>
      </c>
      <c r="E37" s="245">
        <f>'数据-取费表'!B35</f>
        <v>200</v>
      </c>
      <c r="F37" s="255"/>
      <c r="G37" s="257" t="s">
        <v>1974</v>
      </c>
    </row>
    <row r="38" spans="1:7" ht="13.5" customHeight="1">
      <c r="A38" s="849" t="s">
        <v>618</v>
      </c>
      <c r="B38" s="211" t="s">
        <v>1975</v>
      </c>
      <c r="C38" s="216">
        <f ca="1">ROUND(C34*F38,0)</f>
        <v>965</v>
      </c>
      <c r="D38" s="216"/>
      <c r="E38" s="216"/>
      <c r="F38" s="255">
        <f>'数据-取费表'!B36</f>
        <v>1.4999999999999999E-2</v>
      </c>
      <c r="G38" s="215" t="s">
        <v>1970</v>
      </c>
    </row>
    <row r="39" spans="1:7" s="210" customFormat="1" ht="13.5" customHeight="1">
      <c r="A39" s="251" t="s">
        <v>1976</v>
      </c>
      <c r="B39" s="206" t="s">
        <v>1977</v>
      </c>
      <c r="C39" s="228">
        <f ca="1">ROUND(C33*F20,0)</f>
        <v>1415</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ROUND(IF('数据-取费表'!B22&lt;=1,C33*F22*'数据-取费表'!B21/2,C33*(POWER((1+F22),'数据-取费表'!B21/2)-1)),0)</f>
        <v>4504</v>
      </c>
      <c r="D42" s="234"/>
      <c r="E42" s="234"/>
      <c r="F42" s="235"/>
      <c r="G42" s="3629" t="s">
        <v>1986</v>
      </c>
    </row>
    <row r="43" spans="1:7" ht="13.5" customHeight="1">
      <c r="A43" s="849" t="s">
        <v>611</v>
      </c>
      <c r="B43" s="211" t="s">
        <v>1987</v>
      </c>
      <c r="C43" s="234">
        <f ca="1">ROUND(IF('数据-取费表'!B22&lt;=1,C39*F22*'数据-取费表'!B21/2,C39*(POWER((1+F22),'数据-取费表'!B21/2)-1)),0)</f>
        <v>90</v>
      </c>
      <c r="D43" s="234"/>
      <c r="E43" s="234"/>
      <c r="F43" s="235"/>
      <c r="G43" s="3630"/>
    </row>
    <row r="44" spans="1:7" ht="13.5" customHeight="1">
      <c r="A44" s="849" t="s">
        <v>612</v>
      </c>
      <c r="B44" s="211" t="s">
        <v>1988</v>
      </c>
      <c r="C44" s="234">
        <f ca="1">ROUND(IF('数据-取费表'!B22&lt;=1,C40*F22*'数据-取费表'!B21/2,C40*(POWER((1+F22),'数据-取费表'!B21/2)-1)),4)</f>
        <v>1.2999999999999999E-3</v>
      </c>
      <c r="D44" s="234"/>
      <c r="E44" s="234"/>
      <c r="F44" s="235"/>
      <c r="G44" s="3631"/>
    </row>
    <row r="45" spans="1:7" s="210" customFormat="1" ht="13.5" customHeight="1">
      <c r="A45" s="251" t="s">
        <v>1989</v>
      </c>
      <c r="B45" s="240" t="s">
        <v>1955</v>
      </c>
      <c r="C45" s="241">
        <f ca="1">C46</f>
        <v>10827</v>
      </c>
      <c r="D45" s="231">
        <f ca="1">C47</f>
        <v>3.0000000000000001E-3</v>
      </c>
      <c r="E45" s="232" t="s">
        <v>1981</v>
      </c>
      <c r="F45" s="2465">
        <f ca="1">F27</f>
        <v>0.15</v>
      </c>
      <c r="G45" s="243" t="s">
        <v>1990</v>
      </c>
    </row>
    <row r="46" spans="1:7" s="210" customFormat="1" ht="13.5" customHeight="1">
      <c r="A46" s="849" t="s">
        <v>610</v>
      </c>
      <c r="B46" s="244" t="s">
        <v>1991</v>
      </c>
      <c r="C46" s="245">
        <f ca="1">ROUND((C33+C39)*F27,0)</f>
        <v>10827</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94875</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92978</v>
      </c>
      <c r="D51" s="228"/>
      <c r="E51" s="228"/>
      <c r="F51" s="260"/>
      <c r="G51" s="230" t="s">
        <v>2002</v>
      </c>
    </row>
    <row r="52" spans="1:7" s="204" customFormat="1" ht="16.5" thickBot="1">
      <c r="A52" s="261" t="s">
        <v>2003</v>
      </c>
      <c r="B52" s="262"/>
      <c r="C52" s="263">
        <f ca="1">C31+C51</f>
        <v>286607</v>
      </c>
      <c r="D52" s="262"/>
      <c r="E52" s="262"/>
      <c r="F52" s="262"/>
      <c r="G52" s="264"/>
    </row>
    <row r="55" spans="1:7" ht="15.5">
      <c r="B55" s="266" t="s">
        <v>2004</v>
      </c>
      <c r="C55" s="267"/>
    </row>
    <row r="56" spans="1:7" ht="13">
      <c r="B56" s="269" t="s">
        <v>1234</v>
      </c>
      <c r="C56" s="271">
        <f ca="1">1-C57</f>
        <v>0.67599999999999993</v>
      </c>
    </row>
    <row r="57" spans="1:7" ht="13">
      <c r="B57" s="269" t="s">
        <v>1235</v>
      </c>
      <c r="C57" s="270">
        <f ca="1">ROUND(C51/C52,3)</f>
        <v>0.32400000000000001</v>
      </c>
    </row>
  </sheetData>
  <sheetProtection formatCells="0"/>
  <mergeCells count="1">
    <mergeCell ref="G42:G44"/>
  </mergeCells>
  <phoneticPr fontId="143"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8" width="10.90625" style="247" customWidth="1"/>
    <col min="9" max="254" width="9" style="247" customWidth="1"/>
    <col min="255" max="16384" width="8.36328125" style="247"/>
  </cols>
  <sheetData>
    <row r="1" spans="1:8" s="196" customFormat="1" ht="21">
      <c r="A1" s="192" t="s">
        <v>1903</v>
      </c>
      <c r="B1" s="1583"/>
      <c r="C1" s="1973" t="s">
        <v>2005</v>
      </c>
      <c r="D1" s="194"/>
      <c r="E1" s="194"/>
      <c r="F1" s="194"/>
      <c r="G1" s="1220">
        <f>MATCH(B1,'数据-取费表'!A6:A16,0)+5</f>
        <v>7</v>
      </c>
      <c r="H1" s="1152" t="str">
        <f>IF(ISERROR(FIND("住宅",B1)),"非住宅","住宅")</f>
        <v>非住宅</v>
      </c>
    </row>
    <row r="2" spans="1:8" s="196" customFormat="1" ht="18" customHeight="1">
      <c r="A2" s="197" t="s">
        <v>1904</v>
      </c>
      <c r="B2" s="198">
        <f ca="1">ROUND(IF(D2="——",C52/10000,C52/10000-E2),0)</f>
        <v>102671</v>
      </c>
      <c r="C2" s="195" t="s">
        <v>1905</v>
      </c>
      <c r="D2" s="1967" t="s">
        <v>70</v>
      </c>
      <c r="E2" s="1263" t="e">
        <f ca="1">SUMIF(INDIRECT("'"&amp;G2&amp;"'"&amp;"!A:A"),"承租人权益价值",INDIRECT("'"&amp;G2&amp;"'"&amp;"!c:c"))</f>
        <v>#REF!</v>
      </c>
      <c r="F2" s="1968" t="s">
        <v>1905</v>
      </c>
      <c r="G2" s="1969"/>
    </row>
    <row r="3" spans="1:8" s="196" customFormat="1" ht="18" customHeight="1" thickBot="1">
      <c r="A3" s="199" t="s">
        <v>1906</v>
      </c>
      <c r="B3" s="200">
        <f ca="1">ROUND(B2*10000/(IF(B1="",'数据-汇总表'!E3,INDIRECT("'数据-取费表'!k"&amp;$G$1))),0)</f>
        <v>5841</v>
      </c>
      <c r="C3" s="195" t="s">
        <v>1907</v>
      </c>
      <c r="D3" s="195"/>
      <c r="E3" s="195"/>
      <c r="F3" s="195"/>
      <c r="G3" s="195"/>
    </row>
    <row r="4" spans="1:8" s="204" customFormat="1" ht="16">
      <c r="A4" s="201" t="s">
        <v>1908</v>
      </c>
      <c r="B4" s="202"/>
      <c r="C4" s="202"/>
      <c r="D4" s="202"/>
      <c r="E4" s="202"/>
      <c r="F4" s="202"/>
      <c r="G4" s="203"/>
    </row>
    <row r="5" spans="1:8" s="210" customFormat="1" ht="13.5" customHeight="1">
      <c r="A5" s="251" t="s">
        <v>1909</v>
      </c>
      <c r="B5" s="206" t="s">
        <v>1910</v>
      </c>
      <c r="C5" s="207">
        <f ca="1">C6+C7+C8</f>
        <v>33396397</v>
      </c>
      <c r="D5" s="207" t="s">
        <v>1911</v>
      </c>
      <c r="E5" s="208" t="s">
        <v>1912</v>
      </c>
      <c r="F5" s="208" t="s">
        <v>1913</v>
      </c>
      <c r="G5" s="209"/>
    </row>
    <row r="6" spans="1:8" s="210" customFormat="1" ht="13.5" customHeight="1">
      <c r="A6" s="847" t="s">
        <v>1914</v>
      </c>
      <c r="B6" s="211" t="s">
        <v>1915</v>
      </c>
      <c r="C6" s="212"/>
      <c r="D6" s="213"/>
      <c r="E6" s="214"/>
      <c r="F6" s="214"/>
      <c r="G6" s="215"/>
    </row>
    <row r="7" spans="1:8" s="210" customFormat="1" ht="13.5" customHeight="1">
      <c r="A7" s="847" t="s">
        <v>1916</v>
      </c>
      <c r="B7" s="211" t="s">
        <v>1917</v>
      </c>
      <c r="C7" s="216">
        <f>ROUND(C6*F7,0)</f>
        <v>0</v>
      </c>
      <c r="D7" s="216"/>
      <c r="E7" s="214"/>
      <c r="F7" s="217">
        <f>IF(项目基本情况!B8="出让",0,'数据-取费表'!B48+'数据-取费表'!B49)</f>
        <v>3.0499999999999999E-2</v>
      </c>
      <c r="G7" s="215"/>
    </row>
    <row r="8" spans="1:8" s="219" customFormat="1" ht="13">
      <c r="A8" s="847" t="s">
        <v>1918</v>
      </c>
      <c r="B8" s="211" t="s">
        <v>1919</v>
      </c>
      <c r="C8" s="216">
        <f ca="1">IF(G8="已包含在土地购买价格中",0,C9+C10)</f>
        <v>33396397</v>
      </c>
      <c r="D8" s="218"/>
      <c r="E8" s="216"/>
      <c r="F8" s="217"/>
      <c r="G8" s="1970"/>
    </row>
    <row r="9" spans="1:8" s="210" customFormat="1" ht="13.5" customHeight="1">
      <c r="A9" s="848" t="s">
        <v>619</v>
      </c>
      <c r="B9" s="220" t="s">
        <v>1920</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620</v>
      </c>
      <c r="B10" s="220" t="s">
        <v>1922</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1923</v>
      </c>
      <c r="C11" s="207"/>
      <c r="D11" s="917"/>
      <c r="E11" s="214"/>
      <c r="F11" s="214"/>
      <c r="G11" s="215"/>
    </row>
    <row r="12" spans="1:8" s="210" customFormat="1" ht="13.5" hidden="1" customHeight="1">
      <c r="A12" s="223" t="s">
        <v>8</v>
      </c>
      <c r="B12" s="211" t="s">
        <v>2006</v>
      </c>
      <c r="C12" s="207">
        <v>0</v>
      </c>
      <c r="D12" s="917"/>
      <c r="E12" s="224"/>
      <c r="F12" s="217">
        <v>3.0499999999999999E-2</v>
      </c>
      <c r="G12" s="215"/>
    </row>
    <row r="13" spans="1:8" s="210" customFormat="1" ht="13.5" hidden="1" customHeight="1">
      <c r="A13" s="223" t="s">
        <v>9</v>
      </c>
      <c r="B13" s="211" t="s">
        <v>2007</v>
      </c>
      <c r="C13" s="207"/>
      <c r="D13" s="917"/>
      <c r="E13" s="214"/>
      <c r="F13" s="214"/>
      <c r="G13" s="215"/>
    </row>
    <row r="14" spans="1:8" s="210" customFormat="1" ht="13.5" hidden="1" customHeight="1">
      <c r="A14" s="223" t="s">
        <v>10</v>
      </c>
      <c r="B14" s="211" t="s">
        <v>1919</v>
      </c>
      <c r="C14" s="207"/>
      <c r="D14" s="917"/>
      <c r="E14" s="214"/>
      <c r="F14" s="214"/>
      <c r="G14" s="215" t="s">
        <v>2008</v>
      </c>
    </row>
    <row r="15" spans="1:8" s="210" customFormat="1" ht="13.5" hidden="1" customHeight="1">
      <c r="A15" s="223" t="s">
        <v>11</v>
      </c>
      <c r="B15" s="211" t="s">
        <v>2009</v>
      </c>
      <c r="C15" s="216"/>
      <c r="D15" s="917"/>
      <c r="E15" s="214"/>
      <c r="F15" s="214"/>
      <c r="G15" s="215" t="s">
        <v>2010</v>
      </c>
    </row>
    <row r="16" spans="1:8" s="210" customFormat="1" ht="13.5" hidden="1" customHeight="1">
      <c r="A16" s="223" t="s">
        <v>12</v>
      </c>
      <c r="B16" s="211" t="s">
        <v>1919</v>
      </c>
      <c r="C16" s="216"/>
      <c r="D16" s="917"/>
      <c r="E16" s="214"/>
      <c r="F16" s="214"/>
      <c r="G16" s="215"/>
    </row>
    <row r="17" spans="1:7" s="210" customFormat="1" ht="13.5" hidden="1" customHeight="1">
      <c r="A17" s="223" t="s">
        <v>13</v>
      </c>
      <c r="B17" s="211" t="s">
        <v>2011</v>
      </c>
      <c r="C17" s="225"/>
      <c r="D17" s="918"/>
      <c r="E17" s="225"/>
      <c r="F17" s="225"/>
      <c r="G17" s="215" t="s">
        <v>2010</v>
      </c>
    </row>
    <row r="18" spans="1:7" s="210" customFormat="1" ht="13.5" hidden="1" customHeight="1">
      <c r="A18" s="223" t="s">
        <v>14</v>
      </c>
      <c r="B18" s="211" t="s">
        <v>2012</v>
      </c>
      <c r="C18" s="216">
        <v>0</v>
      </c>
      <c r="D18" s="917"/>
      <c r="E18" s="214"/>
      <c r="F18" s="217">
        <v>3.0499999999999999E-2</v>
      </c>
      <c r="G18" s="215" t="s">
        <v>2013</v>
      </c>
    </row>
    <row r="19" spans="1:7" s="219" customFormat="1" ht="13.5" customHeight="1">
      <c r="A19" s="251" t="s">
        <v>2014</v>
      </c>
      <c r="B19" s="206" t="s">
        <v>2015</v>
      </c>
      <c r="C19" s="207">
        <f ca="1">IF(G19="已包含在土地取得成本中","0",ROUND(D19*E19,0))</f>
        <v>35154102</v>
      </c>
      <c r="D19" s="919">
        <f ca="1">D9+D10</f>
        <v>175770.51</v>
      </c>
      <c r="E19" s="207">
        <f>'数据-取费表'!B31</f>
        <v>200</v>
      </c>
      <c r="F19" s="227"/>
      <c r="G19" s="1970"/>
    </row>
    <row r="20" spans="1:7" s="210" customFormat="1" ht="13.5" customHeight="1">
      <c r="A20" s="251" t="s">
        <v>2016</v>
      </c>
      <c r="B20" s="206" t="s">
        <v>2017</v>
      </c>
      <c r="C20" s="228">
        <f ca="1">ROUND((C5+C19)*F20,0)</f>
        <v>1371010</v>
      </c>
      <c r="D20" s="228"/>
      <c r="E20" s="228"/>
      <c r="F20" s="229">
        <f>'数据-取费表'!B37</f>
        <v>0.02</v>
      </c>
      <c r="G20" s="230" t="s">
        <v>2018</v>
      </c>
    </row>
    <row r="21" spans="1:7" s="210" customFormat="1" ht="13.5" customHeight="1">
      <c r="A21" s="251" t="s">
        <v>2019</v>
      </c>
      <c r="B21" s="206" t="s">
        <v>2020</v>
      </c>
      <c r="C21" s="231">
        <f>F21</f>
        <v>0.02</v>
      </c>
      <c r="D21" s="232" t="s">
        <v>2021</v>
      </c>
      <c r="E21" s="228"/>
      <c r="F21" s="229">
        <f>'数据-取费表'!B38</f>
        <v>0.02</v>
      </c>
      <c r="G21" s="230" t="s">
        <v>2022</v>
      </c>
    </row>
    <row r="22" spans="1:7" s="210" customFormat="1" ht="13.5" customHeight="1">
      <c r="A22" s="251" t="s">
        <v>2023</v>
      </c>
      <c r="B22" s="206" t="s">
        <v>2024</v>
      </c>
      <c r="C22" s="1221">
        <f ca="1">ROUND(SUM(C23:C25),0)</f>
        <v>9092485</v>
      </c>
      <c r="D22" s="231">
        <f ca="1">C26</f>
        <v>1.2999999999999999E-3</v>
      </c>
      <c r="E22" s="232" t="s">
        <v>2021</v>
      </c>
      <c r="F22" s="233">
        <f ca="1">'数据-取费表'!B40</f>
        <v>4.2000000000000003E-2</v>
      </c>
      <c r="G22" s="230" t="str">
        <f>IF('数据-取费表'!B22&lt;=1,"单利计息","复利计息")</f>
        <v>复利计息</v>
      </c>
    </row>
    <row r="23" spans="1:7" s="210" customFormat="1" ht="13.5" customHeight="1">
      <c r="A23" s="849" t="s">
        <v>1914</v>
      </c>
      <c r="B23" s="211" t="s">
        <v>2025</v>
      </c>
      <c r="C23" s="1222">
        <f ca="1">ROUND(IF('数据-取费表'!B22&lt;=1,C5*F22*'数据-取费表'!B22,C5*(POWER((1+F22),'数据-取费表'!B22)-1)),0)</f>
        <v>4387154</v>
      </c>
      <c r="D23" s="234"/>
      <c r="E23" s="234"/>
      <c r="F23" s="235"/>
      <c r="G23" s="236" t="s">
        <v>2026</v>
      </c>
    </row>
    <row r="24" spans="1:7" s="210" customFormat="1" ht="13.5" customHeight="1">
      <c r="A24" s="849" t="s">
        <v>1916</v>
      </c>
      <c r="B24" s="211" t="s">
        <v>2027</v>
      </c>
      <c r="C24" s="1222">
        <f ca="1">ROUND(IF('数据-取费表'!B22&lt;=1,C19*F22*('数据-取费表'!B19/2+'数据-取费表'!B20),C19*(POWER((1+F22),('数据-取费表'!B19/2+'数据-取费表'!B20))-1)),0)</f>
        <v>4618057</v>
      </c>
      <c r="D24" s="234"/>
      <c r="E24" s="234"/>
      <c r="F24" s="235"/>
      <c r="G24" s="236" t="s">
        <v>2028</v>
      </c>
    </row>
    <row r="25" spans="1:7" s="210" customFormat="1" ht="26">
      <c r="A25" s="849" t="s">
        <v>1918</v>
      </c>
      <c r="B25" s="211" t="s">
        <v>2029</v>
      </c>
      <c r="C25" s="1222">
        <f ca="1">ROUND(IF('数据-取费表'!B22&lt;=1,C20*F22*'数据-取费表'!B22/2,C20*(POWER((1+F22),'数据-取费表'!B22/2)-1)),0)</f>
        <v>87274</v>
      </c>
      <c r="D25" s="234"/>
      <c r="E25" s="237"/>
      <c r="F25" s="235"/>
      <c r="G25" s="238" t="s">
        <v>2030</v>
      </c>
    </row>
    <row r="26" spans="1:7" s="210" customFormat="1" ht="13">
      <c r="A26" s="849" t="s">
        <v>614</v>
      </c>
      <c r="B26" s="211" t="s">
        <v>1953</v>
      </c>
      <c r="C26" s="234">
        <f ca="1">ROUND(IF('数据-取费表'!B22&lt;=1,F21*F22*'数据-取费表'!B22/2,F21*(POWER((1+F22),'数据-取费表'!B22/2)-1)),4)</f>
        <v>1.2999999999999999E-3</v>
      </c>
      <c r="D26" s="234"/>
      <c r="E26" s="237"/>
      <c r="F26" s="235"/>
      <c r="G26" s="239"/>
    </row>
    <row r="27" spans="1:7" s="210" customFormat="1" ht="27">
      <c r="A27" s="251" t="s">
        <v>1954</v>
      </c>
      <c r="B27" s="240" t="s">
        <v>1955</v>
      </c>
      <c r="C27" s="241">
        <f ca="1">C28</f>
        <v>10488226</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ROUND((C5+C19+C20)*F27,0)</f>
        <v>10488226</v>
      </c>
      <c r="D28" s="231"/>
      <c r="E28" s="232"/>
      <c r="F28" s="242"/>
      <c r="G28" s="243"/>
    </row>
    <row r="29" spans="1:7" s="210" customFormat="1" ht="13.5" customHeight="1">
      <c r="A29" s="849" t="s">
        <v>611</v>
      </c>
      <c r="B29" s="244" t="s">
        <v>1959</v>
      </c>
      <c r="C29" s="234">
        <f ca="1">ROUND(C21*F27,4)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96937312</v>
      </c>
      <c r="D31" s="226"/>
      <c r="E31" s="207"/>
      <c r="F31" s="246"/>
      <c r="G31" s="230" t="s">
        <v>1964</v>
      </c>
    </row>
    <row r="32" spans="1:7" s="204" customFormat="1" ht="16">
      <c r="A32" s="248" t="s">
        <v>2031</v>
      </c>
      <c r="B32" s="249"/>
      <c r="C32" s="249"/>
      <c r="D32" s="249"/>
      <c r="E32" s="249"/>
      <c r="F32" s="249"/>
      <c r="G32" s="250"/>
    </row>
    <row r="33" spans="1:7" s="210" customFormat="1" ht="13.5" customHeight="1">
      <c r="A33" s="251" t="s">
        <v>601</v>
      </c>
      <c r="B33" s="206" t="s">
        <v>2032</v>
      </c>
      <c r="C33" s="252">
        <f ca="1">SUM(C34:C38)</f>
        <v>707615333</v>
      </c>
      <c r="D33" s="228"/>
      <c r="E33" s="208"/>
      <c r="F33" s="237"/>
      <c r="G33" s="230"/>
    </row>
    <row r="34" spans="1:7" s="254" customFormat="1" ht="13.5" customHeight="1">
      <c r="A34" s="849" t="s">
        <v>610</v>
      </c>
      <c r="B34" s="211" t="s">
        <v>1967</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615</v>
      </c>
      <c r="B35" s="211" t="s">
        <v>1969</v>
      </c>
      <c r="C35" s="216">
        <f ca="1">ROUND(C34*F35,0)</f>
        <v>19305107</v>
      </c>
      <c r="D35" s="216"/>
      <c r="E35" s="216"/>
      <c r="F35" s="255">
        <f>'数据-取费表'!B33</f>
        <v>0.03</v>
      </c>
      <c r="G35" s="215" t="s">
        <v>1970</v>
      </c>
    </row>
    <row r="36" spans="1:7" ht="26">
      <c r="A36" s="849" t="s">
        <v>616</v>
      </c>
      <c r="B36" s="211" t="s">
        <v>1971</v>
      </c>
      <c r="C36" s="216">
        <f ca="1">ROUND(IF(B1="",SUM('数据-取费表'!AP6:AP13)*F36,IF(INDIRECT("'数据-取费表'!c"&amp;$G$1)="住宅",INDIRECT("'数据-取费表'!k"&amp;$G$1)*INDIRECT("'数据-取费表'!l"&amp;$G$1)*F36,0)),0)</f>
        <v>0</v>
      </c>
      <c r="D36" s="216"/>
      <c r="E36" s="216"/>
      <c r="F36" s="255">
        <f>'数据-取费表'!B34</f>
        <v>0</v>
      </c>
      <c r="G36" s="256" t="s">
        <v>1972</v>
      </c>
    </row>
    <row r="37" spans="1:7" s="254" customFormat="1" ht="13.5" customHeight="1">
      <c r="A37" s="849" t="s">
        <v>617</v>
      </c>
      <c r="B37" s="211" t="s">
        <v>1973</v>
      </c>
      <c r="C37" s="245">
        <f ca="1">ROUND(E37*D37,0)</f>
        <v>35154102</v>
      </c>
      <c r="D37" s="213">
        <f ca="1">D19</f>
        <v>175770.51</v>
      </c>
      <c r="E37" s="245">
        <f>'数据-取费表'!B35</f>
        <v>200</v>
      </c>
      <c r="F37" s="255"/>
      <c r="G37" s="257"/>
    </row>
    <row r="38" spans="1:7" ht="13.5" customHeight="1">
      <c r="A38" s="849" t="s">
        <v>618</v>
      </c>
      <c r="B38" s="211" t="s">
        <v>1975</v>
      </c>
      <c r="C38" s="216">
        <f ca="1">ROUND(C34*F38,0)</f>
        <v>9652554</v>
      </c>
      <c r="D38" s="216"/>
      <c r="E38" s="216"/>
      <c r="F38" s="255">
        <f>'数据-取费表'!B36</f>
        <v>1.4999999999999999E-2</v>
      </c>
      <c r="G38" s="215" t="s">
        <v>1970</v>
      </c>
    </row>
    <row r="39" spans="1:7" s="210" customFormat="1" ht="13.5" customHeight="1">
      <c r="A39" s="251" t="s">
        <v>1976</v>
      </c>
      <c r="B39" s="206" t="s">
        <v>1977</v>
      </c>
      <c r="C39" s="228">
        <f ca="1">ROUND(C33*F20,0)</f>
        <v>14152307</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45945520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ROUND(IF('数据-取费表'!B22&lt;=1,C33*F22*'数据-取费表'!B20/2,C33*(POWER((1+F22),'数据-取费表'!B20/2)-1)),0)</f>
        <v>45044627</v>
      </c>
      <c r="D42" s="234"/>
      <c r="E42" s="234"/>
      <c r="F42" s="235"/>
      <c r="G42" s="3629" t="s">
        <v>2033</v>
      </c>
    </row>
    <row r="43" spans="1:7" ht="13.5" customHeight="1">
      <c r="A43" s="849" t="s">
        <v>611</v>
      </c>
      <c r="B43" s="211" t="s">
        <v>1987</v>
      </c>
      <c r="C43" s="234">
        <f ca="1">ROUND(IF('数据-取费表'!B22&lt;=1,C39*F22*'数据-取费表'!B20/2,C39*(POWER((1+F22),'数据-取费表'!B20/2)-1)),0)</f>
        <v>900893</v>
      </c>
      <c r="D43" s="234"/>
      <c r="E43" s="234"/>
      <c r="F43" s="235"/>
      <c r="G43" s="3630"/>
    </row>
    <row r="44" spans="1:7" ht="13.5" customHeight="1">
      <c r="A44" s="849" t="s">
        <v>612</v>
      </c>
      <c r="B44" s="211" t="s">
        <v>1988</v>
      </c>
      <c r="C44" s="234">
        <f ca="1">ROUND(IF('数据-取费表'!B22&lt;=1,C40*F22*'数据-取费表'!B20/2,C40*(POWER((1+F22),'数据-取费表'!B20/2)-1)),4)</f>
        <v>1.2999999999999999E-3</v>
      </c>
      <c r="D44" s="234"/>
      <c r="E44" s="234"/>
      <c r="F44" s="235"/>
      <c r="G44" s="3631"/>
    </row>
    <row r="45" spans="1:7" s="210" customFormat="1" ht="13.5" customHeight="1">
      <c r="A45" s="251" t="s">
        <v>1989</v>
      </c>
      <c r="B45" s="240" t="s">
        <v>1955</v>
      </c>
      <c r="C45" s="241">
        <f ca="1">C46</f>
        <v>108265146</v>
      </c>
      <c r="D45" s="231">
        <f ca="1">C47</f>
        <v>3.0000000000000001E-3</v>
      </c>
      <c r="E45" s="232" t="s">
        <v>1981</v>
      </c>
      <c r="F45" s="2465">
        <f ca="1">F27</f>
        <v>0.15</v>
      </c>
      <c r="G45" s="243" t="s">
        <v>1990</v>
      </c>
    </row>
    <row r="46" spans="1:7" s="210" customFormat="1" ht="13.5" customHeight="1">
      <c r="A46" s="849" t="s">
        <v>610</v>
      </c>
      <c r="B46" s="244" t="s">
        <v>1991</v>
      </c>
      <c r="C46" s="245">
        <f ca="1">ROUND((C33+C39)*F27,0)</f>
        <v>108265146</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258">
        <f>ROUND(F30/(1+'数据-取费表'!C42),4)</f>
        <v>5.2400000000000002E-2</v>
      </c>
      <c r="D48" s="232" t="s">
        <v>1981</v>
      </c>
      <c r="E48" s="228"/>
      <c r="F48" s="2464">
        <f>F30</f>
        <v>5.5000000000000007E-2</v>
      </c>
      <c r="G48" s="230" t="s">
        <v>1994</v>
      </c>
    </row>
    <row r="49" spans="1:7" ht="16.5" customHeight="1">
      <c r="A49" s="251" t="s">
        <v>1960</v>
      </c>
      <c r="B49" s="206" t="s">
        <v>2034</v>
      </c>
      <c r="C49" s="228">
        <f ca="1">ROUND((C33+C39+C41+C45)/(1-C40-D41-D45-C48),0)</f>
        <v>948747218</v>
      </c>
      <c r="D49" s="228"/>
      <c r="E49" s="228"/>
      <c r="F49" s="260"/>
      <c r="G49" s="230" t="s">
        <v>1996</v>
      </c>
    </row>
    <row r="50" spans="1:7" s="254" customFormat="1" ht="13.5">
      <c r="A50" s="251" t="s">
        <v>1997</v>
      </c>
      <c r="B50" s="206" t="s">
        <v>1998</v>
      </c>
      <c r="C50" s="228"/>
      <c r="D50" s="228"/>
      <c r="E50" s="228"/>
      <c r="F50" s="260">
        <f>IF('数据-取费表'!B24=0,'数据-取费表'!N16,1)</f>
        <v>0.98</v>
      </c>
      <c r="G50" s="243"/>
    </row>
    <row r="51" spans="1:7" ht="16.5" customHeight="1">
      <c r="A51" s="251" t="s">
        <v>2000</v>
      </c>
      <c r="B51" s="206" t="s">
        <v>2035</v>
      </c>
      <c r="C51" s="228">
        <f ca="1">ROUND(C49*F50,0)</f>
        <v>929772274</v>
      </c>
      <c r="D51" s="228"/>
      <c r="E51" s="228"/>
      <c r="F51" s="260"/>
      <c r="G51" s="230" t="s">
        <v>2002</v>
      </c>
    </row>
    <row r="52" spans="1:7" s="204" customFormat="1" ht="16.5" thickBot="1">
      <c r="A52" s="261" t="s">
        <v>2003</v>
      </c>
      <c r="B52" s="262"/>
      <c r="C52" s="263">
        <f ca="1">C31+C51</f>
        <v>1026709586</v>
      </c>
      <c r="D52" s="262"/>
      <c r="E52" s="262"/>
      <c r="F52" s="262"/>
      <c r="G52" s="264"/>
    </row>
    <row r="55" spans="1:7" ht="15.5">
      <c r="B55" s="266" t="s">
        <v>2004</v>
      </c>
      <c r="C55" s="267"/>
    </row>
    <row r="56" spans="1:7" ht="13">
      <c r="B56" s="269" t="s">
        <v>1234</v>
      </c>
      <c r="C56" s="271">
        <f ca="1">1-C57</f>
        <v>9.3999999999999972E-2</v>
      </c>
    </row>
    <row r="57" spans="1:7" ht="13">
      <c r="B57" s="269" t="s">
        <v>1235</v>
      </c>
      <c r="C57" s="270">
        <f ca="1">ROUND(C51/C52,3)</f>
        <v>0.90600000000000003</v>
      </c>
    </row>
  </sheetData>
  <sheetProtection password="CEE9" sheet="1" objects="1" scenarios="1" formatCells="0"/>
  <mergeCells count="1">
    <mergeCell ref="G42:G44"/>
  </mergeCells>
  <phoneticPr fontId="143"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90625" style="723" customWidth="1"/>
    <col min="2" max="2" width="25.90625" style="850" customWidth="1"/>
    <col min="3" max="3" width="10.36328125" style="893" customWidth="1"/>
    <col min="4" max="4" width="9.90625" style="850" customWidth="1"/>
    <col min="5" max="5" width="9.453125" style="723" customWidth="1"/>
    <col min="6" max="6" width="10.08984375" style="850" customWidth="1"/>
    <col min="7" max="7" width="10.90625" style="850" customWidth="1"/>
    <col min="8" max="8" width="10" style="850" customWidth="1"/>
    <col min="9" max="11" width="9.453125" style="850" customWidth="1"/>
    <col min="12" max="12" width="9" style="850" customWidth="1"/>
    <col min="13" max="13" width="10.453125" style="850" bestFit="1" customWidth="1"/>
    <col min="14" max="254" width="9" style="850" customWidth="1"/>
    <col min="255" max="16384" width="6.6328125" style="850"/>
  </cols>
  <sheetData>
    <row r="1" spans="1:33" ht="21">
      <c r="A1" s="192" t="s">
        <v>2036</v>
      </c>
      <c r="B1" s="1284"/>
      <c r="C1" s="1285"/>
      <c r="D1" s="1283"/>
      <c r="E1" s="2959"/>
      <c r="F1" s="2959"/>
      <c r="G1" s="2822"/>
      <c r="H1" s="2959"/>
      <c r="I1" s="2959"/>
      <c r="J1" s="2959"/>
      <c r="K1" s="2960">
        <f>MATCH(C1,'数据-取费表'!A6:A16,0)+5</f>
        <v>7</v>
      </c>
    </row>
    <row r="2" spans="1:33" ht="18" customHeight="1">
      <c r="A2" s="197" t="s">
        <v>1904</v>
      </c>
      <c r="B2" s="200">
        <f ca="1">C32</f>
        <v>0</v>
      </c>
      <c r="C2" s="272" t="s">
        <v>2037</v>
      </c>
      <c r="D2" s="272"/>
      <c r="E2" s="2959"/>
      <c r="F2" s="2959"/>
      <c r="G2" s="2959"/>
      <c r="H2" s="2959"/>
      <c r="I2" s="2959"/>
      <c r="J2" s="2959"/>
      <c r="K2" s="2959"/>
    </row>
    <row r="3" spans="1:33" ht="18" customHeight="1" thickBot="1">
      <c r="A3" s="199" t="s">
        <v>1906</v>
      </c>
      <c r="B3" s="200">
        <f ca="1">ROUND(B2*10000/IF(C1="",'数据-汇总表'!E3,INDIRECT("'数据-取费表'!K"&amp;$K$1)),0)</f>
        <v>0</v>
      </c>
      <c r="C3" s="272" t="s">
        <v>2038</v>
      </c>
      <c r="D3" s="272"/>
      <c r="E3" s="2959"/>
      <c r="F3" s="2959"/>
      <c r="G3" s="2959"/>
      <c r="H3" s="2959"/>
      <c r="I3" s="2959"/>
      <c r="J3" s="2959"/>
      <c r="K3" s="2959"/>
    </row>
    <row r="4" spans="1:33" s="854" customFormat="1" ht="16.5" customHeight="1">
      <c r="A4" s="851" t="s">
        <v>2039</v>
      </c>
      <c r="B4" s="852"/>
      <c r="C4" s="894">
        <f>SUM(C8:K8)</f>
        <v>0</v>
      </c>
      <c r="D4" s="852"/>
      <c r="E4" s="852"/>
      <c r="F4" s="852"/>
      <c r="G4" s="852"/>
      <c r="H4" s="852"/>
      <c r="I4" s="852"/>
      <c r="J4" s="852"/>
      <c r="K4" s="853"/>
    </row>
    <row r="5" spans="1:33" s="858" customFormat="1" ht="26">
      <c r="A5" s="855" t="s">
        <v>2040</v>
      </c>
      <c r="B5" s="856" t="s">
        <v>2041</v>
      </c>
      <c r="C5" s="1974" t="s">
        <v>2042</v>
      </c>
      <c r="D5" s="1974" t="s">
        <v>2043</v>
      </c>
      <c r="E5" s="1974" t="s">
        <v>2044</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621</v>
      </c>
      <c r="B6" s="126" t="s">
        <v>2045</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2046</v>
      </c>
      <c r="B7" s="126" t="s">
        <v>2047</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2048</v>
      </c>
      <c r="B8" s="159" t="s">
        <v>2049</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2050</v>
      </c>
      <c r="B9" s="852"/>
      <c r="C9" s="852"/>
      <c r="D9" s="852"/>
      <c r="E9" s="852"/>
      <c r="F9" s="852"/>
      <c r="G9" s="852"/>
      <c r="H9" s="852"/>
      <c r="I9" s="852"/>
      <c r="J9" s="852"/>
      <c r="K9" s="853"/>
    </row>
    <row r="10" spans="1:33" s="868" customFormat="1" ht="13.5" customHeight="1">
      <c r="A10" s="855" t="s">
        <v>2051</v>
      </c>
      <c r="B10" s="8" t="s">
        <v>2052</v>
      </c>
      <c r="C10" s="864" t="s">
        <v>2053</v>
      </c>
      <c r="D10" s="865" t="s">
        <v>2054</v>
      </c>
      <c r="E10" s="865" t="s">
        <v>2055</v>
      </c>
      <c r="F10" s="865" t="s">
        <v>2056</v>
      </c>
      <c r="G10" s="8"/>
      <c r="H10" s="866"/>
      <c r="I10" s="866"/>
      <c r="J10" s="866"/>
      <c r="K10" s="867"/>
    </row>
    <row r="11" spans="1:33" s="873" customFormat="1" ht="13.5" customHeight="1">
      <c r="A11" s="869" t="s">
        <v>1057</v>
      </c>
      <c r="B11" s="870" t="s">
        <v>2057</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1058</v>
      </c>
      <c r="B12" s="870" t="s">
        <v>2058</v>
      </c>
      <c r="C12" s="24">
        <f ca="1">ROUND(C11*F12,0)</f>
        <v>0</v>
      </c>
      <c r="D12" s="871"/>
      <c r="E12" s="325"/>
      <c r="F12" s="874">
        <f>'数据-取费表'!B33</f>
        <v>0.03</v>
      </c>
      <c r="G12" s="8" t="s">
        <v>2059</v>
      </c>
      <c r="H12" s="866"/>
      <c r="I12" s="866"/>
      <c r="J12" s="866"/>
      <c r="K12" s="867"/>
    </row>
    <row r="13" spans="1:33" s="873" customFormat="1" ht="13.5" customHeight="1">
      <c r="A13" s="869" t="s">
        <v>1059</v>
      </c>
      <c r="B13" s="870" t="s">
        <v>2060</v>
      </c>
      <c r="C13" s="24">
        <f ca="1">ROUND(IF(C1="",SUMIF('数据-取费表'!C:C,"住宅",'数据-取费表'!P:P)*F13,IF(INDIRECT("'数据-取费表'!c"&amp;$K$1)="住宅",INDIRECT("'数据-取费表'!P"&amp;$K$1)*F13,0)),0)</f>
        <v>0</v>
      </c>
      <c r="D13" s="916"/>
      <c r="E13" s="325"/>
      <c r="F13" s="874">
        <f>'数据-取费表'!B34</f>
        <v>0</v>
      </c>
      <c r="G13" s="8" t="s">
        <v>2061</v>
      </c>
      <c r="H13" s="866"/>
      <c r="I13" s="866"/>
      <c r="J13" s="866"/>
      <c r="K13" s="867"/>
    </row>
    <row r="14" spans="1:33" s="875" customFormat="1" ht="13.5" customHeight="1">
      <c r="A14" s="869" t="s">
        <v>1060</v>
      </c>
      <c r="B14" s="870" t="s">
        <v>2062</v>
      </c>
      <c r="C14" s="24">
        <f ca="1">ROUND(D14*E14*F11/10000,0)</f>
        <v>0</v>
      </c>
      <c r="D14" s="916">
        <f ca="1">IF(C1="",'数据-汇总表'!E3,INDIRECT("'数据-取费表'!K"&amp;$K$1)+INDIRECT("'数据-取费表'!S"&amp;$K$1))</f>
        <v>175770.51</v>
      </c>
      <c r="E14" s="24">
        <f>'数据-取费表'!B35</f>
        <v>200</v>
      </c>
      <c r="F14" s="874"/>
      <c r="G14" s="8" t="s">
        <v>2063</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1061</v>
      </c>
      <c r="B15" s="870" t="s">
        <v>2064</v>
      </c>
      <c r="C15" s="881">
        <f ca="1">ROUND(C11*F15,0)</f>
        <v>0</v>
      </c>
      <c r="D15" s="876"/>
      <c r="E15" s="881"/>
      <c r="F15" s="882">
        <f>'数据-取费表'!B36</f>
        <v>1.4999999999999999E-2</v>
      </c>
      <c r="G15" s="126" t="s">
        <v>2065</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622</v>
      </c>
      <c r="B16" s="870" t="s">
        <v>2066</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623</v>
      </c>
      <c r="B17" s="870" t="s">
        <v>2067</v>
      </c>
      <c r="C17" s="24">
        <f ca="1">ROUND(D17*E17/10000,0)</f>
        <v>0</v>
      </c>
      <c r="D17" s="916">
        <f ca="1">D14</f>
        <v>175770.51</v>
      </c>
      <c r="E17" s="24">
        <f>'数据-取费表'!B32</f>
        <v>0</v>
      </c>
      <c r="F17" s="876"/>
      <c r="G17" s="126" t="s">
        <v>2068</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1062</v>
      </c>
      <c r="B18" s="870" t="s">
        <v>2069</v>
      </c>
      <c r="C18" s="24">
        <f ca="1">C19+C20-IF(C1="",'数据-取费表'!B29,IF(G18="已全部缴纳",C19+C20,H18))</f>
        <v>0</v>
      </c>
      <c r="D18" s="916"/>
      <c r="E18" s="24"/>
      <c r="F18" s="874"/>
      <c r="G18" s="1976"/>
      <c r="H18" s="1280"/>
      <c r="I18" s="1977" t="s">
        <v>2070</v>
      </c>
      <c r="J18" s="877"/>
      <c r="K18" s="878"/>
    </row>
    <row r="19" spans="1:33" s="873" customFormat="1" ht="13.5" customHeight="1">
      <c r="A19" s="869" t="s">
        <v>624</v>
      </c>
      <c r="B19" s="870" t="s">
        <v>2071</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625</v>
      </c>
      <c r="B20" s="870" t="s">
        <v>2072</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621</v>
      </c>
      <c r="B21" s="883" t="s">
        <v>2073</v>
      </c>
      <c r="C21" s="884">
        <f ca="1">C16+C17+C18</f>
        <v>0</v>
      </c>
      <c r="D21" s="885"/>
      <c r="E21" s="277"/>
      <c r="F21" s="277"/>
      <c r="G21" s="126" t="s">
        <v>2074</v>
      </c>
      <c r="H21" s="877"/>
      <c r="I21" s="877"/>
      <c r="J21" s="877"/>
      <c r="K21" s="878"/>
    </row>
    <row r="22" spans="1:33" s="873" customFormat="1" ht="13.5" customHeight="1">
      <c r="A22" s="859" t="s">
        <v>2046</v>
      </c>
      <c r="B22" s="883" t="s">
        <v>2075</v>
      </c>
      <c r="C22" s="884">
        <f ca="1">ROUND(C21*F22,0)</f>
        <v>0</v>
      </c>
      <c r="D22" s="277"/>
      <c r="E22" s="277"/>
      <c r="F22" s="886">
        <f>'数据-取费表'!B37</f>
        <v>0.02</v>
      </c>
      <c r="G22" s="8" t="s">
        <v>2076</v>
      </c>
      <c r="H22" s="866"/>
      <c r="I22" s="866"/>
      <c r="J22" s="866"/>
      <c r="K22" s="867"/>
    </row>
    <row r="23" spans="1:33" s="873" customFormat="1" ht="13.5" customHeight="1">
      <c r="A23" s="859" t="s">
        <v>2048</v>
      </c>
      <c r="B23" s="883" t="s">
        <v>2077</v>
      </c>
      <c r="C23" s="884">
        <f ca="1">ROUND(C4*F23*F11,0)</f>
        <v>0</v>
      </c>
      <c r="D23" s="277"/>
      <c r="E23" s="277"/>
      <c r="F23" s="886">
        <f>'数据-取费表'!B38</f>
        <v>0.02</v>
      </c>
      <c r="G23" s="8" t="s">
        <v>2078</v>
      </c>
      <c r="H23" s="866"/>
      <c r="I23" s="866"/>
      <c r="J23" s="866"/>
      <c r="K23" s="867"/>
    </row>
    <row r="24" spans="1:33" s="873" customFormat="1" ht="13.5" customHeight="1">
      <c r="A24" s="859" t="s">
        <v>2079</v>
      </c>
      <c r="B24" s="883" t="s">
        <v>2080</v>
      </c>
      <c r="C24" s="276">
        <f>ROUND(F24/(1+'数据-取费表'!C42),4)</f>
        <v>2.9000000000000001E-2</v>
      </c>
      <c r="D24" s="277" t="s">
        <v>15</v>
      </c>
      <c r="E24" s="277"/>
      <c r="F24" s="886">
        <f>IF(项目基本情况!B8="出让",0,'数据-取费表'!B48+'数据-取费表'!B49)</f>
        <v>3.0499999999999999E-2</v>
      </c>
      <c r="G24" s="8" t="s">
        <v>2081</v>
      </c>
      <c r="H24" s="888"/>
      <c r="I24" s="888"/>
      <c r="J24" s="888"/>
      <c r="K24" s="889"/>
    </row>
    <row r="25" spans="1:33" s="873" customFormat="1" ht="13.5" customHeight="1">
      <c r="A25" s="859" t="s">
        <v>2082</v>
      </c>
      <c r="B25" s="885" t="s">
        <v>2083</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622</v>
      </c>
      <c r="B26" s="890" t="s">
        <v>2084</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623</v>
      </c>
      <c r="B27" s="890" t="s">
        <v>2085</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2086</v>
      </c>
      <c r="B28" s="1979" t="s">
        <v>2087</v>
      </c>
      <c r="C28" s="283">
        <f ca="1">C30</f>
        <v>0</v>
      </c>
      <c r="D28" s="276">
        <f ca="1">C29</f>
        <v>0</v>
      </c>
      <c r="E28" s="278" t="s">
        <v>15</v>
      </c>
      <c r="F28" s="284">
        <f ca="1">IF(C1="",'数据-取费表'!Q16,INDIRECT("'数据-取费表'!q"&amp;$K$1))</f>
        <v>0.15</v>
      </c>
      <c r="G28" s="887"/>
      <c r="H28" s="888"/>
      <c r="I28" s="888"/>
      <c r="J28" s="888"/>
      <c r="K28" s="889"/>
    </row>
    <row r="29" spans="1:33" s="287" customFormat="1" ht="13.5" customHeight="1">
      <c r="A29" s="869" t="s">
        <v>622</v>
      </c>
      <c r="B29" s="892" t="s">
        <v>2088</v>
      </c>
      <c r="C29" s="280">
        <f ca="1">ROUND((1+C24)*F28*'数据-取费表'!B24/'数据-取费表'!B20,4)</f>
        <v>0</v>
      </c>
      <c r="D29" s="280"/>
      <c r="E29" s="281"/>
      <c r="F29" s="286"/>
      <c r="G29" s="126" t="s">
        <v>2089</v>
      </c>
      <c r="H29" s="877"/>
      <c r="I29" s="877"/>
      <c r="J29" s="877"/>
      <c r="K29" s="878"/>
    </row>
    <row r="30" spans="1:33" s="287" customFormat="1" ht="13.5" customHeight="1">
      <c r="A30" s="869" t="s">
        <v>623</v>
      </c>
      <c r="B30" s="892" t="s">
        <v>2090</v>
      </c>
      <c r="C30" s="288">
        <f ca="1">ROUND((C21+C22+C23)*F28,0)</f>
        <v>0</v>
      </c>
      <c r="D30" s="280"/>
      <c r="E30" s="281"/>
      <c r="F30" s="286"/>
      <c r="G30" s="126"/>
      <c r="H30" s="877"/>
      <c r="I30" s="877"/>
      <c r="J30" s="877"/>
      <c r="K30" s="878"/>
    </row>
    <row r="31" spans="1:33" s="873" customFormat="1" ht="13.5" customHeight="1" thickBot="1">
      <c r="A31" s="1980" t="s">
        <v>2091</v>
      </c>
      <c r="B31" s="903" t="s">
        <v>2092</v>
      </c>
      <c r="C31" s="904">
        <f>ROUND(C4*F31/(1+'数据-取费表'!C42),0)</f>
        <v>0</v>
      </c>
      <c r="D31" s="905"/>
      <c r="E31" s="906"/>
      <c r="F31" s="907">
        <f>'数据-取费表'!B41</f>
        <v>5.5000000000000007E-2</v>
      </c>
      <c r="G31" s="908" t="s">
        <v>2093</v>
      </c>
      <c r="H31" s="909"/>
      <c r="I31" s="909"/>
      <c r="J31" s="909"/>
      <c r="K31" s="910"/>
    </row>
    <row r="32" spans="1:33" s="868" customFormat="1" ht="13.5" customHeight="1" thickBot="1">
      <c r="A32" s="898" t="s">
        <v>2094</v>
      </c>
      <c r="B32" s="899"/>
      <c r="C32" s="900">
        <f ca="1">ROUND((C4-C21-C22-C23-C25-C28-C31)/(1+C24+D25+D28),0)</f>
        <v>0</v>
      </c>
      <c r="D32" s="899"/>
      <c r="E32" s="899"/>
      <c r="F32" s="899"/>
      <c r="G32" s="901" t="s">
        <v>2095</v>
      </c>
      <c r="H32" s="899"/>
      <c r="I32" s="899"/>
      <c r="J32" s="899"/>
      <c r="K32" s="902"/>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topLeftCell="G1" zoomScale="80" zoomScaleNormal="80" workbookViewId="0">
      <selection activeCell="T13" sqref="T13"/>
    </sheetView>
  </sheetViews>
  <sheetFormatPr defaultRowHeight="13.4" customHeight="1"/>
  <cols>
    <col min="1" max="1" width="9.453125" style="2995" customWidth="1"/>
    <col min="2" max="2" width="8.90625" style="2995"/>
    <col min="3" max="5" width="12.90625" style="2995" customWidth="1"/>
    <col min="6" max="6" width="47.453125" style="2995" customWidth="1"/>
    <col min="7" max="7" width="13" style="3148" customWidth="1"/>
    <col min="8" max="8" width="8.90625" style="2989"/>
    <col min="9" max="9" width="8.90625" style="2990"/>
    <col min="10" max="10" width="5.90625" style="3149" customWidth="1"/>
    <col min="11" max="11" width="11.90625" style="3149" customWidth="1"/>
    <col min="12" max="13" width="10.90625" style="3149" customWidth="1"/>
    <col min="14" max="14" width="10" style="3149" customWidth="1"/>
    <col min="15" max="16" width="10.453125" style="3149" bestFit="1" customWidth="1"/>
    <col min="17" max="17" width="10" style="3149" customWidth="1"/>
    <col min="18" max="18" width="10.08984375" style="3149" customWidth="1"/>
    <col min="19" max="19" width="10" style="3149" customWidth="1"/>
    <col min="20" max="20" width="26.08984375" style="3149" customWidth="1"/>
    <col min="21" max="21" width="8.90625" style="3149"/>
    <col min="22" max="22" width="8.90625" style="2990"/>
    <col min="23" max="256" width="8.90625" style="2995"/>
    <col min="257" max="257" width="9.453125" style="2995" customWidth="1"/>
    <col min="258" max="258" width="8.90625" style="2995"/>
    <col min="259" max="261" width="12.90625" style="2995" customWidth="1"/>
    <col min="262" max="262" width="47.453125" style="2995" customWidth="1"/>
    <col min="263" max="263" width="13" style="2995" customWidth="1"/>
    <col min="264" max="265" width="8.90625" style="2995"/>
    <col min="266" max="266" width="5.90625" style="2995" customWidth="1"/>
    <col min="267" max="267" width="11.90625" style="2995" customWidth="1"/>
    <col min="268" max="269" width="10.90625" style="2995" customWidth="1"/>
    <col min="270" max="270" width="10" style="2995" customWidth="1"/>
    <col min="271" max="272" width="10.453125" style="2995" bestFit="1" customWidth="1"/>
    <col min="273" max="273" width="10" style="2995" customWidth="1"/>
    <col min="274" max="274" width="10.08984375" style="2995" customWidth="1"/>
    <col min="275" max="275" width="10" style="2995" customWidth="1"/>
    <col min="276" max="276" width="26.08984375" style="2995" customWidth="1"/>
    <col min="277" max="512" width="8.90625" style="2995"/>
    <col min="513" max="513" width="9.453125" style="2995" customWidth="1"/>
    <col min="514" max="514" width="8.90625" style="2995"/>
    <col min="515" max="517" width="12.90625" style="2995" customWidth="1"/>
    <col min="518" max="518" width="47.453125" style="2995" customWidth="1"/>
    <col min="519" max="519" width="13" style="2995" customWidth="1"/>
    <col min="520" max="521" width="8.90625" style="2995"/>
    <col min="522" max="522" width="5.90625" style="2995" customWidth="1"/>
    <col min="523" max="523" width="11.90625" style="2995" customWidth="1"/>
    <col min="524" max="525" width="10.90625" style="2995" customWidth="1"/>
    <col min="526" max="526" width="10" style="2995" customWidth="1"/>
    <col min="527" max="528" width="10.453125" style="2995" bestFit="1" customWidth="1"/>
    <col min="529" max="529" width="10" style="2995" customWidth="1"/>
    <col min="530" max="530" width="10.08984375" style="2995" customWidth="1"/>
    <col min="531" max="531" width="10" style="2995" customWidth="1"/>
    <col min="532" max="532" width="26.08984375" style="2995" customWidth="1"/>
    <col min="533" max="768" width="8.90625" style="2995"/>
    <col min="769" max="769" width="9.453125" style="2995" customWidth="1"/>
    <col min="770" max="770" width="8.90625" style="2995"/>
    <col min="771" max="773" width="12.90625" style="2995" customWidth="1"/>
    <col min="774" max="774" width="47.453125" style="2995" customWidth="1"/>
    <col min="775" max="775" width="13" style="2995" customWidth="1"/>
    <col min="776" max="777" width="8.90625" style="2995"/>
    <col min="778" max="778" width="5.90625" style="2995" customWidth="1"/>
    <col min="779" max="779" width="11.90625" style="2995" customWidth="1"/>
    <col min="780" max="781" width="10.90625" style="2995" customWidth="1"/>
    <col min="782" max="782" width="10" style="2995" customWidth="1"/>
    <col min="783" max="784" width="10.453125" style="2995" bestFit="1" customWidth="1"/>
    <col min="785" max="785" width="10" style="2995" customWidth="1"/>
    <col min="786" max="786" width="10.08984375" style="2995" customWidth="1"/>
    <col min="787" max="787" width="10" style="2995" customWidth="1"/>
    <col min="788" max="788" width="26.08984375" style="2995" customWidth="1"/>
    <col min="789" max="1024" width="8.90625" style="2995"/>
    <col min="1025" max="1025" width="9.453125" style="2995" customWidth="1"/>
    <col min="1026" max="1026" width="8.90625" style="2995"/>
    <col min="1027" max="1029" width="12.90625" style="2995" customWidth="1"/>
    <col min="1030" max="1030" width="47.453125" style="2995" customWidth="1"/>
    <col min="1031" max="1031" width="13" style="2995" customWidth="1"/>
    <col min="1032" max="1033" width="8.90625" style="2995"/>
    <col min="1034" max="1034" width="5.90625" style="2995" customWidth="1"/>
    <col min="1035" max="1035" width="11.90625" style="2995" customWidth="1"/>
    <col min="1036" max="1037" width="10.90625" style="2995" customWidth="1"/>
    <col min="1038" max="1038" width="10" style="2995" customWidth="1"/>
    <col min="1039" max="1040" width="10.453125" style="2995" bestFit="1" customWidth="1"/>
    <col min="1041" max="1041" width="10" style="2995" customWidth="1"/>
    <col min="1042" max="1042" width="10.08984375" style="2995" customWidth="1"/>
    <col min="1043" max="1043" width="10" style="2995" customWidth="1"/>
    <col min="1044" max="1044" width="26.08984375" style="2995" customWidth="1"/>
    <col min="1045" max="1280" width="8.90625" style="2995"/>
    <col min="1281" max="1281" width="9.453125" style="2995" customWidth="1"/>
    <col min="1282" max="1282" width="8.90625" style="2995"/>
    <col min="1283" max="1285" width="12.90625" style="2995" customWidth="1"/>
    <col min="1286" max="1286" width="47.453125" style="2995" customWidth="1"/>
    <col min="1287" max="1287" width="13" style="2995" customWidth="1"/>
    <col min="1288" max="1289" width="8.90625" style="2995"/>
    <col min="1290" max="1290" width="5.90625" style="2995" customWidth="1"/>
    <col min="1291" max="1291" width="11.90625" style="2995" customWidth="1"/>
    <col min="1292" max="1293" width="10.90625" style="2995" customWidth="1"/>
    <col min="1294" max="1294" width="10" style="2995" customWidth="1"/>
    <col min="1295" max="1296" width="10.453125" style="2995" bestFit="1" customWidth="1"/>
    <col min="1297" max="1297" width="10" style="2995" customWidth="1"/>
    <col min="1298" max="1298" width="10.08984375" style="2995" customWidth="1"/>
    <col min="1299" max="1299" width="10" style="2995" customWidth="1"/>
    <col min="1300" max="1300" width="26.08984375" style="2995" customWidth="1"/>
    <col min="1301" max="1536" width="8.90625" style="2995"/>
    <col min="1537" max="1537" width="9.453125" style="2995" customWidth="1"/>
    <col min="1538" max="1538" width="8.90625" style="2995"/>
    <col min="1539" max="1541" width="12.90625" style="2995" customWidth="1"/>
    <col min="1542" max="1542" width="47.453125" style="2995" customWidth="1"/>
    <col min="1543" max="1543" width="13" style="2995" customWidth="1"/>
    <col min="1544" max="1545" width="8.90625" style="2995"/>
    <col min="1546" max="1546" width="5.90625" style="2995" customWidth="1"/>
    <col min="1547" max="1547" width="11.90625" style="2995" customWidth="1"/>
    <col min="1548" max="1549" width="10.90625" style="2995" customWidth="1"/>
    <col min="1550" max="1550" width="10" style="2995" customWidth="1"/>
    <col min="1551" max="1552" width="10.453125" style="2995" bestFit="1" customWidth="1"/>
    <col min="1553" max="1553" width="10" style="2995" customWidth="1"/>
    <col min="1554" max="1554" width="10.08984375" style="2995" customWidth="1"/>
    <col min="1555" max="1555" width="10" style="2995" customWidth="1"/>
    <col min="1556" max="1556" width="26.08984375" style="2995" customWidth="1"/>
    <col min="1557" max="1792" width="8.90625" style="2995"/>
    <col min="1793" max="1793" width="9.453125" style="2995" customWidth="1"/>
    <col min="1794" max="1794" width="8.90625" style="2995"/>
    <col min="1795" max="1797" width="12.90625" style="2995" customWidth="1"/>
    <col min="1798" max="1798" width="47.453125" style="2995" customWidth="1"/>
    <col min="1799" max="1799" width="13" style="2995" customWidth="1"/>
    <col min="1800" max="1801" width="8.90625" style="2995"/>
    <col min="1802" max="1802" width="5.90625" style="2995" customWidth="1"/>
    <col min="1803" max="1803" width="11.90625" style="2995" customWidth="1"/>
    <col min="1804" max="1805" width="10.90625" style="2995" customWidth="1"/>
    <col min="1806" max="1806" width="10" style="2995" customWidth="1"/>
    <col min="1807" max="1808" width="10.453125" style="2995" bestFit="1" customWidth="1"/>
    <col min="1809" max="1809" width="10" style="2995" customWidth="1"/>
    <col min="1810" max="1810" width="10.08984375" style="2995" customWidth="1"/>
    <col min="1811" max="1811" width="10" style="2995" customWidth="1"/>
    <col min="1812" max="1812" width="26.08984375" style="2995" customWidth="1"/>
    <col min="1813" max="2048" width="8.90625" style="2995"/>
    <col min="2049" max="2049" width="9.453125" style="2995" customWidth="1"/>
    <col min="2050" max="2050" width="8.90625" style="2995"/>
    <col min="2051" max="2053" width="12.90625" style="2995" customWidth="1"/>
    <col min="2054" max="2054" width="47.453125" style="2995" customWidth="1"/>
    <col min="2055" max="2055" width="13" style="2995" customWidth="1"/>
    <col min="2056" max="2057" width="8.90625" style="2995"/>
    <col min="2058" max="2058" width="5.90625" style="2995" customWidth="1"/>
    <col min="2059" max="2059" width="11.90625" style="2995" customWidth="1"/>
    <col min="2060" max="2061" width="10.90625" style="2995" customWidth="1"/>
    <col min="2062" max="2062" width="10" style="2995" customWidth="1"/>
    <col min="2063" max="2064" width="10.453125" style="2995" bestFit="1" customWidth="1"/>
    <col min="2065" max="2065" width="10" style="2995" customWidth="1"/>
    <col min="2066" max="2066" width="10.08984375" style="2995" customWidth="1"/>
    <col min="2067" max="2067" width="10" style="2995" customWidth="1"/>
    <col min="2068" max="2068" width="26.08984375" style="2995" customWidth="1"/>
    <col min="2069" max="2304" width="8.90625" style="2995"/>
    <col min="2305" max="2305" width="9.453125" style="2995" customWidth="1"/>
    <col min="2306" max="2306" width="8.90625" style="2995"/>
    <col min="2307" max="2309" width="12.90625" style="2995" customWidth="1"/>
    <col min="2310" max="2310" width="47.453125" style="2995" customWidth="1"/>
    <col min="2311" max="2311" width="13" style="2995" customWidth="1"/>
    <col min="2312" max="2313" width="8.90625" style="2995"/>
    <col min="2314" max="2314" width="5.90625" style="2995" customWidth="1"/>
    <col min="2315" max="2315" width="11.90625" style="2995" customWidth="1"/>
    <col min="2316" max="2317" width="10.90625" style="2995" customWidth="1"/>
    <col min="2318" max="2318" width="10" style="2995" customWidth="1"/>
    <col min="2319" max="2320" width="10.453125" style="2995" bestFit="1" customWidth="1"/>
    <col min="2321" max="2321" width="10" style="2995" customWidth="1"/>
    <col min="2322" max="2322" width="10.08984375" style="2995" customWidth="1"/>
    <col min="2323" max="2323" width="10" style="2995" customWidth="1"/>
    <col min="2324" max="2324" width="26.08984375" style="2995" customWidth="1"/>
    <col min="2325" max="2560" width="8.90625" style="2995"/>
    <col min="2561" max="2561" width="9.453125" style="2995" customWidth="1"/>
    <col min="2562" max="2562" width="8.90625" style="2995"/>
    <col min="2563" max="2565" width="12.90625" style="2995" customWidth="1"/>
    <col min="2566" max="2566" width="47.453125" style="2995" customWidth="1"/>
    <col min="2567" max="2567" width="13" style="2995" customWidth="1"/>
    <col min="2568" max="2569" width="8.90625" style="2995"/>
    <col min="2570" max="2570" width="5.90625" style="2995" customWidth="1"/>
    <col min="2571" max="2571" width="11.90625" style="2995" customWidth="1"/>
    <col min="2572" max="2573" width="10.90625" style="2995" customWidth="1"/>
    <col min="2574" max="2574" width="10" style="2995" customWidth="1"/>
    <col min="2575" max="2576" width="10.453125" style="2995" bestFit="1" customWidth="1"/>
    <col min="2577" max="2577" width="10" style="2995" customWidth="1"/>
    <col min="2578" max="2578" width="10.08984375" style="2995" customWidth="1"/>
    <col min="2579" max="2579" width="10" style="2995" customWidth="1"/>
    <col min="2580" max="2580" width="26.08984375" style="2995" customWidth="1"/>
    <col min="2581" max="2816" width="8.90625" style="2995"/>
    <col min="2817" max="2817" width="9.453125" style="2995" customWidth="1"/>
    <col min="2818" max="2818" width="8.90625" style="2995"/>
    <col min="2819" max="2821" width="12.90625" style="2995" customWidth="1"/>
    <col min="2822" max="2822" width="47.453125" style="2995" customWidth="1"/>
    <col min="2823" max="2823" width="13" style="2995" customWidth="1"/>
    <col min="2824" max="2825" width="8.90625" style="2995"/>
    <col min="2826" max="2826" width="5.90625" style="2995" customWidth="1"/>
    <col min="2827" max="2827" width="11.90625" style="2995" customWidth="1"/>
    <col min="2828" max="2829" width="10.90625" style="2995" customWidth="1"/>
    <col min="2830" max="2830" width="10" style="2995" customWidth="1"/>
    <col min="2831" max="2832" width="10.453125" style="2995" bestFit="1" customWidth="1"/>
    <col min="2833" max="2833" width="10" style="2995" customWidth="1"/>
    <col min="2834" max="2834" width="10.08984375" style="2995" customWidth="1"/>
    <col min="2835" max="2835" width="10" style="2995" customWidth="1"/>
    <col min="2836" max="2836" width="26.08984375" style="2995" customWidth="1"/>
    <col min="2837" max="3072" width="8.90625" style="2995"/>
    <col min="3073" max="3073" width="9.453125" style="2995" customWidth="1"/>
    <col min="3074" max="3074" width="8.90625" style="2995"/>
    <col min="3075" max="3077" width="12.90625" style="2995" customWidth="1"/>
    <col min="3078" max="3078" width="47.453125" style="2995" customWidth="1"/>
    <col min="3079" max="3079" width="13" style="2995" customWidth="1"/>
    <col min="3080" max="3081" width="8.90625" style="2995"/>
    <col min="3082" max="3082" width="5.90625" style="2995" customWidth="1"/>
    <col min="3083" max="3083" width="11.90625" style="2995" customWidth="1"/>
    <col min="3084" max="3085" width="10.90625" style="2995" customWidth="1"/>
    <col min="3086" max="3086" width="10" style="2995" customWidth="1"/>
    <col min="3087" max="3088" width="10.453125" style="2995" bestFit="1" customWidth="1"/>
    <col min="3089" max="3089" width="10" style="2995" customWidth="1"/>
    <col min="3090" max="3090" width="10.08984375" style="2995" customWidth="1"/>
    <col min="3091" max="3091" width="10" style="2995" customWidth="1"/>
    <col min="3092" max="3092" width="26.08984375" style="2995" customWidth="1"/>
    <col min="3093" max="3328" width="8.90625" style="2995"/>
    <col min="3329" max="3329" width="9.453125" style="2995" customWidth="1"/>
    <col min="3330" max="3330" width="8.90625" style="2995"/>
    <col min="3331" max="3333" width="12.90625" style="2995" customWidth="1"/>
    <col min="3334" max="3334" width="47.453125" style="2995" customWidth="1"/>
    <col min="3335" max="3335" width="13" style="2995" customWidth="1"/>
    <col min="3336" max="3337" width="8.90625" style="2995"/>
    <col min="3338" max="3338" width="5.90625" style="2995" customWidth="1"/>
    <col min="3339" max="3339" width="11.90625" style="2995" customWidth="1"/>
    <col min="3340" max="3341" width="10.90625" style="2995" customWidth="1"/>
    <col min="3342" max="3342" width="10" style="2995" customWidth="1"/>
    <col min="3343" max="3344" width="10.453125" style="2995" bestFit="1" customWidth="1"/>
    <col min="3345" max="3345" width="10" style="2995" customWidth="1"/>
    <col min="3346" max="3346" width="10.08984375" style="2995" customWidth="1"/>
    <col min="3347" max="3347" width="10" style="2995" customWidth="1"/>
    <col min="3348" max="3348" width="26.08984375" style="2995" customWidth="1"/>
    <col min="3349" max="3584" width="8.90625" style="2995"/>
    <col min="3585" max="3585" width="9.453125" style="2995" customWidth="1"/>
    <col min="3586" max="3586" width="8.90625" style="2995"/>
    <col min="3587" max="3589" width="12.90625" style="2995" customWidth="1"/>
    <col min="3590" max="3590" width="47.453125" style="2995" customWidth="1"/>
    <col min="3591" max="3591" width="13" style="2995" customWidth="1"/>
    <col min="3592" max="3593" width="8.90625" style="2995"/>
    <col min="3594" max="3594" width="5.90625" style="2995" customWidth="1"/>
    <col min="3595" max="3595" width="11.90625" style="2995" customWidth="1"/>
    <col min="3596" max="3597" width="10.90625" style="2995" customWidth="1"/>
    <col min="3598" max="3598" width="10" style="2995" customWidth="1"/>
    <col min="3599" max="3600" width="10.453125" style="2995" bestFit="1" customWidth="1"/>
    <col min="3601" max="3601" width="10" style="2995" customWidth="1"/>
    <col min="3602" max="3602" width="10.08984375" style="2995" customWidth="1"/>
    <col min="3603" max="3603" width="10" style="2995" customWidth="1"/>
    <col min="3604" max="3604" width="26.08984375" style="2995" customWidth="1"/>
    <col min="3605" max="3840" width="8.90625" style="2995"/>
    <col min="3841" max="3841" width="9.453125" style="2995" customWidth="1"/>
    <col min="3842" max="3842" width="8.90625" style="2995"/>
    <col min="3843" max="3845" width="12.90625" style="2995" customWidth="1"/>
    <col min="3846" max="3846" width="47.453125" style="2995" customWidth="1"/>
    <col min="3847" max="3847" width="13" style="2995" customWidth="1"/>
    <col min="3848" max="3849" width="8.90625" style="2995"/>
    <col min="3850" max="3850" width="5.90625" style="2995" customWidth="1"/>
    <col min="3851" max="3851" width="11.90625" style="2995" customWidth="1"/>
    <col min="3852" max="3853" width="10.90625" style="2995" customWidth="1"/>
    <col min="3854" max="3854" width="10" style="2995" customWidth="1"/>
    <col min="3855" max="3856" width="10.453125" style="2995" bestFit="1" customWidth="1"/>
    <col min="3857" max="3857" width="10" style="2995" customWidth="1"/>
    <col min="3858" max="3858" width="10.08984375" style="2995" customWidth="1"/>
    <col min="3859" max="3859" width="10" style="2995" customWidth="1"/>
    <col min="3860" max="3860" width="26.08984375" style="2995" customWidth="1"/>
    <col min="3861" max="4096" width="8.90625" style="2995"/>
    <col min="4097" max="4097" width="9.453125" style="2995" customWidth="1"/>
    <col min="4098" max="4098" width="8.90625" style="2995"/>
    <col min="4099" max="4101" width="12.90625" style="2995" customWidth="1"/>
    <col min="4102" max="4102" width="47.453125" style="2995" customWidth="1"/>
    <col min="4103" max="4103" width="13" style="2995" customWidth="1"/>
    <col min="4104" max="4105" width="8.90625" style="2995"/>
    <col min="4106" max="4106" width="5.90625" style="2995" customWidth="1"/>
    <col min="4107" max="4107" width="11.90625" style="2995" customWidth="1"/>
    <col min="4108" max="4109" width="10.90625" style="2995" customWidth="1"/>
    <col min="4110" max="4110" width="10" style="2995" customWidth="1"/>
    <col min="4111" max="4112" width="10.453125" style="2995" bestFit="1" customWidth="1"/>
    <col min="4113" max="4113" width="10" style="2995" customWidth="1"/>
    <col min="4114" max="4114" width="10.08984375" style="2995" customWidth="1"/>
    <col min="4115" max="4115" width="10" style="2995" customWidth="1"/>
    <col min="4116" max="4116" width="26.08984375" style="2995" customWidth="1"/>
    <col min="4117" max="4352" width="8.90625" style="2995"/>
    <col min="4353" max="4353" width="9.453125" style="2995" customWidth="1"/>
    <col min="4354" max="4354" width="8.90625" style="2995"/>
    <col min="4355" max="4357" width="12.90625" style="2995" customWidth="1"/>
    <col min="4358" max="4358" width="47.453125" style="2995" customWidth="1"/>
    <col min="4359" max="4359" width="13" style="2995" customWidth="1"/>
    <col min="4360" max="4361" width="8.90625" style="2995"/>
    <col min="4362" max="4362" width="5.90625" style="2995" customWidth="1"/>
    <col min="4363" max="4363" width="11.90625" style="2995" customWidth="1"/>
    <col min="4364" max="4365" width="10.90625" style="2995" customWidth="1"/>
    <col min="4366" max="4366" width="10" style="2995" customWidth="1"/>
    <col min="4367" max="4368" width="10.453125" style="2995" bestFit="1" customWidth="1"/>
    <col min="4369" max="4369" width="10" style="2995" customWidth="1"/>
    <col min="4370" max="4370" width="10.08984375" style="2995" customWidth="1"/>
    <col min="4371" max="4371" width="10" style="2995" customWidth="1"/>
    <col min="4372" max="4372" width="26.08984375" style="2995" customWidth="1"/>
    <col min="4373" max="4608" width="8.90625" style="2995"/>
    <col min="4609" max="4609" width="9.453125" style="2995" customWidth="1"/>
    <col min="4610" max="4610" width="8.90625" style="2995"/>
    <col min="4611" max="4613" width="12.90625" style="2995" customWidth="1"/>
    <col min="4614" max="4614" width="47.453125" style="2995" customWidth="1"/>
    <col min="4615" max="4615" width="13" style="2995" customWidth="1"/>
    <col min="4616" max="4617" width="8.90625" style="2995"/>
    <col min="4618" max="4618" width="5.90625" style="2995" customWidth="1"/>
    <col min="4619" max="4619" width="11.90625" style="2995" customWidth="1"/>
    <col min="4620" max="4621" width="10.90625" style="2995" customWidth="1"/>
    <col min="4622" max="4622" width="10" style="2995" customWidth="1"/>
    <col min="4623" max="4624" width="10.453125" style="2995" bestFit="1" customWidth="1"/>
    <col min="4625" max="4625" width="10" style="2995" customWidth="1"/>
    <col min="4626" max="4626" width="10.08984375" style="2995" customWidth="1"/>
    <col min="4627" max="4627" width="10" style="2995" customWidth="1"/>
    <col min="4628" max="4628" width="26.08984375" style="2995" customWidth="1"/>
    <col min="4629" max="4864" width="8.90625" style="2995"/>
    <col min="4865" max="4865" width="9.453125" style="2995" customWidth="1"/>
    <col min="4866" max="4866" width="8.90625" style="2995"/>
    <col min="4867" max="4869" width="12.90625" style="2995" customWidth="1"/>
    <col min="4870" max="4870" width="47.453125" style="2995" customWidth="1"/>
    <col min="4871" max="4871" width="13" style="2995" customWidth="1"/>
    <col min="4872" max="4873" width="8.90625" style="2995"/>
    <col min="4874" max="4874" width="5.90625" style="2995" customWidth="1"/>
    <col min="4875" max="4875" width="11.90625" style="2995" customWidth="1"/>
    <col min="4876" max="4877" width="10.90625" style="2995" customWidth="1"/>
    <col min="4878" max="4878" width="10" style="2995" customWidth="1"/>
    <col min="4879" max="4880" width="10.453125" style="2995" bestFit="1" customWidth="1"/>
    <col min="4881" max="4881" width="10" style="2995" customWidth="1"/>
    <col min="4882" max="4882" width="10.08984375" style="2995" customWidth="1"/>
    <col min="4883" max="4883" width="10" style="2995" customWidth="1"/>
    <col min="4884" max="4884" width="26.08984375" style="2995" customWidth="1"/>
    <col min="4885" max="5120" width="8.90625" style="2995"/>
    <col min="5121" max="5121" width="9.453125" style="2995" customWidth="1"/>
    <col min="5122" max="5122" width="8.90625" style="2995"/>
    <col min="5123" max="5125" width="12.90625" style="2995" customWidth="1"/>
    <col min="5126" max="5126" width="47.453125" style="2995" customWidth="1"/>
    <col min="5127" max="5127" width="13" style="2995" customWidth="1"/>
    <col min="5128" max="5129" width="8.90625" style="2995"/>
    <col min="5130" max="5130" width="5.90625" style="2995" customWidth="1"/>
    <col min="5131" max="5131" width="11.90625" style="2995" customWidth="1"/>
    <col min="5132" max="5133" width="10.90625" style="2995" customWidth="1"/>
    <col min="5134" max="5134" width="10" style="2995" customWidth="1"/>
    <col min="5135" max="5136" width="10.453125" style="2995" bestFit="1" customWidth="1"/>
    <col min="5137" max="5137" width="10" style="2995" customWidth="1"/>
    <col min="5138" max="5138" width="10.08984375" style="2995" customWidth="1"/>
    <col min="5139" max="5139" width="10" style="2995" customWidth="1"/>
    <col min="5140" max="5140" width="26.08984375" style="2995" customWidth="1"/>
    <col min="5141" max="5376" width="8.90625" style="2995"/>
    <col min="5377" max="5377" width="9.453125" style="2995" customWidth="1"/>
    <col min="5378" max="5378" width="8.90625" style="2995"/>
    <col min="5379" max="5381" width="12.90625" style="2995" customWidth="1"/>
    <col min="5382" max="5382" width="47.453125" style="2995" customWidth="1"/>
    <col min="5383" max="5383" width="13" style="2995" customWidth="1"/>
    <col min="5384" max="5385" width="8.90625" style="2995"/>
    <col min="5386" max="5386" width="5.90625" style="2995" customWidth="1"/>
    <col min="5387" max="5387" width="11.90625" style="2995" customWidth="1"/>
    <col min="5388" max="5389" width="10.90625" style="2995" customWidth="1"/>
    <col min="5390" max="5390" width="10" style="2995" customWidth="1"/>
    <col min="5391" max="5392" width="10.453125" style="2995" bestFit="1" customWidth="1"/>
    <col min="5393" max="5393" width="10" style="2995" customWidth="1"/>
    <col min="5394" max="5394" width="10.08984375" style="2995" customWidth="1"/>
    <col min="5395" max="5395" width="10" style="2995" customWidth="1"/>
    <col min="5396" max="5396" width="26.08984375" style="2995" customWidth="1"/>
    <col min="5397" max="5632" width="8.90625" style="2995"/>
    <col min="5633" max="5633" width="9.453125" style="2995" customWidth="1"/>
    <col min="5634" max="5634" width="8.90625" style="2995"/>
    <col min="5635" max="5637" width="12.90625" style="2995" customWidth="1"/>
    <col min="5638" max="5638" width="47.453125" style="2995" customWidth="1"/>
    <col min="5639" max="5639" width="13" style="2995" customWidth="1"/>
    <col min="5640" max="5641" width="8.90625" style="2995"/>
    <col min="5642" max="5642" width="5.90625" style="2995" customWidth="1"/>
    <col min="5643" max="5643" width="11.90625" style="2995" customWidth="1"/>
    <col min="5644" max="5645" width="10.90625" style="2995" customWidth="1"/>
    <col min="5646" max="5646" width="10" style="2995" customWidth="1"/>
    <col min="5647" max="5648" width="10.453125" style="2995" bestFit="1" customWidth="1"/>
    <col min="5649" max="5649" width="10" style="2995" customWidth="1"/>
    <col min="5650" max="5650" width="10.08984375" style="2995" customWidth="1"/>
    <col min="5651" max="5651" width="10" style="2995" customWidth="1"/>
    <col min="5652" max="5652" width="26.08984375" style="2995" customWidth="1"/>
    <col min="5653" max="5888" width="8.90625" style="2995"/>
    <col min="5889" max="5889" width="9.453125" style="2995" customWidth="1"/>
    <col min="5890" max="5890" width="8.90625" style="2995"/>
    <col min="5891" max="5893" width="12.90625" style="2995" customWidth="1"/>
    <col min="5894" max="5894" width="47.453125" style="2995" customWidth="1"/>
    <col min="5895" max="5895" width="13" style="2995" customWidth="1"/>
    <col min="5896" max="5897" width="8.90625" style="2995"/>
    <col min="5898" max="5898" width="5.90625" style="2995" customWidth="1"/>
    <col min="5899" max="5899" width="11.90625" style="2995" customWidth="1"/>
    <col min="5900" max="5901" width="10.90625" style="2995" customWidth="1"/>
    <col min="5902" max="5902" width="10" style="2995" customWidth="1"/>
    <col min="5903" max="5904" width="10.453125" style="2995" bestFit="1" customWidth="1"/>
    <col min="5905" max="5905" width="10" style="2995" customWidth="1"/>
    <col min="5906" max="5906" width="10.08984375" style="2995" customWidth="1"/>
    <col min="5907" max="5907" width="10" style="2995" customWidth="1"/>
    <col min="5908" max="5908" width="26.08984375" style="2995" customWidth="1"/>
    <col min="5909" max="6144" width="8.90625" style="2995"/>
    <col min="6145" max="6145" width="9.453125" style="2995" customWidth="1"/>
    <col min="6146" max="6146" width="8.90625" style="2995"/>
    <col min="6147" max="6149" width="12.90625" style="2995" customWidth="1"/>
    <col min="6150" max="6150" width="47.453125" style="2995" customWidth="1"/>
    <col min="6151" max="6151" width="13" style="2995" customWidth="1"/>
    <col min="6152" max="6153" width="8.90625" style="2995"/>
    <col min="6154" max="6154" width="5.90625" style="2995" customWidth="1"/>
    <col min="6155" max="6155" width="11.90625" style="2995" customWidth="1"/>
    <col min="6156" max="6157" width="10.90625" style="2995" customWidth="1"/>
    <col min="6158" max="6158" width="10" style="2995" customWidth="1"/>
    <col min="6159" max="6160" width="10.453125" style="2995" bestFit="1" customWidth="1"/>
    <col min="6161" max="6161" width="10" style="2995" customWidth="1"/>
    <col min="6162" max="6162" width="10.08984375" style="2995" customWidth="1"/>
    <col min="6163" max="6163" width="10" style="2995" customWidth="1"/>
    <col min="6164" max="6164" width="26.08984375" style="2995" customWidth="1"/>
    <col min="6165" max="6400" width="8.90625" style="2995"/>
    <col min="6401" max="6401" width="9.453125" style="2995" customWidth="1"/>
    <col min="6402" max="6402" width="8.90625" style="2995"/>
    <col min="6403" max="6405" width="12.90625" style="2995" customWidth="1"/>
    <col min="6406" max="6406" width="47.453125" style="2995" customWidth="1"/>
    <col min="6407" max="6407" width="13" style="2995" customWidth="1"/>
    <col min="6408" max="6409" width="8.90625" style="2995"/>
    <col min="6410" max="6410" width="5.90625" style="2995" customWidth="1"/>
    <col min="6411" max="6411" width="11.90625" style="2995" customWidth="1"/>
    <col min="6412" max="6413" width="10.90625" style="2995" customWidth="1"/>
    <col min="6414" max="6414" width="10" style="2995" customWidth="1"/>
    <col min="6415" max="6416" width="10.453125" style="2995" bestFit="1" customWidth="1"/>
    <col min="6417" max="6417" width="10" style="2995" customWidth="1"/>
    <col min="6418" max="6418" width="10.08984375" style="2995" customWidth="1"/>
    <col min="6419" max="6419" width="10" style="2995" customWidth="1"/>
    <col min="6420" max="6420" width="26.08984375" style="2995" customWidth="1"/>
    <col min="6421" max="6656" width="8.90625" style="2995"/>
    <col min="6657" max="6657" width="9.453125" style="2995" customWidth="1"/>
    <col min="6658" max="6658" width="8.90625" style="2995"/>
    <col min="6659" max="6661" width="12.90625" style="2995" customWidth="1"/>
    <col min="6662" max="6662" width="47.453125" style="2995" customWidth="1"/>
    <col min="6663" max="6663" width="13" style="2995" customWidth="1"/>
    <col min="6664" max="6665" width="8.90625" style="2995"/>
    <col min="6666" max="6666" width="5.90625" style="2995" customWidth="1"/>
    <col min="6667" max="6667" width="11.90625" style="2995" customWidth="1"/>
    <col min="6668" max="6669" width="10.90625" style="2995" customWidth="1"/>
    <col min="6670" max="6670" width="10" style="2995" customWidth="1"/>
    <col min="6671" max="6672" width="10.453125" style="2995" bestFit="1" customWidth="1"/>
    <col min="6673" max="6673" width="10" style="2995" customWidth="1"/>
    <col min="6674" max="6674" width="10.08984375" style="2995" customWidth="1"/>
    <col min="6675" max="6675" width="10" style="2995" customWidth="1"/>
    <col min="6676" max="6676" width="26.08984375" style="2995" customWidth="1"/>
    <col min="6677" max="6912" width="8.90625" style="2995"/>
    <col min="6913" max="6913" width="9.453125" style="2995" customWidth="1"/>
    <col min="6914" max="6914" width="8.90625" style="2995"/>
    <col min="6915" max="6917" width="12.90625" style="2995" customWidth="1"/>
    <col min="6918" max="6918" width="47.453125" style="2995" customWidth="1"/>
    <col min="6919" max="6919" width="13" style="2995" customWidth="1"/>
    <col min="6920" max="6921" width="8.90625" style="2995"/>
    <col min="6922" max="6922" width="5.90625" style="2995" customWidth="1"/>
    <col min="6923" max="6923" width="11.90625" style="2995" customWidth="1"/>
    <col min="6924" max="6925" width="10.90625" style="2995" customWidth="1"/>
    <col min="6926" max="6926" width="10" style="2995" customWidth="1"/>
    <col min="6927" max="6928" width="10.453125" style="2995" bestFit="1" customWidth="1"/>
    <col min="6929" max="6929" width="10" style="2995" customWidth="1"/>
    <col min="6930" max="6930" width="10.08984375" style="2995" customWidth="1"/>
    <col min="6931" max="6931" width="10" style="2995" customWidth="1"/>
    <col min="6932" max="6932" width="26.08984375" style="2995" customWidth="1"/>
    <col min="6933" max="7168" width="8.90625" style="2995"/>
    <col min="7169" max="7169" width="9.453125" style="2995" customWidth="1"/>
    <col min="7170" max="7170" width="8.90625" style="2995"/>
    <col min="7171" max="7173" width="12.90625" style="2995" customWidth="1"/>
    <col min="7174" max="7174" width="47.453125" style="2995" customWidth="1"/>
    <col min="7175" max="7175" width="13" style="2995" customWidth="1"/>
    <col min="7176" max="7177" width="8.90625" style="2995"/>
    <col min="7178" max="7178" width="5.90625" style="2995" customWidth="1"/>
    <col min="7179" max="7179" width="11.90625" style="2995" customWidth="1"/>
    <col min="7180" max="7181" width="10.90625" style="2995" customWidth="1"/>
    <col min="7182" max="7182" width="10" style="2995" customWidth="1"/>
    <col min="7183" max="7184" width="10.453125" style="2995" bestFit="1" customWidth="1"/>
    <col min="7185" max="7185" width="10" style="2995" customWidth="1"/>
    <col min="7186" max="7186" width="10.08984375" style="2995" customWidth="1"/>
    <col min="7187" max="7187" width="10" style="2995" customWidth="1"/>
    <col min="7188" max="7188" width="26.08984375" style="2995" customWidth="1"/>
    <col min="7189" max="7424" width="8.90625" style="2995"/>
    <col min="7425" max="7425" width="9.453125" style="2995" customWidth="1"/>
    <col min="7426" max="7426" width="8.90625" style="2995"/>
    <col min="7427" max="7429" width="12.90625" style="2995" customWidth="1"/>
    <col min="7430" max="7430" width="47.453125" style="2995" customWidth="1"/>
    <col min="7431" max="7431" width="13" style="2995" customWidth="1"/>
    <col min="7432" max="7433" width="8.90625" style="2995"/>
    <col min="7434" max="7434" width="5.90625" style="2995" customWidth="1"/>
    <col min="7435" max="7435" width="11.90625" style="2995" customWidth="1"/>
    <col min="7436" max="7437" width="10.90625" style="2995" customWidth="1"/>
    <col min="7438" max="7438" width="10" style="2995" customWidth="1"/>
    <col min="7439" max="7440" width="10.453125" style="2995" bestFit="1" customWidth="1"/>
    <col min="7441" max="7441" width="10" style="2995" customWidth="1"/>
    <col min="7442" max="7442" width="10.08984375" style="2995" customWidth="1"/>
    <col min="7443" max="7443" width="10" style="2995" customWidth="1"/>
    <col min="7444" max="7444" width="26.08984375" style="2995" customWidth="1"/>
    <col min="7445" max="7680" width="8.90625" style="2995"/>
    <col min="7681" max="7681" width="9.453125" style="2995" customWidth="1"/>
    <col min="7682" max="7682" width="8.90625" style="2995"/>
    <col min="7683" max="7685" width="12.90625" style="2995" customWidth="1"/>
    <col min="7686" max="7686" width="47.453125" style="2995" customWidth="1"/>
    <col min="7687" max="7687" width="13" style="2995" customWidth="1"/>
    <col min="7688" max="7689" width="8.90625" style="2995"/>
    <col min="7690" max="7690" width="5.90625" style="2995" customWidth="1"/>
    <col min="7691" max="7691" width="11.90625" style="2995" customWidth="1"/>
    <col min="7692" max="7693" width="10.90625" style="2995" customWidth="1"/>
    <col min="7694" max="7694" width="10" style="2995" customWidth="1"/>
    <col min="7695" max="7696" width="10.453125" style="2995" bestFit="1" customWidth="1"/>
    <col min="7697" max="7697" width="10" style="2995" customWidth="1"/>
    <col min="7698" max="7698" width="10.08984375" style="2995" customWidth="1"/>
    <col min="7699" max="7699" width="10" style="2995" customWidth="1"/>
    <col min="7700" max="7700" width="26.08984375" style="2995" customWidth="1"/>
    <col min="7701" max="7936" width="8.90625" style="2995"/>
    <col min="7937" max="7937" width="9.453125" style="2995" customWidth="1"/>
    <col min="7938" max="7938" width="8.90625" style="2995"/>
    <col min="7939" max="7941" width="12.90625" style="2995" customWidth="1"/>
    <col min="7942" max="7942" width="47.453125" style="2995" customWidth="1"/>
    <col min="7943" max="7943" width="13" style="2995" customWidth="1"/>
    <col min="7944" max="7945" width="8.90625" style="2995"/>
    <col min="7946" max="7946" width="5.90625" style="2995" customWidth="1"/>
    <col min="7947" max="7947" width="11.90625" style="2995" customWidth="1"/>
    <col min="7948" max="7949" width="10.90625" style="2995" customWidth="1"/>
    <col min="7950" max="7950" width="10" style="2995" customWidth="1"/>
    <col min="7951" max="7952" width="10.453125" style="2995" bestFit="1" customWidth="1"/>
    <col min="7953" max="7953" width="10" style="2995" customWidth="1"/>
    <col min="7954" max="7954" width="10.08984375" style="2995" customWidth="1"/>
    <col min="7955" max="7955" width="10" style="2995" customWidth="1"/>
    <col min="7956" max="7956" width="26.08984375" style="2995" customWidth="1"/>
    <col min="7957" max="8192" width="8.90625" style="2995"/>
    <col min="8193" max="8193" width="9.453125" style="2995" customWidth="1"/>
    <col min="8194" max="8194" width="8.90625" style="2995"/>
    <col min="8195" max="8197" width="12.90625" style="2995" customWidth="1"/>
    <col min="8198" max="8198" width="47.453125" style="2995" customWidth="1"/>
    <col min="8199" max="8199" width="13" style="2995" customWidth="1"/>
    <col min="8200" max="8201" width="8.90625" style="2995"/>
    <col min="8202" max="8202" width="5.90625" style="2995" customWidth="1"/>
    <col min="8203" max="8203" width="11.90625" style="2995" customWidth="1"/>
    <col min="8204" max="8205" width="10.90625" style="2995" customWidth="1"/>
    <col min="8206" max="8206" width="10" style="2995" customWidth="1"/>
    <col min="8207" max="8208" width="10.453125" style="2995" bestFit="1" customWidth="1"/>
    <col min="8209" max="8209" width="10" style="2995" customWidth="1"/>
    <col min="8210" max="8210" width="10.08984375" style="2995" customWidth="1"/>
    <col min="8211" max="8211" width="10" style="2995" customWidth="1"/>
    <col min="8212" max="8212" width="26.08984375" style="2995" customWidth="1"/>
    <col min="8213" max="8448" width="8.90625" style="2995"/>
    <col min="8449" max="8449" width="9.453125" style="2995" customWidth="1"/>
    <col min="8450" max="8450" width="8.90625" style="2995"/>
    <col min="8451" max="8453" width="12.90625" style="2995" customWidth="1"/>
    <col min="8454" max="8454" width="47.453125" style="2995" customWidth="1"/>
    <col min="8455" max="8455" width="13" style="2995" customWidth="1"/>
    <col min="8456" max="8457" width="8.90625" style="2995"/>
    <col min="8458" max="8458" width="5.90625" style="2995" customWidth="1"/>
    <col min="8459" max="8459" width="11.90625" style="2995" customWidth="1"/>
    <col min="8460" max="8461" width="10.90625" style="2995" customWidth="1"/>
    <col min="8462" max="8462" width="10" style="2995" customWidth="1"/>
    <col min="8463" max="8464" width="10.453125" style="2995" bestFit="1" customWidth="1"/>
    <col min="8465" max="8465" width="10" style="2995" customWidth="1"/>
    <col min="8466" max="8466" width="10.08984375" style="2995" customWidth="1"/>
    <col min="8467" max="8467" width="10" style="2995" customWidth="1"/>
    <col min="8468" max="8468" width="26.08984375" style="2995" customWidth="1"/>
    <col min="8469" max="8704" width="8.90625" style="2995"/>
    <col min="8705" max="8705" width="9.453125" style="2995" customWidth="1"/>
    <col min="8706" max="8706" width="8.90625" style="2995"/>
    <col min="8707" max="8709" width="12.90625" style="2995" customWidth="1"/>
    <col min="8710" max="8710" width="47.453125" style="2995" customWidth="1"/>
    <col min="8711" max="8711" width="13" style="2995" customWidth="1"/>
    <col min="8712" max="8713" width="8.90625" style="2995"/>
    <col min="8714" max="8714" width="5.90625" style="2995" customWidth="1"/>
    <col min="8715" max="8715" width="11.90625" style="2995" customWidth="1"/>
    <col min="8716" max="8717" width="10.90625" style="2995" customWidth="1"/>
    <col min="8718" max="8718" width="10" style="2995" customWidth="1"/>
    <col min="8719" max="8720" width="10.453125" style="2995" bestFit="1" customWidth="1"/>
    <col min="8721" max="8721" width="10" style="2995" customWidth="1"/>
    <col min="8722" max="8722" width="10.08984375" style="2995" customWidth="1"/>
    <col min="8723" max="8723" width="10" style="2995" customWidth="1"/>
    <col min="8724" max="8724" width="26.08984375" style="2995" customWidth="1"/>
    <col min="8725" max="8960" width="8.90625" style="2995"/>
    <col min="8961" max="8961" width="9.453125" style="2995" customWidth="1"/>
    <col min="8962" max="8962" width="8.90625" style="2995"/>
    <col min="8963" max="8965" width="12.90625" style="2995" customWidth="1"/>
    <col min="8966" max="8966" width="47.453125" style="2995" customWidth="1"/>
    <col min="8967" max="8967" width="13" style="2995" customWidth="1"/>
    <col min="8968" max="8969" width="8.90625" style="2995"/>
    <col min="8970" max="8970" width="5.90625" style="2995" customWidth="1"/>
    <col min="8971" max="8971" width="11.90625" style="2995" customWidth="1"/>
    <col min="8972" max="8973" width="10.90625" style="2995" customWidth="1"/>
    <col min="8974" max="8974" width="10" style="2995" customWidth="1"/>
    <col min="8975" max="8976" width="10.453125" style="2995" bestFit="1" customWidth="1"/>
    <col min="8977" max="8977" width="10" style="2995" customWidth="1"/>
    <col min="8978" max="8978" width="10.08984375" style="2995" customWidth="1"/>
    <col min="8979" max="8979" width="10" style="2995" customWidth="1"/>
    <col min="8980" max="8980" width="26.08984375" style="2995" customWidth="1"/>
    <col min="8981" max="9216" width="8.90625" style="2995"/>
    <col min="9217" max="9217" width="9.453125" style="2995" customWidth="1"/>
    <col min="9218" max="9218" width="8.90625" style="2995"/>
    <col min="9219" max="9221" width="12.90625" style="2995" customWidth="1"/>
    <col min="9222" max="9222" width="47.453125" style="2995" customWidth="1"/>
    <col min="9223" max="9223" width="13" style="2995" customWidth="1"/>
    <col min="9224" max="9225" width="8.90625" style="2995"/>
    <col min="9226" max="9226" width="5.90625" style="2995" customWidth="1"/>
    <col min="9227" max="9227" width="11.90625" style="2995" customWidth="1"/>
    <col min="9228" max="9229" width="10.90625" style="2995" customWidth="1"/>
    <col min="9230" max="9230" width="10" style="2995" customWidth="1"/>
    <col min="9231" max="9232" width="10.453125" style="2995" bestFit="1" customWidth="1"/>
    <col min="9233" max="9233" width="10" style="2995" customWidth="1"/>
    <col min="9234" max="9234" width="10.08984375" style="2995" customWidth="1"/>
    <col min="9235" max="9235" width="10" style="2995" customWidth="1"/>
    <col min="9236" max="9236" width="26.08984375" style="2995" customWidth="1"/>
    <col min="9237" max="9472" width="8.90625" style="2995"/>
    <col min="9473" max="9473" width="9.453125" style="2995" customWidth="1"/>
    <col min="9474" max="9474" width="8.90625" style="2995"/>
    <col min="9475" max="9477" width="12.90625" style="2995" customWidth="1"/>
    <col min="9478" max="9478" width="47.453125" style="2995" customWidth="1"/>
    <col min="9479" max="9479" width="13" style="2995" customWidth="1"/>
    <col min="9480" max="9481" width="8.90625" style="2995"/>
    <col min="9482" max="9482" width="5.90625" style="2995" customWidth="1"/>
    <col min="9483" max="9483" width="11.90625" style="2995" customWidth="1"/>
    <col min="9484" max="9485" width="10.90625" style="2995" customWidth="1"/>
    <col min="9486" max="9486" width="10" style="2995" customWidth="1"/>
    <col min="9487" max="9488" width="10.453125" style="2995" bestFit="1" customWidth="1"/>
    <col min="9489" max="9489" width="10" style="2995" customWidth="1"/>
    <col min="9490" max="9490" width="10.08984375" style="2995" customWidth="1"/>
    <col min="9491" max="9491" width="10" style="2995" customWidth="1"/>
    <col min="9492" max="9492" width="26.08984375" style="2995" customWidth="1"/>
    <col min="9493" max="9728" width="8.90625" style="2995"/>
    <col min="9729" max="9729" width="9.453125" style="2995" customWidth="1"/>
    <col min="9730" max="9730" width="8.90625" style="2995"/>
    <col min="9731" max="9733" width="12.90625" style="2995" customWidth="1"/>
    <col min="9734" max="9734" width="47.453125" style="2995" customWidth="1"/>
    <col min="9735" max="9735" width="13" style="2995" customWidth="1"/>
    <col min="9736" max="9737" width="8.90625" style="2995"/>
    <col min="9738" max="9738" width="5.90625" style="2995" customWidth="1"/>
    <col min="9739" max="9739" width="11.90625" style="2995" customWidth="1"/>
    <col min="9740" max="9741" width="10.90625" style="2995" customWidth="1"/>
    <col min="9742" max="9742" width="10" style="2995" customWidth="1"/>
    <col min="9743" max="9744" width="10.453125" style="2995" bestFit="1" customWidth="1"/>
    <col min="9745" max="9745" width="10" style="2995" customWidth="1"/>
    <col min="9746" max="9746" width="10.08984375" style="2995" customWidth="1"/>
    <col min="9747" max="9747" width="10" style="2995" customWidth="1"/>
    <col min="9748" max="9748" width="26.08984375" style="2995" customWidth="1"/>
    <col min="9749" max="9984" width="8.90625" style="2995"/>
    <col min="9985" max="9985" width="9.453125" style="2995" customWidth="1"/>
    <col min="9986" max="9986" width="8.90625" style="2995"/>
    <col min="9987" max="9989" width="12.90625" style="2995" customWidth="1"/>
    <col min="9990" max="9990" width="47.453125" style="2995" customWidth="1"/>
    <col min="9991" max="9991" width="13" style="2995" customWidth="1"/>
    <col min="9992" max="9993" width="8.90625" style="2995"/>
    <col min="9994" max="9994" width="5.90625" style="2995" customWidth="1"/>
    <col min="9995" max="9995" width="11.90625" style="2995" customWidth="1"/>
    <col min="9996" max="9997" width="10.90625" style="2995" customWidth="1"/>
    <col min="9998" max="9998" width="10" style="2995" customWidth="1"/>
    <col min="9999" max="10000" width="10.453125" style="2995" bestFit="1" customWidth="1"/>
    <col min="10001" max="10001" width="10" style="2995" customWidth="1"/>
    <col min="10002" max="10002" width="10.08984375" style="2995" customWidth="1"/>
    <col min="10003" max="10003" width="10" style="2995" customWidth="1"/>
    <col min="10004" max="10004" width="26.08984375" style="2995" customWidth="1"/>
    <col min="10005" max="10240" width="8.90625" style="2995"/>
    <col min="10241" max="10241" width="9.453125" style="2995" customWidth="1"/>
    <col min="10242" max="10242" width="8.90625" style="2995"/>
    <col min="10243" max="10245" width="12.90625" style="2995" customWidth="1"/>
    <col min="10246" max="10246" width="47.453125" style="2995" customWidth="1"/>
    <col min="10247" max="10247" width="13" style="2995" customWidth="1"/>
    <col min="10248" max="10249" width="8.90625" style="2995"/>
    <col min="10250" max="10250" width="5.90625" style="2995" customWidth="1"/>
    <col min="10251" max="10251" width="11.90625" style="2995" customWidth="1"/>
    <col min="10252" max="10253" width="10.90625" style="2995" customWidth="1"/>
    <col min="10254" max="10254" width="10" style="2995" customWidth="1"/>
    <col min="10255" max="10256" width="10.453125" style="2995" bestFit="1" customWidth="1"/>
    <col min="10257" max="10257" width="10" style="2995" customWidth="1"/>
    <col min="10258" max="10258" width="10.08984375" style="2995" customWidth="1"/>
    <col min="10259" max="10259" width="10" style="2995" customWidth="1"/>
    <col min="10260" max="10260" width="26.08984375" style="2995" customWidth="1"/>
    <col min="10261" max="10496" width="8.90625" style="2995"/>
    <col min="10497" max="10497" width="9.453125" style="2995" customWidth="1"/>
    <col min="10498" max="10498" width="8.90625" style="2995"/>
    <col min="10499" max="10501" width="12.90625" style="2995" customWidth="1"/>
    <col min="10502" max="10502" width="47.453125" style="2995" customWidth="1"/>
    <col min="10503" max="10503" width="13" style="2995" customWidth="1"/>
    <col min="10504" max="10505" width="8.90625" style="2995"/>
    <col min="10506" max="10506" width="5.90625" style="2995" customWidth="1"/>
    <col min="10507" max="10507" width="11.90625" style="2995" customWidth="1"/>
    <col min="10508" max="10509" width="10.90625" style="2995" customWidth="1"/>
    <col min="10510" max="10510" width="10" style="2995" customWidth="1"/>
    <col min="10511" max="10512" width="10.453125" style="2995" bestFit="1" customWidth="1"/>
    <col min="10513" max="10513" width="10" style="2995" customWidth="1"/>
    <col min="10514" max="10514" width="10.08984375" style="2995" customWidth="1"/>
    <col min="10515" max="10515" width="10" style="2995" customWidth="1"/>
    <col min="10516" max="10516" width="26.08984375" style="2995" customWidth="1"/>
    <col min="10517" max="10752" width="8.90625" style="2995"/>
    <col min="10753" max="10753" width="9.453125" style="2995" customWidth="1"/>
    <col min="10754" max="10754" width="8.90625" style="2995"/>
    <col min="10755" max="10757" width="12.90625" style="2995" customWidth="1"/>
    <col min="10758" max="10758" width="47.453125" style="2995" customWidth="1"/>
    <col min="10759" max="10759" width="13" style="2995" customWidth="1"/>
    <col min="10760" max="10761" width="8.90625" style="2995"/>
    <col min="10762" max="10762" width="5.90625" style="2995" customWidth="1"/>
    <col min="10763" max="10763" width="11.90625" style="2995" customWidth="1"/>
    <col min="10764" max="10765" width="10.90625" style="2995" customWidth="1"/>
    <col min="10766" max="10766" width="10" style="2995" customWidth="1"/>
    <col min="10767" max="10768" width="10.453125" style="2995" bestFit="1" customWidth="1"/>
    <col min="10769" max="10769" width="10" style="2995" customWidth="1"/>
    <col min="10770" max="10770" width="10.08984375" style="2995" customWidth="1"/>
    <col min="10771" max="10771" width="10" style="2995" customWidth="1"/>
    <col min="10772" max="10772" width="26.08984375" style="2995" customWidth="1"/>
    <col min="10773" max="11008" width="8.90625" style="2995"/>
    <col min="11009" max="11009" width="9.453125" style="2995" customWidth="1"/>
    <col min="11010" max="11010" width="8.90625" style="2995"/>
    <col min="11011" max="11013" width="12.90625" style="2995" customWidth="1"/>
    <col min="11014" max="11014" width="47.453125" style="2995" customWidth="1"/>
    <col min="11015" max="11015" width="13" style="2995" customWidth="1"/>
    <col min="11016" max="11017" width="8.90625" style="2995"/>
    <col min="11018" max="11018" width="5.90625" style="2995" customWidth="1"/>
    <col min="11019" max="11019" width="11.90625" style="2995" customWidth="1"/>
    <col min="11020" max="11021" width="10.90625" style="2995" customWidth="1"/>
    <col min="11022" max="11022" width="10" style="2995" customWidth="1"/>
    <col min="11023" max="11024" width="10.453125" style="2995" bestFit="1" customWidth="1"/>
    <col min="11025" max="11025" width="10" style="2995" customWidth="1"/>
    <col min="11026" max="11026" width="10.08984375" style="2995" customWidth="1"/>
    <col min="11027" max="11027" width="10" style="2995" customWidth="1"/>
    <col min="11028" max="11028" width="26.08984375" style="2995" customWidth="1"/>
    <col min="11029" max="11264" width="8.90625" style="2995"/>
    <col min="11265" max="11265" width="9.453125" style="2995" customWidth="1"/>
    <col min="11266" max="11266" width="8.90625" style="2995"/>
    <col min="11267" max="11269" width="12.90625" style="2995" customWidth="1"/>
    <col min="11270" max="11270" width="47.453125" style="2995" customWidth="1"/>
    <col min="11271" max="11271" width="13" style="2995" customWidth="1"/>
    <col min="11272" max="11273" width="8.90625" style="2995"/>
    <col min="11274" max="11274" width="5.90625" style="2995" customWidth="1"/>
    <col min="11275" max="11275" width="11.90625" style="2995" customWidth="1"/>
    <col min="11276" max="11277" width="10.90625" style="2995" customWidth="1"/>
    <col min="11278" max="11278" width="10" style="2995" customWidth="1"/>
    <col min="11279" max="11280" width="10.453125" style="2995" bestFit="1" customWidth="1"/>
    <col min="11281" max="11281" width="10" style="2995" customWidth="1"/>
    <col min="11282" max="11282" width="10.08984375" style="2995" customWidth="1"/>
    <col min="11283" max="11283" width="10" style="2995" customWidth="1"/>
    <col min="11284" max="11284" width="26.08984375" style="2995" customWidth="1"/>
    <col min="11285" max="11520" width="8.90625" style="2995"/>
    <col min="11521" max="11521" width="9.453125" style="2995" customWidth="1"/>
    <col min="11522" max="11522" width="8.90625" style="2995"/>
    <col min="11523" max="11525" width="12.90625" style="2995" customWidth="1"/>
    <col min="11526" max="11526" width="47.453125" style="2995" customWidth="1"/>
    <col min="11527" max="11527" width="13" style="2995" customWidth="1"/>
    <col min="11528" max="11529" width="8.90625" style="2995"/>
    <col min="11530" max="11530" width="5.90625" style="2995" customWidth="1"/>
    <col min="11531" max="11531" width="11.90625" style="2995" customWidth="1"/>
    <col min="11532" max="11533" width="10.90625" style="2995" customWidth="1"/>
    <col min="11534" max="11534" width="10" style="2995" customWidth="1"/>
    <col min="11535" max="11536" width="10.453125" style="2995" bestFit="1" customWidth="1"/>
    <col min="11537" max="11537" width="10" style="2995" customWidth="1"/>
    <col min="11538" max="11538" width="10.08984375" style="2995" customWidth="1"/>
    <col min="11539" max="11539" width="10" style="2995" customWidth="1"/>
    <col min="11540" max="11540" width="26.08984375" style="2995" customWidth="1"/>
    <col min="11541" max="11776" width="8.90625" style="2995"/>
    <col min="11777" max="11777" width="9.453125" style="2995" customWidth="1"/>
    <col min="11778" max="11778" width="8.90625" style="2995"/>
    <col min="11779" max="11781" width="12.90625" style="2995" customWidth="1"/>
    <col min="11782" max="11782" width="47.453125" style="2995" customWidth="1"/>
    <col min="11783" max="11783" width="13" style="2995" customWidth="1"/>
    <col min="11784" max="11785" width="8.90625" style="2995"/>
    <col min="11786" max="11786" width="5.90625" style="2995" customWidth="1"/>
    <col min="11787" max="11787" width="11.90625" style="2995" customWidth="1"/>
    <col min="11788" max="11789" width="10.90625" style="2995" customWidth="1"/>
    <col min="11790" max="11790" width="10" style="2995" customWidth="1"/>
    <col min="11791" max="11792" width="10.453125" style="2995" bestFit="1" customWidth="1"/>
    <col min="11793" max="11793" width="10" style="2995" customWidth="1"/>
    <col min="11794" max="11794" width="10.08984375" style="2995" customWidth="1"/>
    <col min="11795" max="11795" width="10" style="2995" customWidth="1"/>
    <col min="11796" max="11796" width="26.08984375" style="2995" customWidth="1"/>
    <col min="11797" max="12032" width="8.90625" style="2995"/>
    <col min="12033" max="12033" width="9.453125" style="2995" customWidth="1"/>
    <col min="12034" max="12034" width="8.90625" style="2995"/>
    <col min="12035" max="12037" width="12.90625" style="2995" customWidth="1"/>
    <col min="12038" max="12038" width="47.453125" style="2995" customWidth="1"/>
    <col min="12039" max="12039" width="13" style="2995" customWidth="1"/>
    <col min="12040" max="12041" width="8.90625" style="2995"/>
    <col min="12042" max="12042" width="5.90625" style="2995" customWidth="1"/>
    <col min="12043" max="12043" width="11.90625" style="2995" customWidth="1"/>
    <col min="12044" max="12045" width="10.90625" style="2995" customWidth="1"/>
    <col min="12046" max="12046" width="10" style="2995" customWidth="1"/>
    <col min="12047" max="12048" width="10.453125" style="2995" bestFit="1" customWidth="1"/>
    <col min="12049" max="12049" width="10" style="2995" customWidth="1"/>
    <col min="12050" max="12050" width="10.08984375" style="2995" customWidth="1"/>
    <col min="12051" max="12051" width="10" style="2995" customWidth="1"/>
    <col min="12052" max="12052" width="26.08984375" style="2995" customWidth="1"/>
    <col min="12053" max="12288" width="8.90625" style="2995"/>
    <col min="12289" max="12289" width="9.453125" style="2995" customWidth="1"/>
    <col min="12290" max="12290" width="8.90625" style="2995"/>
    <col min="12291" max="12293" width="12.90625" style="2995" customWidth="1"/>
    <col min="12294" max="12294" width="47.453125" style="2995" customWidth="1"/>
    <col min="12295" max="12295" width="13" style="2995" customWidth="1"/>
    <col min="12296" max="12297" width="8.90625" style="2995"/>
    <col min="12298" max="12298" width="5.90625" style="2995" customWidth="1"/>
    <col min="12299" max="12299" width="11.90625" style="2995" customWidth="1"/>
    <col min="12300" max="12301" width="10.90625" style="2995" customWidth="1"/>
    <col min="12302" max="12302" width="10" style="2995" customWidth="1"/>
    <col min="12303" max="12304" width="10.453125" style="2995" bestFit="1" customWidth="1"/>
    <col min="12305" max="12305" width="10" style="2995" customWidth="1"/>
    <col min="12306" max="12306" width="10.08984375" style="2995" customWidth="1"/>
    <col min="12307" max="12307" width="10" style="2995" customWidth="1"/>
    <col min="12308" max="12308" width="26.08984375" style="2995" customWidth="1"/>
    <col min="12309" max="12544" width="8.90625" style="2995"/>
    <col min="12545" max="12545" width="9.453125" style="2995" customWidth="1"/>
    <col min="12546" max="12546" width="8.90625" style="2995"/>
    <col min="12547" max="12549" width="12.90625" style="2995" customWidth="1"/>
    <col min="12550" max="12550" width="47.453125" style="2995" customWidth="1"/>
    <col min="12551" max="12551" width="13" style="2995" customWidth="1"/>
    <col min="12552" max="12553" width="8.90625" style="2995"/>
    <col min="12554" max="12554" width="5.90625" style="2995" customWidth="1"/>
    <col min="12555" max="12555" width="11.90625" style="2995" customWidth="1"/>
    <col min="12556" max="12557" width="10.90625" style="2995" customWidth="1"/>
    <col min="12558" max="12558" width="10" style="2995" customWidth="1"/>
    <col min="12559" max="12560" width="10.453125" style="2995" bestFit="1" customWidth="1"/>
    <col min="12561" max="12561" width="10" style="2995" customWidth="1"/>
    <col min="12562" max="12562" width="10.08984375" style="2995" customWidth="1"/>
    <col min="12563" max="12563" width="10" style="2995" customWidth="1"/>
    <col min="12564" max="12564" width="26.08984375" style="2995" customWidth="1"/>
    <col min="12565" max="12800" width="8.90625" style="2995"/>
    <col min="12801" max="12801" width="9.453125" style="2995" customWidth="1"/>
    <col min="12802" max="12802" width="8.90625" style="2995"/>
    <col min="12803" max="12805" width="12.90625" style="2995" customWidth="1"/>
    <col min="12806" max="12806" width="47.453125" style="2995" customWidth="1"/>
    <col min="12807" max="12807" width="13" style="2995" customWidth="1"/>
    <col min="12808" max="12809" width="8.90625" style="2995"/>
    <col min="12810" max="12810" width="5.90625" style="2995" customWidth="1"/>
    <col min="12811" max="12811" width="11.90625" style="2995" customWidth="1"/>
    <col min="12812" max="12813" width="10.90625" style="2995" customWidth="1"/>
    <col min="12814" max="12814" width="10" style="2995" customWidth="1"/>
    <col min="12815" max="12816" width="10.453125" style="2995" bestFit="1" customWidth="1"/>
    <col min="12817" max="12817" width="10" style="2995" customWidth="1"/>
    <col min="12818" max="12818" width="10.08984375" style="2995" customWidth="1"/>
    <col min="12819" max="12819" width="10" style="2995" customWidth="1"/>
    <col min="12820" max="12820" width="26.08984375" style="2995" customWidth="1"/>
    <col min="12821" max="13056" width="8.90625" style="2995"/>
    <col min="13057" max="13057" width="9.453125" style="2995" customWidth="1"/>
    <col min="13058" max="13058" width="8.90625" style="2995"/>
    <col min="13059" max="13061" width="12.90625" style="2995" customWidth="1"/>
    <col min="13062" max="13062" width="47.453125" style="2995" customWidth="1"/>
    <col min="13063" max="13063" width="13" style="2995" customWidth="1"/>
    <col min="13064" max="13065" width="8.90625" style="2995"/>
    <col min="13066" max="13066" width="5.90625" style="2995" customWidth="1"/>
    <col min="13067" max="13067" width="11.90625" style="2995" customWidth="1"/>
    <col min="13068" max="13069" width="10.90625" style="2995" customWidth="1"/>
    <col min="13070" max="13070" width="10" style="2995" customWidth="1"/>
    <col min="13071" max="13072" width="10.453125" style="2995" bestFit="1" customWidth="1"/>
    <col min="13073" max="13073" width="10" style="2995" customWidth="1"/>
    <col min="13074" max="13074" width="10.08984375" style="2995" customWidth="1"/>
    <col min="13075" max="13075" width="10" style="2995" customWidth="1"/>
    <col min="13076" max="13076" width="26.08984375" style="2995" customWidth="1"/>
    <col min="13077" max="13312" width="8.90625" style="2995"/>
    <col min="13313" max="13313" width="9.453125" style="2995" customWidth="1"/>
    <col min="13314" max="13314" width="8.90625" style="2995"/>
    <col min="13315" max="13317" width="12.90625" style="2995" customWidth="1"/>
    <col min="13318" max="13318" width="47.453125" style="2995" customWidth="1"/>
    <col min="13319" max="13319" width="13" style="2995" customWidth="1"/>
    <col min="13320" max="13321" width="8.90625" style="2995"/>
    <col min="13322" max="13322" width="5.90625" style="2995" customWidth="1"/>
    <col min="13323" max="13323" width="11.90625" style="2995" customWidth="1"/>
    <col min="13324" max="13325" width="10.90625" style="2995" customWidth="1"/>
    <col min="13326" max="13326" width="10" style="2995" customWidth="1"/>
    <col min="13327" max="13328" width="10.453125" style="2995" bestFit="1" customWidth="1"/>
    <col min="13329" max="13329" width="10" style="2995" customWidth="1"/>
    <col min="13330" max="13330" width="10.08984375" style="2995" customWidth="1"/>
    <col min="13331" max="13331" width="10" style="2995" customWidth="1"/>
    <col min="13332" max="13332" width="26.08984375" style="2995" customWidth="1"/>
    <col min="13333" max="13568" width="8.90625" style="2995"/>
    <col min="13569" max="13569" width="9.453125" style="2995" customWidth="1"/>
    <col min="13570" max="13570" width="8.90625" style="2995"/>
    <col min="13571" max="13573" width="12.90625" style="2995" customWidth="1"/>
    <col min="13574" max="13574" width="47.453125" style="2995" customWidth="1"/>
    <col min="13575" max="13575" width="13" style="2995" customWidth="1"/>
    <col min="13576" max="13577" width="8.90625" style="2995"/>
    <col min="13578" max="13578" width="5.90625" style="2995" customWidth="1"/>
    <col min="13579" max="13579" width="11.90625" style="2995" customWidth="1"/>
    <col min="13580" max="13581" width="10.90625" style="2995" customWidth="1"/>
    <col min="13582" max="13582" width="10" style="2995" customWidth="1"/>
    <col min="13583" max="13584" width="10.453125" style="2995" bestFit="1" customWidth="1"/>
    <col min="13585" max="13585" width="10" style="2995" customWidth="1"/>
    <col min="13586" max="13586" width="10.08984375" style="2995" customWidth="1"/>
    <col min="13587" max="13587" width="10" style="2995" customWidth="1"/>
    <col min="13588" max="13588" width="26.08984375" style="2995" customWidth="1"/>
    <col min="13589" max="13824" width="8.90625" style="2995"/>
    <col min="13825" max="13825" width="9.453125" style="2995" customWidth="1"/>
    <col min="13826" max="13826" width="8.90625" style="2995"/>
    <col min="13827" max="13829" width="12.90625" style="2995" customWidth="1"/>
    <col min="13830" max="13830" width="47.453125" style="2995" customWidth="1"/>
    <col min="13831" max="13831" width="13" style="2995" customWidth="1"/>
    <col min="13832" max="13833" width="8.90625" style="2995"/>
    <col min="13834" max="13834" width="5.90625" style="2995" customWidth="1"/>
    <col min="13835" max="13835" width="11.90625" style="2995" customWidth="1"/>
    <col min="13836" max="13837" width="10.90625" style="2995" customWidth="1"/>
    <col min="13838" max="13838" width="10" style="2995" customWidth="1"/>
    <col min="13839" max="13840" width="10.453125" style="2995" bestFit="1" customWidth="1"/>
    <col min="13841" max="13841" width="10" style="2995" customWidth="1"/>
    <col min="13842" max="13842" width="10.08984375" style="2995" customWidth="1"/>
    <col min="13843" max="13843" width="10" style="2995" customWidth="1"/>
    <col min="13844" max="13844" width="26.08984375" style="2995" customWidth="1"/>
    <col min="13845" max="14080" width="8.90625" style="2995"/>
    <col min="14081" max="14081" width="9.453125" style="2995" customWidth="1"/>
    <col min="14082" max="14082" width="8.90625" style="2995"/>
    <col min="14083" max="14085" width="12.90625" style="2995" customWidth="1"/>
    <col min="14086" max="14086" width="47.453125" style="2995" customWidth="1"/>
    <col min="14087" max="14087" width="13" style="2995" customWidth="1"/>
    <col min="14088" max="14089" width="8.90625" style="2995"/>
    <col min="14090" max="14090" width="5.90625" style="2995" customWidth="1"/>
    <col min="14091" max="14091" width="11.90625" style="2995" customWidth="1"/>
    <col min="14092" max="14093" width="10.90625" style="2995" customWidth="1"/>
    <col min="14094" max="14094" width="10" style="2995" customWidth="1"/>
    <col min="14095" max="14096" width="10.453125" style="2995" bestFit="1" customWidth="1"/>
    <col min="14097" max="14097" width="10" style="2995" customWidth="1"/>
    <col min="14098" max="14098" width="10.08984375" style="2995" customWidth="1"/>
    <col min="14099" max="14099" width="10" style="2995" customWidth="1"/>
    <col min="14100" max="14100" width="26.08984375" style="2995" customWidth="1"/>
    <col min="14101" max="14336" width="8.90625" style="2995"/>
    <col min="14337" max="14337" width="9.453125" style="2995" customWidth="1"/>
    <col min="14338" max="14338" width="8.90625" style="2995"/>
    <col min="14339" max="14341" width="12.90625" style="2995" customWidth="1"/>
    <col min="14342" max="14342" width="47.453125" style="2995" customWidth="1"/>
    <col min="14343" max="14343" width="13" style="2995" customWidth="1"/>
    <col min="14344" max="14345" width="8.90625" style="2995"/>
    <col min="14346" max="14346" width="5.90625" style="2995" customWidth="1"/>
    <col min="14347" max="14347" width="11.90625" style="2995" customWidth="1"/>
    <col min="14348" max="14349" width="10.90625" style="2995" customWidth="1"/>
    <col min="14350" max="14350" width="10" style="2995" customWidth="1"/>
    <col min="14351" max="14352" width="10.453125" style="2995" bestFit="1" customWidth="1"/>
    <col min="14353" max="14353" width="10" style="2995" customWidth="1"/>
    <col min="14354" max="14354" width="10.08984375" style="2995" customWidth="1"/>
    <col min="14355" max="14355" width="10" style="2995" customWidth="1"/>
    <col min="14356" max="14356" width="26.08984375" style="2995" customWidth="1"/>
    <col min="14357" max="14592" width="8.90625" style="2995"/>
    <col min="14593" max="14593" width="9.453125" style="2995" customWidth="1"/>
    <col min="14594" max="14594" width="8.90625" style="2995"/>
    <col min="14595" max="14597" width="12.90625" style="2995" customWidth="1"/>
    <col min="14598" max="14598" width="47.453125" style="2995" customWidth="1"/>
    <col min="14599" max="14599" width="13" style="2995" customWidth="1"/>
    <col min="14600" max="14601" width="8.90625" style="2995"/>
    <col min="14602" max="14602" width="5.90625" style="2995" customWidth="1"/>
    <col min="14603" max="14603" width="11.90625" style="2995" customWidth="1"/>
    <col min="14604" max="14605" width="10.90625" style="2995" customWidth="1"/>
    <col min="14606" max="14606" width="10" style="2995" customWidth="1"/>
    <col min="14607" max="14608" width="10.453125" style="2995" bestFit="1" customWidth="1"/>
    <col min="14609" max="14609" width="10" style="2995" customWidth="1"/>
    <col min="14610" max="14610" width="10.08984375" style="2995" customWidth="1"/>
    <col min="14611" max="14611" width="10" style="2995" customWidth="1"/>
    <col min="14612" max="14612" width="26.08984375" style="2995" customWidth="1"/>
    <col min="14613" max="14848" width="8.90625" style="2995"/>
    <col min="14849" max="14849" width="9.453125" style="2995" customWidth="1"/>
    <col min="14850" max="14850" width="8.90625" style="2995"/>
    <col min="14851" max="14853" width="12.90625" style="2995" customWidth="1"/>
    <col min="14854" max="14854" width="47.453125" style="2995" customWidth="1"/>
    <col min="14855" max="14855" width="13" style="2995" customWidth="1"/>
    <col min="14856" max="14857" width="8.90625" style="2995"/>
    <col min="14858" max="14858" width="5.90625" style="2995" customWidth="1"/>
    <col min="14859" max="14859" width="11.90625" style="2995" customWidth="1"/>
    <col min="14860" max="14861" width="10.90625" style="2995" customWidth="1"/>
    <col min="14862" max="14862" width="10" style="2995" customWidth="1"/>
    <col min="14863" max="14864" width="10.453125" style="2995" bestFit="1" customWidth="1"/>
    <col min="14865" max="14865" width="10" style="2995" customWidth="1"/>
    <col min="14866" max="14866" width="10.08984375" style="2995" customWidth="1"/>
    <col min="14867" max="14867" width="10" style="2995" customWidth="1"/>
    <col min="14868" max="14868" width="26.08984375" style="2995" customWidth="1"/>
    <col min="14869" max="15104" width="8.90625" style="2995"/>
    <col min="15105" max="15105" width="9.453125" style="2995" customWidth="1"/>
    <col min="15106" max="15106" width="8.90625" style="2995"/>
    <col min="15107" max="15109" width="12.90625" style="2995" customWidth="1"/>
    <col min="15110" max="15110" width="47.453125" style="2995" customWidth="1"/>
    <col min="15111" max="15111" width="13" style="2995" customWidth="1"/>
    <col min="15112" max="15113" width="8.90625" style="2995"/>
    <col min="15114" max="15114" width="5.90625" style="2995" customWidth="1"/>
    <col min="15115" max="15115" width="11.90625" style="2995" customWidth="1"/>
    <col min="15116" max="15117" width="10.90625" style="2995" customWidth="1"/>
    <col min="15118" max="15118" width="10" style="2995" customWidth="1"/>
    <col min="15119" max="15120" width="10.453125" style="2995" bestFit="1" customWidth="1"/>
    <col min="15121" max="15121" width="10" style="2995" customWidth="1"/>
    <col min="15122" max="15122" width="10.08984375" style="2995" customWidth="1"/>
    <col min="15123" max="15123" width="10" style="2995" customWidth="1"/>
    <col min="15124" max="15124" width="26.08984375" style="2995" customWidth="1"/>
    <col min="15125" max="15360" width="8.90625" style="2995"/>
    <col min="15361" max="15361" width="9.453125" style="2995" customWidth="1"/>
    <col min="15362" max="15362" width="8.90625" style="2995"/>
    <col min="15363" max="15365" width="12.90625" style="2995" customWidth="1"/>
    <col min="15366" max="15366" width="47.453125" style="2995" customWidth="1"/>
    <col min="15367" max="15367" width="13" style="2995" customWidth="1"/>
    <col min="15368" max="15369" width="8.90625" style="2995"/>
    <col min="15370" max="15370" width="5.90625" style="2995" customWidth="1"/>
    <col min="15371" max="15371" width="11.90625" style="2995" customWidth="1"/>
    <col min="15372" max="15373" width="10.90625" style="2995" customWidth="1"/>
    <col min="15374" max="15374" width="10" style="2995" customWidth="1"/>
    <col min="15375" max="15376" width="10.453125" style="2995" bestFit="1" customWidth="1"/>
    <col min="15377" max="15377" width="10" style="2995" customWidth="1"/>
    <col min="15378" max="15378" width="10.08984375" style="2995" customWidth="1"/>
    <col min="15379" max="15379" width="10" style="2995" customWidth="1"/>
    <col min="15380" max="15380" width="26.08984375" style="2995" customWidth="1"/>
    <col min="15381" max="15616" width="8.90625" style="2995"/>
    <col min="15617" max="15617" width="9.453125" style="2995" customWidth="1"/>
    <col min="15618" max="15618" width="8.90625" style="2995"/>
    <col min="15619" max="15621" width="12.90625" style="2995" customWidth="1"/>
    <col min="15622" max="15622" width="47.453125" style="2995" customWidth="1"/>
    <col min="15623" max="15623" width="13" style="2995" customWidth="1"/>
    <col min="15624" max="15625" width="8.90625" style="2995"/>
    <col min="15626" max="15626" width="5.90625" style="2995" customWidth="1"/>
    <col min="15627" max="15627" width="11.90625" style="2995" customWidth="1"/>
    <col min="15628" max="15629" width="10.90625" style="2995" customWidth="1"/>
    <col min="15630" max="15630" width="10" style="2995" customWidth="1"/>
    <col min="15631" max="15632" width="10.453125" style="2995" bestFit="1" customWidth="1"/>
    <col min="15633" max="15633" width="10" style="2995" customWidth="1"/>
    <col min="15634" max="15634" width="10.08984375" style="2995" customWidth="1"/>
    <col min="15635" max="15635" width="10" style="2995" customWidth="1"/>
    <col min="15636" max="15636" width="26.08984375" style="2995" customWidth="1"/>
    <col min="15637" max="15872" width="8.90625" style="2995"/>
    <col min="15873" max="15873" width="9.453125" style="2995" customWidth="1"/>
    <col min="15874" max="15874" width="8.90625" style="2995"/>
    <col min="15875" max="15877" width="12.90625" style="2995" customWidth="1"/>
    <col min="15878" max="15878" width="47.453125" style="2995" customWidth="1"/>
    <col min="15879" max="15879" width="13" style="2995" customWidth="1"/>
    <col min="15880" max="15881" width="8.90625" style="2995"/>
    <col min="15882" max="15882" width="5.90625" style="2995" customWidth="1"/>
    <col min="15883" max="15883" width="11.90625" style="2995" customWidth="1"/>
    <col min="15884" max="15885" width="10.90625" style="2995" customWidth="1"/>
    <col min="15886" max="15886" width="10" style="2995" customWidth="1"/>
    <col min="15887" max="15888" width="10.453125" style="2995" bestFit="1" customWidth="1"/>
    <col min="15889" max="15889" width="10" style="2995" customWidth="1"/>
    <col min="15890" max="15890" width="10.08984375" style="2995" customWidth="1"/>
    <col min="15891" max="15891" width="10" style="2995" customWidth="1"/>
    <col min="15892" max="15892" width="26.08984375" style="2995" customWidth="1"/>
    <col min="15893" max="16128" width="8.90625" style="2995"/>
    <col min="16129" max="16129" width="9.453125" style="2995" customWidth="1"/>
    <col min="16130" max="16130" width="8.90625" style="2995"/>
    <col min="16131" max="16133" width="12.90625" style="2995" customWidth="1"/>
    <col min="16134" max="16134" width="47.453125" style="2995" customWidth="1"/>
    <col min="16135" max="16135" width="13" style="2995" customWidth="1"/>
    <col min="16136" max="16137" width="8.90625" style="2995"/>
    <col min="16138" max="16138" width="5.90625" style="2995" customWidth="1"/>
    <col min="16139" max="16139" width="11.90625" style="2995" customWidth="1"/>
    <col min="16140" max="16141" width="10.90625" style="2995" customWidth="1"/>
    <col min="16142" max="16142" width="10" style="2995" customWidth="1"/>
    <col min="16143" max="16144" width="10.453125" style="2995" bestFit="1" customWidth="1"/>
    <col min="16145" max="16145" width="10" style="2995" customWidth="1"/>
    <col min="16146" max="16146" width="10.08984375" style="2995" customWidth="1"/>
    <col min="16147" max="16147" width="10" style="2995" customWidth="1"/>
    <col min="16148" max="16148" width="26.08984375" style="2995" customWidth="1"/>
    <col min="16149" max="16384" width="8.90625" style="2995"/>
  </cols>
  <sheetData>
    <row r="1" spans="1:22" ht="21" customHeight="1">
      <c r="A1" s="2984" t="s">
        <v>2930</v>
      </c>
      <c r="B1" s="2985"/>
      <c r="C1" s="2997"/>
      <c r="D1" s="2997"/>
      <c r="E1" s="2986"/>
      <c r="F1" s="2987"/>
      <c r="G1" s="2988"/>
      <c r="J1" s="2991" t="s">
        <v>2810</v>
      </c>
      <c r="K1" s="2992"/>
      <c r="L1" s="2992"/>
      <c r="M1" s="2992"/>
      <c r="N1" s="2992"/>
      <c r="O1" s="2992"/>
      <c r="P1" s="2992"/>
      <c r="Q1" s="2992"/>
      <c r="R1" s="2993"/>
      <c r="S1" s="2994"/>
      <c r="T1" s="2994"/>
      <c r="U1" s="2994"/>
    </row>
    <row r="2" spans="1:22" s="3006" customFormat="1" ht="13.4" customHeight="1">
      <c r="A2" s="1498" t="s">
        <v>2811</v>
      </c>
      <c r="B2" s="2996">
        <f ca="1">C40+D2</f>
        <v>215416</v>
      </c>
      <c r="C2" s="2997" t="s">
        <v>2812</v>
      </c>
      <c r="D2" s="3263" t="str">
        <f ca="1">收益法!L46</f>
        <v>0</v>
      </c>
      <c r="E2" s="3264" t="s">
        <v>3274</v>
      </c>
      <c r="F2" s="3265"/>
      <c r="G2" s="3000"/>
      <c r="H2" s="3001"/>
      <c r="I2" s="3002"/>
      <c r="J2" s="3632" t="s">
        <v>2813</v>
      </c>
      <c r="K2" s="3633"/>
      <c r="L2" s="3003" t="s">
        <v>2814</v>
      </c>
      <c r="M2" s="3003" t="s">
        <v>2815</v>
      </c>
      <c r="N2" s="3003" t="s">
        <v>2816</v>
      </c>
      <c r="O2" s="3003" t="s">
        <v>2817</v>
      </c>
      <c r="P2" s="3003" t="s">
        <v>2818</v>
      </c>
      <c r="Q2" s="3004" t="s">
        <v>2819</v>
      </c>
      <c r="R2" s="3005" t="s">
        <v>2820</v>
      </c>
      <c r="S2" s="2994"/>
      <c r="T2" s="2994"/>
      <c r="U2" s="2994"/>
      <c r="V2" s="3002"/>
    </row>
    <row r="3" spans="1:22" s="3006" customFormat="1" ht="13.4" customHeight="1">
      <c r="A3" s="3007" t="s">
        <v>2821</v>
      </c>
      <c r="B3" s="3008">
        <f ca="1">ROUND(B2*10000/B4,0)</f>
        <v>12256</v>
      </c>
      <c r="C3" s="2997" t="s">
        <v>2822</v>
      </c>
      <c r="D3" s="2997"/>
      <c r="E3" s="2998"/>
      <c r="F3" s="2999"/>
      <c r="G3" s="3000"/>
      <c r="H3" s="3001"/>
      <c r="I3" s="3002"/>
      <c r="J3" s="3634" t="s">
        <v>2823</v>
      </c>
      <c r="K3" s="3635"/>
      <c r="L3" s="3009"/>
      <c r="M3" s="3009"/>
      <c r="N3" s="3009"/>
      <c r="O3" s="3009"/>
      <c r="P3" s="3009"/>
      <c r="Q3" s="3010"/>
      <c r="R3" s="3011">
        <f>SUM(L3:Q3)</f>
        <v>0</v>
      </c>
      <c r="S3" s="2994"/>
      <c r="T3" s="2994"/>
      <c r="U3" s="2994"/>
      <c r="V3" s="3002"/>
    </row>
    <row r="4" spans="1:22" s="3006" customFormat="1" ht="13.4" customHeight="1">
      <c r="A4" s="3012" t="s">
        <v>2824</v>
      </c>
      <c r="B4" s="3013">
        <f>'数据-汇总表'!E3</f>
        <v>175770.51</v>
      </c>
      <c r="C4" s="2997"/>
      <c r="D4" s="2997"/>
      <c r="E4" s="2998"/>
      <c r="F4" s="2999"/>
      <c r="G4" s="3000"/>
      <c r="H4" s="3001"/>
      <c r="I4" s="3002"/>
      <c r="J4" s="3634" t="s">
        <v>2825</v>
      </c>
      <c r="K4" s="3635"/>
      <c r="L4" s="3014"/>
      <c r="M4" s="3014"/>
      <c r="N4" s="3014"/>
      <c r="O4" s="3014"/>
      <c r="P4" s="3014"/>
      <c r="Q4" s="3015"/>
      <c r="R4" s="3016">
        <f>SUM(L4:Q4)</f>
        <v>0</v>
      </c>
      <c r="S4" s="2994"/>
      <c r="T4" s="2994"/>
      <c r="U4" s="2994"/>
      <c r="V4" s="3002"/>
    </row>
    <row r="5" spans="1:22" s="3006" customFormat="1" ht="13.4" customHeight="1" thickBot="1">
      <c r="A5" s="3017" t="s">
        <v>2826</v>
      </c>
      <c r="B5" s="3018">
        <f>'数据-汇总表'!D3</f>
        <v>35673.11</v>
      </c>
      <c r="C5" s="2997"/>
      <c r="D5" s="3019"/>
      <c r="E5" s="2999"/>
      <c r="F5" s="2999"/>
      <c r="G5" s="3000"/>
      <c r="H5" s="3001"/>
      <c r="I5" s="3002"/>
      <c r="J5" s="3020" t="s">
        <v>2827</v>
      </c>
      <c r="K5" s="3021"/>
      <c r="L5" s="3021"/>
      <c r="M5" s="3022"/>
      <c r="N5" s="3022"/>
      <c r="O5" s="3022"/>
      <c r="P5" s="3022"/>
      <c r="Q5" s="3022"/>
      <c r="R5" s="3005">
        <f>SUM(R14,R19,R24,R25,R27,R28)</f>
        <v>25561</v>
      </c>
      <c r="S5" s="2994"/>
      <c r="T5" s="2994" t="s">
        <v>2828</v>
      </c>
      <c r="U5" s="2994" t="e">
        <f>ROUND(R5*10000/365/R3,1)</f>
        <v>#DIV/0!</v>
      </c>
      <c r="V5" s="3002"/>
    </row>
    <row r="6" spans="1:22" s="3006" customFormat="1" ht="13.4" customHeight="1" thickBot="1">
      <c r="A6" s="3636" t="s">
        <v>2829</v>
      </c>
      <c r="B6" s="3637"/>
      <c r="C6" s="3638"/>
      <c r="D6" s="3023">
        <f>R5</f>
        <v>25561</v>
      </c>
      <c r="E6" s="3024"/>
      <c r="F6" s="3025"/>
      <c r="G6" s="3026"/>
      <c r="H6" s="3001"/>
      <c r="I6" s="3002"/>
      <c r="J6" s="3639">
        <v>1</v>
      </c>
      <c r="K6" s="3640" t="s">
        <v>2830</v>
      </c>
      <c r="L6" s="3027" t="s">
        <v>2831</v>
      </c>
      <c r="M6" s="3028" t="s">
        <v>2832</v>
      </c>
      <c r="N6" s="3028" t="s">
        <v>2833</v>
      </c>
      <c r="O6" s="3028" t="s">
        <v>2834</v>
      </c>
      <c r="P6" s="3028" t="s">
        <v>2835</v>
      </c>
      <c r="Q6" s="3028" t="s">
        <v>2836</v>
      </c>
      <c r="R6" s="3011" t="s">
        <v>2837</v>
      </c>
      <c r="S6" s="2994"/>
      <c r="T6" s="2994" t="s">
        <v>2838</v>
      </c>
      <c r="U6" s="2994"/>
      <c r="V6" s="3002"/>
    </row>
    <row r="7" spans="1:22" s="3006" customFormat="1" ht="13.4" customHeight="1">
      <c r="A7" s="3029" t="s">
        <v>2839</v>
      </c>
      <c r="B7" s="3030"/>
      <c r="C7" s="3031"/>
      <c r="D7" s="3032">
        <f ca="1">SUM(D9,D10,D11,D17,0)</f>
        <v>9871</v>
      </c>
      <c r="E7" s="3033">
        <f ca="1">E9+E10+E11+E17</f>
        <v>0.38618598646375335</v>
      </c>
      <c r="F7" s="3034"/>
      <c r="G7" s="3035"/>
      <c r="H7" s="3001"/>
      <c r="I7" s="3002"/>
      <c r="J7" s="3639"/>
      <c r="K7" s="3641"/>
      <c r="L7" s="3036" t="s">
        <v>2840</v>
      </c>
      <c r="M7" s="3037"/>
      <c r="N7" s="3013"/>
      <c r="O7" s="3038"/>
      <c r="P7" s="3038"/>
      <c r="Q7" s="3039">
        <v>365</v>
      </c>
      <c r="R7" s="3040">
        <f>ROUND(M7*N7*O7*P7*Q7/10000,0)</f>
        <v>0</v>
      </c>
      <c r="S7" s="2994"/>
      <c r="T7" s="2994" t="s">
        <v>2841</v>
      </c>
      <c r="U7" s="2994"/>
      <c r="V7" s="3002"/>
    </row>
    <row r="8" spans="1:22" s="3006" customFormat="1" ht="13.4" customHeight="1">
      <c r="A8" s="3041" t="s">
        <v>2842</v>
      </c>
      <c r="B8" s="3643" t="s">
        <v>2843</v>
      </c>
      <c r="C8" s="3644"/>
      <c r="D8" s="3042" t="s">
        <v>2844</v>
      </c>
      <c r="E8" s="3043" t="s">
        <v>2845</v>
      </c>
      <c r="F8" s="3044" t="s">
        <v>2846</v>
      </c>
      <c r="G8" s="3045"/>
      <c r="H8" s="3001"/>
      <c r="I8" s="3002"/>
      <c r="J8" s="3639"/>
      <c r="K8" s="3641"/>
      <c r="L8" s="3036" t="s">
        <v>2847</v>
      </c>
      <c r="M8" s="3037"/>
      <c r="N8" s="3013"/>
      <c r="O8" s="3038"/>
      <c r="P8" s="3038"/>
      <c r="Q8" s="3039">
        <v>365</v>
      </c>
      <c r="R8" s="3040">
        <f t="shared" ref="R8:R13" si="0">ROUND(M8*N8*O8*P8*Q8/10000,0)</f>
        <v>0</v>
      </c>
      <c r="S8" s="2994"/>
      <c r="T8" s="2994" t="s">
        <v>2848</v>
      </c>
      <c r="U8" s="2994"/>
      <c r="V8" s="3002"/>
    </row>
    <row r="9" spans="1:22" s="3006" customFormat="1" ht="13.4" customHeight="1">
      <c r="A9" s="3041">
        <v>1</v>
      </c>
      <c r="B9" s="3643" t="s">
        <v>2849</v>
      </c>
      <c r="C9" s="3644"/>
      <c r="D9" s="3042">
        <f>ROUND(D6*E9,0)</f>
        <v>3834</v>
      </c>
      <c r="E9" s="3256">
        <v>0.15</v>
      </c>
      <c r="F9" s="3046" t="s">
        <v>2850</v>
      </c>
      <c r="G9" s="3026"/>
      <c r="H9" s="3001"/>
      <c r="I9" s="3002"/>
      <c r="J9" s="3639"/>
      <c r="K9" s="3641"/>
      <c r="L9" s="3036" t="s">
        <v>2851</v>
      </c>
      <c r="M9" s="3037"/>
      <c r="N9" s="3013"/>
      <c r="O9" s="3038"/>
      <c r="P9" s="3038"/>
      <c r="Q9" s="3039">
        <v>365</v>
      </c>
      <c r="R9" s="3040">
        <f t="shared" si="0"/>
        <v>0</v>
      </c>
      <c r="S9" s="2994"/>
      <c r="T9" s="2994"/>
      <c r="U9" s="2994"/>
      <c r="V9" s="3002"/>
    </row>
    <row r="10" spans="1:22" s="3006" customFormat="1" ht="13.4" customHeight="1">
      <c r="A10" s="3041">
        <v>2</v>
      </c>
      <c r="B10" s="3643" t="s">
        <v>2852</v>
      </c>
      <c r="C10" s="3644"/>
      <c r="D10" s="3042">
        <f>ROUND(D6*E10,0)</f>
        <v>2556</v>
      </c>
      <c r="E10" s="3256">
        <v>0.1</v>
      </c>
      <c r="F10" s="3046" t="s">
        <v>2853</v>
      </c>
      <c r="G10" s="3026"/>
      <c r="H10" s="3001"/>
      <c r="I10" s="3002"/>
      <c r="J10" s="3639"/>
      <c r="K10" s="3641"/>
      <c r="L10" s="3036" t="s">
        <v>2854</v>
      </c>
      <c r="M10" s="3253">
        <v>567</v>
      </c>
      <c r="N10" s="3254">
        <v>850</v>
      </c>
      <c r="O10" s="3255">
        <v>1</v>
      </c>
      <c r="P10" s="3255">
        <v>0.6</v>
      </c>
      <c r="Q10" s="3039">
        <v>365</v>
      </c>
      <c r="R10" s="3040">
        <f t="shared" si="0"/>
        <v>10555</v>
      </c>
      <c r="S10" s="2994"/>
      <c r="T10" s="2994"/>
      <c r="U10" s="2994"/>
      <c r="V10" s="3002"/>
    </row>
    <row r="11" spans="1:22" s="3006" customFormat="1" ht="13.4" customHeight="1">
      <c r="A11" s="3041">
        <v>3</v>
      </c>
      <c r="B11" s="3643" t="s">
        <v>2855</v>
      </c>
      <c r="C11" s="3644"/>
      <c r="D11" s="3042">
        <f ca="1">D12+D14+D15+D16</f>
        <v>2203</v>
      </c>
      <c r="E11" s="3047">
        <f ca="1">D11/D6</f>
        <v>8.6185986463753375E-2</v>
      </c>
      <c r="F11" s="3044"/>
      <c r="G11" s="3045"/>
      <c r="H11" s="3001"/>
      <c r="I11" s="3002"/>
      <c r="J11" s="3639"/>
      <c r="K11" s="3641"/>
      <c r="L11" s="3036" t="s">
        <v>2856</v>
      </c>
      <c r="M11" s="3037"/>
      <c r="N11" s="3013"/>
      <c r="O11" s="3038"/>
      <c r="P11" s="3038"/>
      <c r="Q11" s="3039">
        <v>365</v>
      </c>
      <c r="R11" s="3040">
        <f t="shared" si="0"/>
        <v>0</v>
      </c>
      <c r="S11" s="2994"/>
      <c r="T11" s="2994"/>
      <c r="U11" s="2994"/>
      <c r="V11" s="3002"/>
    </row>
    <row r="12" spans="1:22" s="3006" customFormat="1" ht="13.4" customHeight="1">
      <c r="A12" s="3048" t="s">
        <v>2857</v>
      </c>
      <c r="B12" s="3645" t="s">
        <v>2858</v>
      </c>
      <c r="C12" s="3646"/>
      <c r="D12" s="3049">
        <f ca="1">ROUND(D13*1.2%*(1-30%),0)</f>
        <v>797</v>
      </c>
      <c r="E12" s="3050">
        <v>1.2E-2</v>
      </c>
      <c r="F12" s="3044" t="s">
        <v>2859</v>
      </c>
      <c r="G12" s="3045"/>
      <c r="H12" s="3001"/>
      <c r="I12" s="3002"/>
      <c r="J12" s="3639"/>
      <c r="K12" s="3641"/>
      <c r="L12" s="3036" t="s">
        <v>2860</v>
      </c>
      <c r="M12" s="3037"/>
      <c r="N12" s="3013"/>
      <c r="O12" s="3038"/>
      <c r="P12" s="3038"/>
      <c r="Q12" s="3039">
        <v>365</v>
      </c>
      <c r="R12" s="3040">
        <f t="shared" si="0"/>
        <v>0</v>
      </c>
      <c r="S12" s="2994"/>
      <c r="T12" s="2994"/>
      <c r="U12" s="2994"/>
      <c r="V12" s="3002"/>
    </row>
    <row r="13" spans="1:22" s="3006" customFormat="1" ht="13.4" customHeight="1">
      <c r="A13" s="3048"/>
      <c r="B13" s="3051"/>
      <c r="C13" s="3052" t="s">
        <v>2861</v>
      </c>
      <c r="D13" s="3053">
        <f ca="1">成本法!C49</f>
        <v>94875</v>
      </c>
      <c r="E13" s="3054"/>
      <c r="F13" s="3044"/>
      <c r="G13" s="3045"/>
      <c r="H13" s="3001"/>
      <c r="I13" s="3002"/>
      <c r="J13" s="3639"/>
      <c r="K13" s="3641"/>
      <c r="L13" s="3036" t="s">
        <v>2862</v>
      </c>
      <c r="M13" s="3037"/>
      <c r="N13" s="3013"/>
      <c r="O13" s="3038"/>
      <c r="P13" s="3038"/>
      <c r="Q13" s="3039">
        <v>365</v>
      </c>
      <c r="R13" s="3040">
        <f t="shared" si="0"/>
        <v>0</v>
      </c>
      <c r="S13" s="2994"/>
      <c r="T13" s="2994"/>
      <c r="U13" s="2994"/>
      <c r="V13" s="3002"/>
    </row>
    <row r="14" spans="1:22" s="3006" customFormat="1" ht="13.4" customHeight="1">
      <c r="A14" s="3048" t="s">
        <v>2863</v>
      </c>
      <c r="B14" s="3645" t="s">
        <v>2864</v>
      </c>
      <c r="C14" s="3646"/>
      <c r="D14" s="3049">
        <f>ROUND(E14*B5/10000,0)</f>
        <v>0</v>
      </c>
      <c r="E14" s="3039"/>
      <c r="F14" s="3044" t="s">
        <v>2865</v>
      </c>
      <c r="G14" s="3045"/>
      <c r="H14" s="3001"/>
      <c r="I14" s="3002"/>
      <c r="J14" s="3639"/>
      <c r="K14" s="3642"/>
      <c r="L14" s="3055" t="s">
        <v>2866</v>
      </c>
      <c r="M14" s="3056">
        <f>SUM(M7:M13)</f>
        <v>567</v>
      </c>
      <c r="N14" s="3056">
        <f>ROUND((N7*M7+N8*M8+N9*M9+N10*M10+N11*M11+N12*M12+N13*M13)/M14,0)</f>
        <v>850</v>
      </c>
      <c r="O14" s="3057"/>
      <c r="P14" s="3057"/>
      <c r="Q14" s="3058"/>
      <c r="R14" s="3005">
        <f>SUM(R7:R13)</f>
        <v>10555</v>
      </c>
      <c r="S14" s="2994"/>
      <c r="T14" s="2994"/>
      <c r="U14" s="2994"/>
      <c r="V14" s="3002"/>
    </row>
    <row r="15" spans="1:22" s="3006" customFormat="1" ht="13.4" customHeight="1">
      <c r="A15" s="3048" t="s">
        <v>2867</v>
      </c>
      <c r="B15" s="3645" t="s">
        <v>2868</v>
      </c>
      <c r="C15" s="3646"/>
      <c r="D15" s="3049">
        <f>ROUND(D6*E15,0)</f>
        <v>1406</v>
      </c>
      <c r="E15" s="3050">
        <v>5.5E-2</v>
      </c>
      <c r="F15" s="3044" t="s">
        <v>2869</v>
      </c>
      <c r="G15" s="3026"/>
      <c r="H15" s="3001"/>
      <c r="I15" s="3002"/>
      <c r="J15" s="3639">
        <v>2</v>
      </c>
      <c r="K15" s="3640" t="s">
        <v>2870</v>
      </c>
      <c r="L15" s="3036" t="s">
        <v>2871</v>
      </c>
      <c r="M15" s="3037" t="s">
        <v>2872</v>
      </c>
      <c r="N15" s="3037" t="s">
        <v>2873</v>
      </c>
      <c r="O15" s="3038" t="s">
        <v>2874</v>
      </c>
      <c r="P15" s="3038" t="s">
        <v>2836</v>
      </c>
      <c r="Q15" s="3013" t="s">
        <v>2875</v>
      </c>
      <c r="R15" s="3059" t="s">
        <v>2837</v>
      </c>
      <c r="S15" s="2994"/>
      <c r="T15" s="2994"/>
      <c r="U15" s="2994"/>
      <c r="V15" s="3002"/>
    </row>
    <row r="16" spans="1:22" s="3006" customFormat="1" ht="13.4" customHeight="1">
      <c r="A16" s="3048" t="s">
        <v>2876</v>
      </c>
      <c r="B16" s="3645" t="s">
        <v>2877</v>
      </c>
      <c r="C16" s="3646"/>
      <c r="D16" s="3060">
        <f>D6*E16</f>
        <v>0</v>
      </c>
      <c r="E16" s="3061"/>
      <c r="F16" s="3046" t="s">
        <v>2878</v>
      </c>
      <c r="G16" s="3026"/>
      <c r="H16" s="3001"/>
      <c r="I16" s="3002"/>
      <c r="J16" s="3639"/>
      <c r="K16" s="3641"/>
      <c r="L16" s="3036" t="s">
        <v>2879</v>
      </c>
      <c r="M16" s="3037"/>
      <c r="N16" s="3037"/>
      <c r="O16" s="3038"/>
      <c r="P16" s="3039">
        <v>365</v>
      </c>
      <c r="Q16" s="3013"/>
      <c r="R16" s="3059">
        <f>ROUND(M16*N16*O16*P16/10000,0)</f>
        <v>0</v>
      </c>
      <c r="S16" s="2994"/>
      <c r="T16" s="2994"/>
      <c r="U16" s="2994"/>
      <c r="V16" s="3002"/>
    </row>
    <row r="17" spans="1:22" s="3006" customFormat="1" ht="13.4" customHeight="1" thickBot="1">
      <c r="A17" s="3062">
        <v>4</v>
      </c>
      <c r="B17" s="3647" t="s">
        <v>2880</v>
      </c>
      <c r="C17" s="3648"/>
      <c r="D17" s="3063">
        <f>ROUND(D6*E17,0)</f>
        <v>1278</v>
      </c>
      <c r="E17" s="3257">
        <v>0.05</v>
      </c>
      <c r="F17" s="3064" t="s">
        <v>2881</v>
      </c>
      <c r="G17" s="3026"/>
      <c r="H17" s="3001"/>
      <c r="I17" s="3002"/>
      <c r="J17" s="3639"/>
      <c r="K17" s="3641"/>
      <c r="L17" s="3036" t="s">
        <v>2882</v>
      </c>
      <c r="M17" s="3037"/>
      <c r="N17" s="3037"/>
      <c r="O17" s="3038"/>
      <c r="P17" s="3039">
        <v>365</v>
      </c>
      <c r="Q17" s="3013"/>
      <c r="R17" s="3059">
        <f>ROUND(M17*N17*O17*P17/10000,0)</f>
        <v>0</v>
      </c>
      <c r="S17" s="2994"/>
      <c r="T17" s="2994"/>
      <c r="U17" s="2994"/>
      <c r="V17" s="3002"/>
    </row>
    <row r="18" spans="1:22" s="3006" customFormat="1" ht="13.4" customHeight="1" thickBot="1">
      <c r="A18" s="3029" t="s">
        <v>2883</v>
      </c>
      <c r="B18" s="3030"/>
      <c r="C18" s="3030"/>
      <c r="D18" s="3065">
        <f>ROUND(D6*E18,0)</f>
        <v>1278</v>
      </c>
      <c r="E18" s="3258">
        <v>0.05</v>
      </c>
      <c r="F18" s="3066" t="s">
        <v>2884</v>
      </c>
      <c r="G18" s="3026"/>
      <c r="H18" s="3001"/>
      <c r="I18" s="3002"/>
      <c r="J18" s="3639"/>
      <c r="K18" s="3641"/>
      <c r="L18" s="3036" t="s">
        <v>2885</v>
      </c>
      <c r="M18" s="3037"/>
      <c r="N18" s="3037"/>
      <c r="O18" s="3038"/>
      <c r="P18" s="3039">
        <v>365</v>
      </c>
      <c r="Q18" s="3013"/>
      <c r="R18" s="3059">
        <f>ROUND(M18*N18*O18*P18/10000,0)</f>
        <v>0</v>
      </c>
      <c r="S18" s="2994"/>
      <c r="T18" s="2994"/>
      <c r="U18" s="2994"/>
      <c r="V18" s="3002"/>
    </row>
    <row r="19" spans="1:22" s="3006" customFormat="1" ht="13.4" customHeight="1" thickBot="1">
      <c r="A19" s="3067" t="s">
        <v>2886</v>
      </c>
      <c r="B19" s="3024"/>
      <c r="C19" s="3024"/>
      <c r="D19" s="3024"/>
      <c r="E19" s="3024"/>
      <c r="F19" s="3025"/>
      <c r="G19" s="3045"/>
      <c r="H19" s="3001"/>
      <c r="I19" s="3002"/>
      <c r="J19" s="3639"/>
      <c r="K19" s="3642"/>
      <c r="L19" s="3055" t="s">
        <v>2866</v>
      </c>
      <c r="M19" s="3056"/>
      <c r="N19" s="3056">
        <f>SUM(N16:N18)</f>
        <v>0</v>
      </c>
      <c r="O19" s="3057"/>
      <c r="P19" s="3068" t="s">
        <v>3270</v>
      </c>
      <c r="Q19" s="3038">
        <v>0.85</v>
      </c>
      <c r="R19" s="3069">
        <f>ROUND(IF(P19="按比例",R14*Q19,SUM(R16:R18)),0)</f>
        <v>8972</v>
      </c>
      <c r="S19" s="2994"/>
      <c r="T19" s="2994"/>
      <c r="U19" s="2994"/>
      <c r="V19" s="3002"/>
    </row>
    <row r="20" spans="1:22" s="3006" customFormat="1" ht="13.4" customHeight="1">
      <c r="A20" s="3029"/>
      <c r="B20" s="3030"/>
      <c r="C20" s="3030"/>
      <c r="D20" s="3030"/>
      <c r="E20" s="3030"/>
      <c r="F20" s="3070"/>
      <c r="G20" s="3045"/>
      <c r="H20" s="3001"/>
      <c r="I20" s="3002"/>
      <c r="J20" s="3639">
        <v>3</v>
      </c>
      <c r="K20" s="3640" t="s">
        <v>2887</v>
      </c>
      <c r="L20" s="3036" t="s">
        <v>2888</v>
      </c>
      <c r="M20" s="3037" t="s">
        <v>2889</v>
      </c>
      <c r="N20" s="3071" t="s">
        <v>2890</v>
      </c>
      <c r="O20" s="3038" t="s">
        <v>2891</v>
      </c>
      <c r="P20" s="3039" t="s">
        <v>2892</v>
      </c>
      <c r="Q20" s="3013" t="s">
        <v>2893</v>
      </c>
      <c r="R20" s="3059" t="s">
        <v>2894</v>
      </c>
      <c r="S20" s="3072"/>
      <c r="T20" s="3072"/>
      <c r="U20" s="3072"/>
      <c r="V20" s="3002"/>
    </row>
    <row r="21" spans="1:22" s="3006" customFormat="1" ht="13.4" customHeight="1">
      <c r="A21" s="3029"/>
      <c r="B21" s="3030"/>
      <c r="C21" s="3073" t="s">
        <v>2895</v>
      </c>
      <c r="D21" s="3074" t="s">
        <v>2896</v>
      </c>
      <c r="E21" s="3075" t="s">
        <v>2897</v>
      </c>
      <c r="F21" s="3070"/>
      <c r="G21" s="3045"/>
      <c r="H21" s="3001"/>
      <c r="I21" s="3002"/>
      <c r="J21" s="3639"/>
      <c r="K21" s="3641"/>
      <c r="L21" s="3036" t="s">
        <v>2898</v>
      </c>
      <c r="M21" s="3037"/>
      <c r="N21" s="3037"/>
      <c r="O21" s="3038"/>
      <c r="P21" s="3039">
        <v>365</v>
      </c>
      <c r="Q21" s="3013"/>
      <c r="R21" s="3076">
        <f>ROUND(M21*N21*O21*P21/10000,0)</f>
        <v>0</v>
      </c>
      <c r="S21" s="3072"/>
      <c r="T21" s="3072"/>
      <c r="U21" s="3072"/>
      <c r="V21" s="3002"/>
    </row>
    <row r="22" spans="1:22" s="3006" customFormat="1" ht="13.4" customHeight="1">
      <c r="A22" s="3029"/>
      <c r="B22" s="3030"/>
      <c r="C22" s="3077" t="s">
        <v>2899</v>
      </c>
      <c r="D22" s="3078" t="s">
        <v>2900</v>
      </c>
      <c r="E22" s="3079" t="s">
        <v>2901</v>
      </c>
      <c r="F22" s="3070"/>
      <c r="G22" s="3080"/>
      <c r="H22" s="3001"/>
      <c r="I22" s="3002"/>
      <c r="J22" s="3639"/>
      <c r="K22" s="3641"/>
      <c r="L22" s="3036" t="s">
        <v>2902</v>
      </c>
      <c r="M22" s="3037"/>
      <c r="N22" s="3037"/>
      <c r="O22" s="3038"/>
      <c r="P22" s="3039">
        <v>365</v>
      </c>
      <c r="Q22" s="3013"/>
      <c r="R22" s="3076">
        <f>ROUND(M22*N22*O22*P22/10000,0)</f>
        <v>0</v>
      </c>
      <c r="S22" s="3072"/>
      <c r="T22" s="3072"/>
      <c r="U22" s="3072"/>
      <c r="V22" s="3002"/>
    </row>
    <row r="23" spans="1:22" s="3006" customFormat="1" ht="13.4" customHeight="1">
      <c r="A23" s="3081">
        <v>1</v>
      </c>
      <c r="B23" s="3082" t="s">
        <v>2903</v>
      </c>
      <c r="C23" s="3083">
        <f>D6</f>
        <v>25561</v>
      </c>
      <c r="D23" s="3084">
        <f>C23*(1+D24)</f>
        <v>25561</v>
      </c>
      <c r="E23" s="3085">
        <f>D23*(1+E24)</f>
        <v>25561</v>
      </c>
      <c r="F23" s="3086"/>
      <c r="G23" s="3087"/>
      <c r="H23" s="3001"/>
      <c r="I23" s="3002"/>
      <c r="J23" s="3639"/>
      <c r="K23" s="3641"/>
      <c r="L23" s="3036" t="s">
        <v>2904</v>
      </c>
      <c r="M23" s="3037"/>
      <c r="N23" s="3037"/>
      <c r="O23" s="3038"/>
      <c r="P23" s="3039">
        <v>365</v>
      </c>
      <c r="Q23" s="3013"/>
      <c r="R23" s="3076">
        <f>ROUND(M23*N23*O23*P23/10000,0)</f>
        <v>0</v>
      </c>
      <c r="S23" s="2994"/>
      <c r="T23" s="2994"/>
      <c r="U23" s="2994"/>
      <c r="V23" s="3002"/>
    </row>
    <row r="24" spans="1:22" s="3006" customFormat="1" ht="13.4" customHeight="1">
      <c r="A24" s="3088"/>
      <c r="B24" s="3089" t="s">
        <v>2905</v>
      </c>
      <c r="C24" s="3090"/>
      <c r="D24" s="3091"/>
      <c r="E24" s="3092"/>
      <c r="F24" s="3093"/>
      <c r="G24" s="3087"/>
      <c r="H24" s="3001"/>
      <c r="I24" s="3002"/>
      <c r="J24" s="3639"/>
      <c r="K24" s="3642"/>
      <c r="L24" s="3055" t="s">
        <v>2866</v>
      </c>
      <c r="M24" s="3056">
        <f>SUM(M21:M23)</f>
        <v>0</v>
      </c>
      <c r="N24" s="3056"/>
      <c r="O24" s="3057"/>
      <c r="P24" s="3068" t="s">
        <v>3270</v>
      </c>
      <c r="Q24" s="3038">
        <v>0.1</v>
      </c>
      <c r="R24" s="3069">
        <f>ROUND(IF(P24="按比例",R14*Q24,SUM(R21:R23)),0)</f>
        <v>1056</v>
      </c>
      <c r="S24" s="2994"/>
      <c r="T24" s="2994"/>
      <c r="U24" s="2994"/>
      <c r="V24" s="3002"/>
    </row>
    <row r="25" spans="1:22" s="3100" customFormat="1" ht="13.4" customHeight="1">
      <c r="A25" s="3088"/>
      <c r="B25" s="3089"/>
      <c r="C25" s="3090"/>
      <c r="D25" s="3091"/>
      <c r="E25" s="3092"/>
      <c r="F25" s="3093"/>
      <c r="G25" s="3080"/>
      <c r="H25" s="3001"/>
      <c r="I25" s="3002"/>
      <c r="J25" s="3094">
        <v>4</v>
      </c>
      <c r="K25" s="3095" t="s">
        <v>2906</v>
      </c>
      <c r="L25" s="3096"/>
      <c r="M25" s="3096"/>
      <c r="N25" s="3096"/>
      <c r="O25" s="3096"/>
      <c r="P25" s="3097"/>
      <c r="Q25" s="3098">
        <v>0.15</v>
      </c>
      <c r="R25" s="3069">
        <f>ROUND(R14*Q25,0)</f>
        <v>1583</v>
      </c>
      <c r="S25" s="2994"/>
      <c r="T25" s="2994"/>
      <c r="U25" s="2994"/>
      <c r="V25" s="3099"/>
    </row>
    <row r="26" spans="1:22" s="3100" customFormat="1" ht="13.4" customHeight="1">
      <c r="A26" s="3081">
        <v>2</v>
      </c>
      <c r="B26" s="3082" t="s">
        <v>2907</v>
      </c>
      <c r="C26" s="3083">
        <f ca="1">D7</f>
        <v>9871</v>
      </c>
      <c r="D26" s="3084">
        <f>D23*D27</f>
        <v>0</v>
      </c>
      <c r="E26" s="3085">
        <f>E23*E27</f>
        <v>0</v>
      </c>
      <c r="F26" s="3086"/>
      <c r="G26" s="3087"/>
      <c r="H26" s="3001"/>
      <c r="I26" s="3002"/>
      <c r="J26" s="3649">
        <v>5</v>
      </c>
      <c r="K26" s="3101" t="s">
        <v>2908</v>
      </c>
      <c r="L26" s="3102"/>
      <c r="M26" s="3103"/>
      <c r="N26" s="3104" t="s">
        <v>2909</v>
      </c>
      <c r="O26" s="3104" t="s">
        <v>2910</v>
      </c>
      <c r="P26" s="3105" t="s">
        <v>2911</v>
      </c>
      <c r="Q26" s="3105" t="s">
        <v>2912</v>
      </c>
      <c r="R26" s="3011" t="s">
        <v>2837</v>
      </c>
      <c r="S26" s="3106"/>
      <c r="T26" s="3106"/>
      <c r="U26" s="3106"/>
      <c r="V26" s="3099"/>
    </row>
    <row r="27" spans="1:22" s="3006" customFormat="1" ht="13.4" customHeight="1">
      <c r="A27" s="3088"/>
      <c r="B27" s="3089" t="s">
        <v>2913</v>
      </c>
      <c r="C27" s="3107">
        <f ca="1">E7</f>
        <v>0.38618598646375335</v>
      </c>
      <c r="D27" s="3091"/>
      <c r="E27" s="3092"/>
      <c r="F27" s="3093"/>
      <c r="G27" s="3087"/>
      <c r="H27" s="3108"/>
      <c r="I27" s="3099"/>
      <c r="J27" s="3650"/>
      <c r="K27" s="3109"/>
      <c r="L27" s="3110"/>
      <c r="M27" s="3111"/>
      <c r="N27" s="3112"/>
      <c r="O27" s="3112"/>
      <c r="P27" s="3112"/>
      <c r="Q27" s="3113"/>
      <c r="R27" s="3069">
        <f>ROUND(O27*N27*P27*(1-Q27)/10000,0)</f>
        <v>0</v>
      </c>
      <c r="S27" s="2994"/>
      <c r="T27" s="2994"/>
      <c r="U27" s="2994"/>
      <c r="V27" s="3002"/>
    </row>
    <row r="28" spans="1:22" s="3100" customFormat="1" ht="13.4" customHeight="1" thickBot="1">
      <c r="A28" s="3088"/>
      <c r="B28" s="3089"/>
      <c r="C28" s="3107"/>
      <c r="D28" s="3091"/>
      <c r="E28" s="3092" t="s">
        <v>2914</v>
      </c>
      <c r="F28" s="3093"/>
      <c r="G28" s="3080"/>
      <c r="H28" s="3108"/>
      <c r="I28" s="3099"/>
      <c r="J28" s="3114">
        <v>6</v>
      </c>
      <c r="K28" s="3115" t="s">
        <v>2915</v>
      </c>
      <c r="L28" s="3116" t="s">
        <v>2916</v>
      </c>
      <c r="M28" s="3117"/>
      <c r="N28" s="3116" t="s">
        <v>2917</v>
      </c>
      <c r="O28" s="3118"/>
      <c r="P28" s="3116" t="s">
        <v>2918</v>
      </c>
      <c r="Q28" s="3119">
        <v>1.4999999999999999E-2</v>
      </c>
      <c r="R28" s="3120">
        <v>3395</v>
      </c>
      <c r="S28" s="3072"/>
      <c r="T28" s="3072"/>
      <c r="U28" s="3072"/>
      <c r="V28" s="3099"/>
    </row>
    <row r="29" spans="1:22" s="3100" customFormat="1" ht="13.4" customHeight="1">
      <c r="A29" s="3081">
        <v>3</v>
      </c>
      <c r="B29" s="3082" t="s">
        <v>2919</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4" customHeight="1" thickBot="1">
      <c r="A30" s="3088"/>
      <c r="B30" s="3089" t="s">
        <v>2913</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4" customHeight="1">
      <c r="A31" s="3088"/>
      <c r="B31" s="3089"/>
      <c r="C31" s="3122"/>
      <c r="D31" s="3121"/>
      <c r="E31" s="3054"/>
      <c r="F31" s="3093"/>
      <c r="G31" s="3080"/>
      <c r="H31" s="3108"/>
      <c r="I31" s="3099"/>
      <c r="J31" s="2991" t="s">
        <v>2920</v>
      </c>
      <c r="K31" s="2992"/>
      <c r="L31" s="2992"/>
      <c r="M31" s="2992"/>
      <c r="N31" s="2992"/>
      <c r="O31" s="2992"/>
      <c r="P31" s="2992"/>
      <c r="Q31" s="2992"/>
      <c r="R31" s="2993"/>
      <c r="S31" s="3072"/>
      <c r="T31" s="2994"/>
      <c r="U31" s="2994"/>
      <c r="V31" s="3099"/>
    </row>
    <row r="32" spans="1:22" s="3100" customFormat="1" ht="13.4" customHeight="1">
      <c r="A32" s="3081">
        <v>4</v>
      </c>
      <c r="B32" s="3082" t="s">
        <v>2921</v>
      </c>
      <c r="C32" s="3083">
        <f ca="1">C23-C26-C29</f>
        <v>14411.95</v>
      </c>
      <c r="D32" s="3084">
        <f>D23-D26-D29</f>
        <v>24282.95</v>
      </c>
      <c r="E32" s="3085">
        <f>E23-E26-E29</f>
        <v>24282.95</v>
      </c>
      <c r="F32" s="3086"/>
      <c r="G32" s="3080"/>
      <c r="H32" s="3001"/>
      <c r="I32" s="3002"/>
      <c r="J32" s="3632" t="s">
        <v>2813</v>
      </c>
      <c r="K32" s="3633"/>
      <c r="L32" s="3003" t="s">
        <v>2814</v>
      </c>
      <c r="M32" s="3003" t="s">
        <v>2815</v>
      </c>
      <c r="N32" s="3003" t="s">
        <v>2816</v>
      </c>
      <c r="O32" s="3003" t="s">
        <v>2817</v>
      </c>
      <c r="P32" s="3003" t="s">
        <v>2818</v>
      </c>
      <c r="Q32" s="3004" t="s">
        <v>2819</v>
      </c>
      <c r="R32" s="3123" t="s">
        <v>2820</v>
      </c>
      <c r="S32" s="3072"/>
      <c r="T32" s="2994"/>
      <c r="U32" s="2994"/>
      <c r="V32" s="3099"/>
    </row>
    <row r="33" spans="1:23" s="3006" customFormat="1" ht="13.4" customHeight="1">
      <c r="A33" s="3081"/>
      <c r="B33" s="3082"/>
      <c r="C33" s="3083"/>
      <c r="D33" s="3124"/>
      <c r="E33" s="3125"/>
      <c r="F33" s="3086"/>
      <c r="G33" s="3080"/>
      <c r="H33" s="3108"/>
      <c r="I33" s="3099"/>
      <c r="J33" s="3634" t="s">
        <v>2823</v>
      </c>
      <c r="K33" s="3635"/>
      <c r="L33" s="3009"/>
      <c r="M33" s="3009"/>
      <c r="N33" s="3009"/>
      <c r="O33" s="3009"/>
      <c r="P33" s="3009"/>
      <c r="Q33" s="3010"/>
      <c r="R33" s="3126">
        <f>SUM(L33:Q33)</f>
        <v>0</v>
      </c>
      <c r="S33" s="3072"/>
      <c r="T33" s="2994"/>
      <c r="U33" s="2994"/>
      <c r="V33" s="3002"/>
    </row>
    <row r="34" spans="1:23" s="3006" customFormat="1" ht="13.4" customHeight="1">
      <c r="A34" s="3081">
        <v>5</v>
      </c>
      <c r="B34" s="3082" t="s">
        <v>2922</v>
      </c>
      <c r="C34" s="3259">
        <f>'[1]数据-取费表'!I6</f>
        <v>5.5E-2</v>
      </c>
      <c r="D34" s="3127"/>
      <c r="E34" s="3128"/>
      <c r="F34" s="3086"/>
      <c r="G34" s="3080"/>
      <c r="H34" s="3108"/>
      <c r="I34" s="3099"/>
      <c r="J34" s="3634" t="s">
        <v>2825</v>
      </c>
      <c r="K34" s="3635"/>
      <c r="L34" s="3014"/>
      <c r="M34" s="3014"/>
      <c r="N34" s="3014"/>
      <c r="O34" s="3014"/>
      <c r="P34" s="3014"/>
      <c r="Q34" s="3015"/>
      <c r="R34" s="3129">
        <f>SUM(L34:Q34)</f>
        <v>0</v>
      </c>
      <c r="S34" s="3072"/>
      <c r="T34" s="2994"/>
      <c r="U34" s="2994" t="e">
        <f>ROUND(R35*10000/365/R33,1)</f>
        <v>#DIV/0!</v>
      </c>
      <c r="V34" s="3002"/>
    </row>
    <row r="35" spans="1:23" s="3006" customFormat="1" ht="13.4" customHeight="1">
      <c r="A35" s="3081">
        <v>6</v>
      </c>
      <c r="B35" s="3082" t="s">
        <v>2923</v>
      </c>
      <c r="C35" s="3260">
        <v>0.03</v>
      </c>
      <c r="D35" s="3130"/>
      <c r="E35" s="3131"/>
      <c r="F35" s="3086"/>
      <c r="G35" s="3132"/>
      <c r="H35" s="3001"/>
      <c r="I35" s="3099"/>
      <c r="J35" s="3020" t="s">
        <v>2827</v>
      </c>
      <c r="K35" s="3021"/>
      <c r="L35" s="3021"/>
      <c r="M35" s="3022"/>
      <c r="N35" s="3022"/>
      <c r="O35" s="3022"/>
      <c r="P35" s="3022"/>
      <c r="Q35" s="3022"/>
      <c r="R35" s="3133">
        <f>R40+R41+R43</f>
        <v>0</v>
      </c>
      <c r="S35" s="3072"/>
      <c r="T35" s="2994" t="s">
        <v>2828</v>
      </c>
      <c r="U35" s="2994"/>
      <c r="V35" s="3002"/>
    </row>
    <row r="36" spans="1:23" s="3006" customFormat="1" ht="13.4" customHeight="1" thickBot="1">
      <c r="A36" s="3081">
        <v>7</v>
      </c>
      <c r="B36" s="3134" t="s">
        <v>2924</v>
      </c>
      <c r="C36" s="3261">
        <f>'[1]数据-取费表'!F6</f>
        <v>19.510000000000002</v>
      </c>
      <c r="D36" s="3135"/>
      <c r="E36" s="3136"/>
      <c r="F36" s="3137">
        <f>C36+D36+E36</f>
        <v>19.510000000000002</v>
      </c>
      <c r="G36" s="3080"/>
      <c r="H36" s="3001"/>
      <c r="I36" s="3002"/>
      <c r="J36" s="3639">
        <v>1</v>
      </c>
      <c r="K36" s="3640" t="s">
        <v>2925</v>
      </c>
      <c r="L36" s="3027"/>
      <c r="M36" s="3028"/>
      <c r="N36" s="3028"/>
      <c r="O36" s="3028"/>
      <c r="P36" s="3028"/>
      <c r="Q36" s="3028"/>
      <c r="R36" s="3011" t="s">
        <v>2837</v>
      </c>
      <c r="S36" s="3072"/>
      <c r="T36" s="2994" t="s">
        <v>2838</v>
      </c>
      <c r="U36" s="2994"/>
      <c r="V36" s="3002"/>
    </row>
    <row r="37" spans="1:23" s="3006" customFormat="1" ht="13.4" customHeight="1">
      <c r="A37" s="3081"/>
      <c r="B37" s="3082"/>
      <c r="C37" s="3082"/>
      <c r="D37" s="3082"/>
      <c r="E37" s="3082"/>
      <c r="F37" s="3086"/>
      <c r="G37" s="3080"/>
      <c r="H37" s="3001"/>
      <c r="I37" s="3002"/>
      <c r="J37" s="3639"/>
      <c r="K37" s="3641"/>
      <c r="L37" s="3036"/>
      <c r="M37" s="3037"/>
      <c r="N37" s="3013"/>
      <c r="O37" s="3038"/>
      <c r="P37" s="3038"/>
      <c r="Q37" s="3039"/>
      <c r="R37" s="3040"/>
      <c r="S37" s="3072"/>
      <c r="T37" s="2994" t="s">
        <v>2841</v>
      </c>
      <c r="U37" s="2994"/>
      <c r="V37" s="3002"/>
    </row>
    <row r="38" spans="1:23" s="3006" customFormat="1" ht="13.4" customHeight="1">
      <c r="A38" s="3081">
        <v>8</v>
      </c>
      <c r="B38" s="3082"/>
      <c r="C38" s="3042">
        <f ca="1">ROUND(C32*(1-((1+C35)/(1+C34))^C36)/(C34-C35),0)</f>
        <v>215416</v>
      </c>
      <c r="D38" s="3042"/>
      <c r="E38" s="3042"/>
      <c r="F38" s="3086"/>
      <c r="G38" s="3080"/>
      <c r="H38" s="3001"/>
      <c r="I38" s="3002"/>
      <c r="J38" s="3639"/>
      <c r="K38" s="3641"/>
      <c r="L38" s="3036"/>
      <c r="M38" s="3037"/>
      <c r="N38" s="3013"/>
      <c r="O38" s="3038"/>
      <c r="P38" s="3038"/>
      <c r="Q38" s="3039"/>
      <c r="R38" s="3040"/>
      <c r="S38" s="3072"/>
      <c r="T38" s="2994" t="s">
        <v>2848</v>
      </c>
      <c r="U38" s="2994"/>
      <c r="V38" s="3002"/>
    </row>
    <row r="39" spans="1:23" s="3006" customFormat="1" ht="13.4" customHeight="1">
      <c r="A39" s="3081">
        <v>9</v>
      </c>
      <c r="B39" s="3082" t="s">
        <v>2926</v>
      </c>
      <c r="C39" s="3049">
        <f ca="1">C38</f>
        <v>215416</v>
      </c>
      <c r="D39" s="3082">
        <f>D38/(1+D34)^C36</f>
        <v>0</v>
      </c>
      <c r="E39" s="3082">
        <f>E38/(1+E34)^(C36+D36)</f>
        <v>0</v>
      </c>
      <c r="F39" s="3086"/>
      <c r="G39" s="3138"/>
      <c r="H39" s="3001"/>
      <c r="I39" s="3002"/>
      <c r="J39" s="3639"/>
      <c r="K39" s="3641"/>
      <c r="L39" s="3036"/>
      <c r="M39" s="3037"/>
      <c r="N39" s="3013"/>
      <c r="O39" s="3038"/>
      <c r="P39" s="3038"/>
      <c r="Q39" s="3039"/>
      <c r="R39" s="3040"/>
      <c r="S39" s="3072"/>
      <c r="T39" s="2994"/>
      <c r="U39" s="2994"/>
      <c r="V39" s="3002"/>
    </row>
    <row r="40" spans="1:23" s="3006" customFormat="1" ht="13.4" customHeight="1">
      <c r="A40" s="3139">
        <v>10</v>
      </c>
      <c r="B40" s="3082" t="s">
        <v>2927</v>
      </c>
      <c r="C40" s="3140">
        <f ca="1">C39+D39+E39</f>
        <v>215416</v>
      </c>
      <c r="D40" s="3141"/>
      <c r="E40" s="3141"/>
      <c r="F40" s="3142"/>
      <c r="G40" s="3080"/>
      <c r="H40" s="3001"/>
      <c r="I40" s="3002"/>
      <c r="J40" s="3639"/>
      <c r="K40" s="3642"/>
      <c r="L40" s="3055" t="s">
        <v>2866</v>
      </c>
      <c r="M40" s="3056"/>
      <c r="N40" s="3056"/>
      <c r="O40" s="3057"/>
      <c r="P40" s="3057"/>
      <c r="Q40" s="3058"/>
      <c r="R40" s="3005">
        <f>SUM(R37:R39)</f>
        <v>0</v>
      </c>
      <c r="S40" s="3072"/>
      <c r="T40" s="2994"/>
      <c r="U40" s="2994"/>
      <c r="V40" s="3002"/>
    </row>
    <row r="41" spans="1:23" s="3006" customFormat="1" ht="13.4" customHeight="1" thickBot="1">
      <c r="A41" s="3143">
        <v>11</v>
      </c>
      <c r="B41" s="3144" t="s">
        <v>2928</v>
      </c>
      <c r="C41" s="3144">
        <f ca="1">ROUND(C40*10000/B4,0)</f>
        <v>12256</v>
      </c>
      <c r="D41" s="3145"/>
      <c r="E41" s="3145"/>
      <c r="F41" s="3146"/>
      <c r="G41" s="3147"/>
      <c r="H41" s="3001"/>
      <c r="I41" s="3002"/>
      <c r="J41" s="3094">
        <v>2</v>
      </c>
      <c r="K41" s="3095" t="s">
        <v>2906</v>
      </c>
      <c r="L41" s="3096"/>
      <c r="M41" s="3096"/>
      <c r="N41" s="3096"/>
      <c r="O41" s="3096"/>
      <c r="P41" s="3097"/>
      <c r="Q41" s="3098"/>
      <c r="R41" s="3069">
        <f>ROUND(R40*Q41,0)</f>
        <v>0</v>
      </c>
      <c r="S41" s="3072"/>
      <c r="T41" s="2994"/>
      <c r="U41" s="3106"/>
      <c r="V41" s="3002"/>
    </row>
    <row r="42" spans="1:23" s="3006" customFormat="1" ht="13.4" customHeight="1">
      <c r="G42" s="3147"/>
      <c r="H42" s="3001"/>
      <c r="I42" s="3002"/>
      <c r="J42" s="3649">
        <v>3</v>
      </c>
      <c r="K42" s="3101" t="s">
        <v>2908</v>
      </c>
      <c r="L42" s="3102"/>
      <c r="M42" s="3103"/>
      <c r="N42" s="3104" t="s">
        <v>2909</v>
      </c>
      <c r="O42" s="3104" t="s">
        <v>2910</v>
      </c>
      <c r="P42" s="3105" t="s">
        <v>2911</v>
      </c>
      <c r="Q42" s="3105" t="s">
        <v>2912</v>
      </c>
      <c r="R42" s="3011" t="s">
        <v>2837</v>
      </c>
      <c r="S42" s="3106"/>
      <c r="T42" s="3106"/>
      <c r="U42" s="2994"/>
      <c r="V42" s="3002"/>
    </row>
    <row r="43" spans="1:23" ht="13.4" customHeight="1">
      <c r="A43" s="3006"/>
      <c r="B43" s="3006"/>
      <c r="C43" s="3006"/>
      <c r="D43" s="3006"/>
      <c r="E43" s="3006"/>
      <c r="F43" s="3006"/>
      <c r="I43" s="2989"/>
      <c r="J43" s="3650"/>
      <c r="K43" s="3109"/>
      <c r="L43" s="3110"/>
      <c r="M43" s="3111"/>
      <c r="N43" s="3037"/>
      <c r="O43" s="3037"/>
      <c r="P43" s="3037"/>
      <c r="Q43" s="3098"/>
      <c r="R43" s="3069">
        <f>ROUND(O43*N43*P43*(1-Q43)/10000,0)</f>
        <v>0</v>
      </c>
      <c r="S43" s="3072"/>
      <c r="T43" s="2994"/>
      <c r="V43" s="3149"/>
      <c r="W43" s="3150"/>
    </row>
    <row r="44" spans="1:23" ht="13.4" customHeight="1" thickBot="1">
      <c r="J44" s="3114">
        <v>6</v>
      </c>
      <c r="K44" s="3115" t="s">
        <v>2915</v>
      </c>
      <c r="L44" s="3151" t="s">
        <v>2916</v>
      </c>
      <c r="M44" s="3117"/>
      <c r="N44" s="3151" t="s">
        <v>2917</v>
      </c>
      <c r="O44" s="3117"/>
      <c r="P44" s="3151" t="s">
        <v>2918</v>
      </c>
      <c r="Q44" s="3119">
        <v>1.4999999999999999E-2</v>
      </c>
      <c r="R44" s="312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B2" sqref="B2"/>
    </sheetView>
  </sheetViews>
  <sheetFormatPr defaultColWidth="9" defaultRowHeight="14"/>
  <cols>
    <col min="1" max="1" width="23.6328125" style="1591" customWidth="1"/>
    <col min="2" max="2" width="12" style="1591" customWidth="1"/>
    <col min="3" max="3" width="9" style="1591"/>
    <col min="4" max="4" width="14.08984375" style="1591" customWidth="1"/>
    <col min="5" max="5" width="9" style="1591"/>
    <col min="6" max="6" width="12.90625" style="1591" customWidth="1"/>
    <col min="7" max="16384" width="9" style="1591"/>
  </cols>
  <sheetData>
    <row r="1" spans="1:22" ht="21">
      <c r="A1" s="1981" t="s">
        <v>2103</v>
      </c>
      <c r="B1" s="1982"/>
      <c r="C1" s="1982"/>
      <c r="D1" s="1982"/>
      <c r="E1" s="1983"/>
      <c r="F1" s="2858"/>
      <c r="G1" s="1603"/>
      <c r="H1" s="1603"/>
      <c r="I1" s="1603"/>
      <c r="J1" s="1603"/>
      <c r="K1" s="1603"/>
      <c r="L1" s="1603"/>
      <c r="M1" s="1603"/>
      <c r="N1" s="1603"/>
      <c r="O1" s="1603"/>
      <c r="P1" s="1603"/>
      <c r="Q1" s="1603"/>
      <c r="R1" s="1603"/>
      <c r="S1" s="1603"/>
    </row>
    <row r="2" spans="1:22" ht="15.5">
      <c r="A2" s="1984" t="s">
        <v>1904</v>
      </c>
      <c r="B2" s="1985">
        <f ca="1">SUMIF(B6:B13,"&lt;&gt;#ref!",B6:B13)</f>
        <v>222815</v>
      </c>
      <c r="C2" s="1986" t="s">
        <v>2096</v>
      </c>
      <c r="D2" s="1987" t="s">
        <v>2097</v>
      </c>
      <c r="E2" s="2756">
        <f>SUM(E6:E13)</f>
        <v>175770.51</v>
      </c>
      <c r="F2" s="2858"/>
      <c r="G2" s="1603"/>
      <c r="H2" s="1603"/>
      <c r="I2" s="1603"/>
      <c r="J2" s="1603"/>
      <c r="K2" s="1603"/>
      <c r="L2" s="1603"/>
      <c r="M2" s="1603"/>
      <c r="N2" s="1603"/>
      <c r="O2" s="1603"/>
      <c r="P2" s="1603"/>
      <c r="Q2" s="1603"/>
      <c r="R2" s="1603"/>
      <c r="S2" s="1603"/>
    </row>
    <row r="3" spans="1:22" ht="15.5">
      <c r="A3" s="1984" t="s">
        <v>1116</v>
      </c>
      <c r="B3" s="2750">
        <f ca="1">ROUND(B2*10000/E2,0)</f>
        <v>12676</v>
      </c>
      <c r="C3" s="1986" t="s">
        <v>2104</v>
      </c>
      <c r="D3" s="2860"/>
      <c r="E3" s="2862"/>
      <c r="F3" s="2858"/>
      <c r="G3" s="1603"/>
      <c r="H3" s="1603"/>
      <c r="I3" s="1603"/>
      <c r="J3" s="1603"/>
      <c r="K3" s="1603"/>
      <c r="L3" s="1603"/>
      <c r="M3" s="1603"/>
      <c r="N3" s="1603"/>
      <c r="O3" s="1603"/>
      <c r="P3" s="1603"/>
      <c r="Q3" s="1603"/>
      <c r="R3" s="1603"/>
      <c r="S3" s="1603"/>
    </row>
    <row r="4" spans="1:22" ht="15.5">
      <c r="A4" s="2863"/>
      <c r="B4" s="2860"/>
      <c r="C4" s="2860"/>
      <c r="D4" s="2860"/>
      <c r="E4" s="2862"/>
      <c r="F4" s="2858"/>
      <c r="G4" s="1603"/>
      <c r="H4" s="1603"/>
      <c r="I4" s="1603"/>
      <c r="J4" s="1603"/>
      <c r="K4" s="1603"/>
      <c r="L4" s="1603"/>
      <c r="M4" s="1603"/>
      <c r="N4" s="1603"/>
      <c r="O4" s="1603"/>
      <c r="P4" s="1603"/>
      <c r="Q4" s="1603"/>
      <c r="R4" s="1603"/>
      <c r="S4" s="1603"/>
    </row>
    <row r="5" spans="1:22">
      <c r="A5" s="2752" t="s">
        <v>2098</v>
      </c>
      <c r="B5" s="3651" t="s">
        <v>2099</v>
      </c>
      <c r="C5" s="3652"/>
      <c r="D5" s="2859"/>
      <c r="E5" s="1988" t="s">
        <v>2100</v>
      </c>
      <c r="F5" s="1989" t="s">
        <v>2101</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101206</v>
      </c>
      <c r="C6" s="1986" t="s">
        <v>2096</v>
      </c>
      <c r="D6" s="2860"/>
      <c r="E6" s="2755">
        <f>IF(OR(A6=0,F6="否"),0,'数据-取费表'!K6+'数据-取费表'!S6)</f>
        <v>47180.44</v>
      </c>
      <c r="F6" s="1990" t="s">
        <v>2102</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2096</v>
      </c>
      <c r="D7" s="2860"/>
      <c r="E7" s="2755">
        <f>IF(OR(A7=0,F7="否"),0,'数据-取费表'!K7+'数据-取费表'!S7)</f>
        <v>0</v>
      </c>
      <c r="F7" s="1990" t="s">
        <v>3273</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11882</v>
      </c>
      <c r="C8" s="1986" t="s">
        <v>2096</v>
      </c>
      <c r="D8" s="2860"/>
      <c r="E8" s="2755">
        <f>IF(OR(A8=0,F8="否"),0,'数据-取费表'!K8+'数据-取费表'!S8)</f>
        <v>59578.47</v>
      </c>
      <c r="F8" s="1990" t="s">
        <v>2102</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109727</v>
      </c>
      <c r="C9" s="1986" t="s">
        <v>2096</v>
      </c>
      <c r="D9" s="2860"/>
      <c r="E9" s="2755">
        <f>IF(OR(A9=0,F9="否"),0,'数据-取费表'!K9+'数据-取费表'!S9)</f>
        <v>69011.599999999991</v>
      </c>
      <c r="F9" s="1990" t="s">
        <v>2102</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2096</v>
      </c>
      <c r="D10" s="2860"/>
      <c r="E10" s="2755">
        <f>IF(OR(A10=0,F10="否"),0,'数据-取费表'!K10+'数据-取费表'!S10)</f>
        <v>0</v>
      </c>
      <c r="F10" s="1990" t="s">
        <v>3273</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2096</v>
      </c>
      <c r="D11" s="2860"/>
      <c r="E11" s="2755">
        <f>IF(OR(A11=0,F11="否"),0,'数据-取费表'!K11+'数据-取费表'!S11)</f>
        <v>0</v>
      </c>
      <c r="F11" s="1990" t="s">
        <v>3273</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2096</v>
      </c>
      <c r="D12" s="2860"/>
      <c r="E12" s="2755">
        <f>IF(OR(A12=0,F12="否"),0,'数据-取费表'!K12+'数据-取费表'!S12)</f>
        <v>0</v>
      </c>
      <c r="F12" s="1990" t="s">
        <v>3273</v>
      </c>
      <c r="G12" s="1603"/>
      <c r="H12" s="1603"/>
      <c r="I12" s="1603"/>
      <c r="J12" s="1603"/>
      <c r="K12" s="1603"/>
      <c r="L12" s="1603"/>
      <c r="M12" s="1603"/>
      <c r="N12" s="1603"/>
      <c r="O12" s="1603"/>
      <c r="P12" s="1603"/>
      <c r="Q12" s="1603"/>
      <c r="R12" s="1603"/>
      <c r="S12" s="1603"/>
    </row>
    <row r="13" spans="1:22" ht="14.5" thickBot="1">
      <c r="A13" s="2754">
        <f>'数据-取费表'!AN13</f>
        <v>0</v>
      </c>
      <c r="B13" s="2751">
        <f>IF(F13="是",'数据-取费表'!AO13,0)</f>
        <v>0</v>
      </c>
      <c r="C13" s="1991" t="s">
        <v>2096</v>
      </c>
      <c r="D13" s="2861"/>
      <c r="E13" s="2755">
        <f>IF(OR(A13=0,F13="否"),0,'数据-取费表'!K13+'数据-取费表'!S13)</f>
        <v>0</v>
      </c>
      <c r="F13" s="1990" t="s">
        <v>3273</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25" zoomScale="70" zoomScaleNormal="70" zoomScaleSheetLayoutView="70" workbookViewId="0">
      <selection activeCell="J29" sqref="J29"/>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101206</v>
      </c>
      <c r="C2" s="1500" t="s">
        <v>1237</v>
      </c>
      <c r="D2" s="1500"/>
      <c r="E2" s="1501"/>
      <c r="F2" s="1502"/>
      <c r="G2" s="2857"/>
      <c r="H2" s="2846"/>
      <c r="I2" s="2846"/>
      <c r="J2" s="2846"/>
      <c r="K2" s="2847"/>
      <c r="L2" s="2846"/>
      <c r="M2" s="2846"/>
    </row>
    <row r="3" spans="1:37" ht="18" customHeight="1" thickBot="1">
      <c r="A3" s="1503" t="s">
        <v>1238</v>
      </c>
      <c r="B3" s="1504">
        <f ca="1">IF(ISERROR(B2*10000/F43),0,ROUND(B2*10000/F43,0))</f>
        <v>21451</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55" t="s">
        <v>1124</v>
      </c>
      <c r="C6" s="1166">
        <f ca="1">ROUND(F6*F8*F7*(1-F9)/10000,0)</f>
        <v>0</v>
      </c>
      <c r="D6" s="150" t="s">
        <v>2604</v>
      </c>
      <c r="E6" s="298" t="s">
        <v>1126</v>
      </c>
      <c r="F6" s="299">
        <f ca="1">INDIRECT("'数据-取费表'!u"&amp;$G$1)</f>
        <v>0</v>
      </c>
      <c r="G6" s="1497"/>
      <c r="H6" s="1161" t="s">
        <v>822</v>
      </c>
      <c r="I6" s="3655" t="s">
        <v>1124</v>
      </c>
      <c r="J6" s="297">
        <f ca="1">ROUND(M6*M8*M7*(1-M9)/10000,0)</f>
        <v>6294</v>
      </c>
      <c r="K6" s="150" t="s">
        <v>2603</v>
      </c>
      <c r="L6" s="298" t="s">
        <v>1126</v>
      </c>
      <c r="M6" s="299">
        <f ca="1">INDIRECT("'数据-取费表'!z"&amp;$G$1)</f>
        <v>4.3</v>
      </c>
    </row>
    <row r="7" spans="1:37" ht="18" customHeight="1">
      <c r="A7" s="1165"/>
      <c r="B7" s="3656"/>
      <c r="C7" s="1167"/>
      <c r="D7" s="303"/>
      <c r="E7" s="1168" t="s">
        <v>1127</v>
      </c>
      <c r="F7" s="299">
        <f ca="1">IF(INDIRECT("'数据-取费表'!ah"&amp;$G$1)="",INDIRECT("'数据-取费表'!k"&amp;$G$1),INDIRECT("'数据-取费表'!ah"&amp;$G$1))</f>
        <v>47180.44</v>
      </c>
      <c r="G7" s="1497"/>
      <c r="H7" s="300"/>
      <c r="I7" s="3656"/>
      <c r="J7" s="302"/>
      <c r="K7" s="303"/>
      <c r="L7" s="298" t="s">
        <v>1127</v>
      </c>
      <c r="M7" s="299">
        <f ca="1">F7</f>
        <v>47180.44</v>
      </c>
    </row>
    <row r="8" spans="1:37" ht="18" customHeight="1">
      <c r="A8" s="300"/>
      <c r="B8" s="3656"/>
      <c r="C8" s="302"/>
      <c r="D8" s="303"/>
      <c r="E8" s="298" t="s">
        <v>1128</v>
      </c>
      <c r="F8" s="299">
        <f ca="1">INDIRECT("'数据-取费表'!ai"&amp;$G$1)</f>
        <v>365</v>
      </c>
      <c r="G8" s="1497"/>
      <c r="H8" s="300"/>
      <c r="I8" s="3656"/>
      <c r="J8" s="302"/>
      <c r="K8" s="303"/>
      <c r="L8" s="298" t="s">
        <v>1128</v>
      </c>
      <c r="M8" s="299">
        <f ca="1">INDIRECT("'数据-取费表'!ai"&amp;$G$1)</f>
        <v>365</v>
      </c>
    </row>
    <row r="9" spans="1:37" ht="18" customHeight="1">
      <c r="A9" s="300"/>
      <c r="B9" s="3657"/>
      <c r="C9" s="302"/>
      <c r="D9" s="303"/>
      <c r="E9" s="298" t="s">
        <v>1129</v>
      </c>
      <c r="F9" s="308">
        <f ca="1">INDIRECT("'数据-取费表'!w"&amp;$G$1)</f>
        <v>0</v>
      </c>
      <c r="G9" s="1497"/>
      <c r="H9" s="300"/>
      <c r="I9" s="3657"/>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2612</v>
      </c>
      <c r="E10" s="309" t="s">
        <v>1131</v>
      </c>
      <c r="F10" s="1208" t="s">
        <v>3340</v>
      </c>
      <c r="G10" s="1497"/>
      <c r="H10" s="1161" t="s">
        <v>826</v>
      </c>
      <c r="I10" s="1478" t="s">
        <v>1130</v>
      </c>
      <c r="J10" s="297">
        <f ca="1">ROUND(IF(M10="押一",J6/12*M11,IF(M10="押二",J6/12*2*M11,IF(M10="押三",J6/12*3*M11,J11*M11))),0)</f>
        <v>8</v>
      </c>
      <c r="K10" s="1479" t="s">
        <v>2611</v>
      </c>
      <c r="L10" s="309" t="s">
        <v>1131</v>
      </c>
      <c r="M10" s="1208" t="s">
        <v>3340</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1173" t="s">
        <v>1136</v>
      </c>
      <c r="E13" s="1173" t="s">
        <v>1137</v>
      </c>
      <c r="F13" s="1174">
        <f ca="1">INDIRECT("'数据-取费表'!y"&amp;$G$1)</f>
        <v>0</v>
      </c>
      <c r="G13" s="1497"/>
      <c r="H13" s="1171">
        <v>2</v>
      </c>
      <c r="I13" s="1172" t="s">
        <v>1135</v>
      </c>
      <c r="J13" s="1160">
        <f ca="1">ROUND(J14*J15,0)</f>
        <v>28301</v>
      </c>
      <c r="K13" s="1179" t="s">
        <v>1136</v>
      </c>
      <c r="L13" s="1505"/>
      <c r="M13" s="1506"/>
    </row>
    <row r="14" spans="1:37" ht="18" customHeight="1">
      <c r="A14" s="1074" t="s">
        <v>821</v>
      </c>
      <c r="B14" s="298" t="s">
        <v>1138</v>
      </c>
      <c r="C14" s="314">
        <f ca="1">INDIRECT("'数据-取费表'!m"&amp;$G$1)+INDIRECT("'数据-取费表'!t"&amp;$G$1)</f>
        <v>18872</v>
      </c>
      <c r="D14" s="1458" t="s">
        <v>1139</v>
      </c>
      <c r="E14" s="1455"/>
      <c r="F14" s="315"/>
      <c r="G14" s="1497"/>
      <c r="H14" s="1074" t="s">
        <v>822</v>
      </c>
      <c r="I14" s="298" t="s">
        <v>1140</v>
      </c>
      <c r="J14" s="24">
        <f ca="1">C29</f>
        <v>28879</v>
      </c>
      <c r="K14" s="15"/>
      <c r="L14" s="877"/>
      <c r="M14" s="878"/>
    </row>
    <row r="15" spans="1:37" s="1510" customFormat="1" ht="18" customHeight="1" thickBot="1">
      <c r="A15" s="1074" t="s">
        <v>823</v>
      </c>
      <c r="B15" s="298" t="s">
        <v>1141</v>
      </c>
      <c r="C15" s="24">
        <f ca="1">ROUND(C14*F15,0)</f>
        <v>566</v>
      </c>
      <c r="D15" s="316" t="s">
        <v>1142</v>
      </c>
      <c r="E15" s="316"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1575</v>
      </c>
      <c r="K16" s="1179" t="s">
        <v>1146</v>
      </c>
      <c r="L16" s="1180"/>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1473"/>
      <c r="F19" s="26"/>
      <c r="G19" s="1497"/>
      <c r="H19" s="1074" t="s">
        <v>823</v>
      </c>
      <c r="I19" s="298" t="s">
        <v>1158</v>
      </c>
      <c r="J19" s="24">
        <f ca="1">IF(K19="按租金收入计税",ROUND(J6*M19/(1+'数据-取费表'!C42),2),ROUND(C29*M19*0.7,2))</f>
        <v>719.31</v>
      </c>
      <c r="K19" s="1483" t="s">
        <v>3346</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18</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f ca="1">ROUND(J14*M22,1)</f>
        <v>433.2</v>
      </c>
      <c r="K22" s="3378" t="s">
        <v>3664</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28.3</v>
      </c>
      <c r="K23" s="1457" t="s">
        <v>1175</v>
      </c>
      <c r="L23" s="298" t="s">
        <v>1176</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f ca="1">ROUND(J5*M24,1)</f>
        <v>63</v>
      </c>
      <c r="K24" s="1184" t="s">
        <v>1180</v>
      </c>
      <c r="L24" s="1182" t="s">
        <v>1176</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1473"/>
      <c r="F25" s="26"/>
      <c r="G25" s="1497"/>
      <c r="H25" s="1171" t="s">
        <v>818</v>
      </c>
      <c r="I25" s="1186" t="s">
        <v>1184</v>
      </c>
      <c r="J25" s="306">
        <f ca="1">J5-J16</f>
        <v>4727</v>
      </c>
      <c r="K25" s="1187" t="s">
        <v>1185</v>
      </c>
      <c r="L25" s="1188"/>
      <c r="M25" s="1189"/>
    </row>
    <row r="26" spans="1:37" ht="13">
      <c r="A26" s="1074" t="s">
        <v>821</v>
      </c>
      <c r="B26" s="298" t="s">
        <v>1186</v>
      </c>
      <c r="C26" s="24">
        <f ca="1">ROUND((C19+C20)*F26,0)</f>
        <v>4216</v>
      </c>
      <c r="D26" s="319" t="s">
        <v>1187</v>
      </c>
      <c r="E26" s="309" t="s">
        <v>1188</v>
      </c>
      <c r="F26" s="308">
        <f ca="1">INDIRECT("'数据-取费表'!q"&amp;$G$1)</f>
        <v>0.2</v>
      </c>
      <c r="G26" s="1497"/>
      <c r="H26" s="295" t="s">
        <v>819</v>
      </c>
      <c r="I26" s="296" t="s">
        <v>1189</v>
      </c>
      <c r="J26" s="297">
        <f ca="1">IF(J5&lt;&gt;0,ROUND(J25*(1-((1+M28)/(1+M26))^M27)/(M26-M28),0),0)</f>
        <v>103120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16"/>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28879</v>
      </c>
      <c r="D29" s="1184"/>
      <c r="E29" s="1182"/>
      <c r="F29" s="1185"/>
      <c r="G29" s="1509"/>
      <c r="H29" s="330" t="s">
        <v>820</v>
      </c>
      <c r="I29" s="331" t="s">
        <v>1200</v>
      </c>
      <c r="J29" s="332">
        <f ca="1">ROUND(J26/(1+F40)^F41,0)</f>
        <v>101206</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434</v>
      </c>
      <c r="D30" s="1179" t="s">
        <v>1146</v>
      </c>
      <c r="E30" s="118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433.2</v>
      </c>
      <c r="D36" s="145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1457" t="s">
        <v>1175</v>
      </c>
      <c r="E37" s="298" t="s">
        <v>1176</v>
      </c>
      <c r="F37" s="326">
        <f ca="1">INDIRECT("'数据-取费表'!Al"&amp;$G$1)</f>
        <v>1E-3</v>
      </c>
      <c r="G37" s="1497"/>
      <c r="H37" s="2851"/>
      <c r="I37" s="1511"/>
      <c r="J37" s="1512"/>
      <c r="K37" s="2693"/>
      <c r="L37" s="2851"/>
      <c r="M37" s="2851"/>
    </row>
    <row r="38" spans="1:18" ht="18" customHeight="1" thickBot="1">
      <c r="A38" s="1181" t="s">
        <v>1114</v>
      </c>
      <c r="B38" s="1182" t="s">
        <v>1160</v>
      </c>
      <c r="C38" s="1183">
        <f ca="1">ROUND(C5*F38,1)</f>
        <v>0</v>
      </c>
      <c r="D38" s="1184" t="s">
        <v>1180</v>
      </c>
      <c r="E38" s="1182" t="s">
        <v>1176</v>
      </c>
      <c r="F38" s="1178">
        <f ca="1">INDIRECT("'数据-取费表'!Am"&amp;$G$1)</f>
        <v>0.01</v>
      </c>
      <c r="G38" s="1497"/>
      <c r="H38" s="2851"/>
      <c r="I38" s="1511"/>
      <c r="J38" s="1512"/>
      <c r="K38" s="2855"/>
      <c r="L38" s="2851"/>
      <c r="M38" s="2851"/>
    </row>
    <row r="39" spans="1:18" ht="24.65" customHeight="1" thickTop="1">
      <c r="A39" s="1171" t="s">
        <v>818</v>
      </c>
      <c r="B39" s="1186" t="s">
        <v>1204</v>
      </c>
      <c r="C39" s="306">
        <f ca="1">C5-C30</f>
        <v>-434</v>
      </c>
      <c r="D39" s="1187" t="s">
        <v>1205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-965</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101206</v>
      </c>
      <c r="R47" s="1533" t="s">
        <v>1250</v>
      </c>
    </row>
    <row r="48" spans="1:18" s="1497" customFormat="1" ht="43.5" thickBot="1">
      <c r="A48" s="1202" t="s">
        <v>863</v>
      </c>
      <c r="B48" s="296" t="s">
        <v>1122</v>
      </c>
      <c r="C48" s="1472">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2605</v>
      </c>
      <c r="E49" s="1485" t="s">
        <v>1212</v>
      </c>
      <c r="F49" s="1151"/>
      <c r="G49" s="1538"/>
      <c r="H49" s="718"/>
      <c r="I49" s="1534" t="s">
        <v>1255</v>
      </c>
      <c r="J49" s="1539">
        <v>2021</v>
      </c>
      <c r="K49" s="1536" t="s">
        <v>1256</v>
      </c>
      <c r="L49" s="1540"/>
      <c r="O49" s="1541" t="s">
        <v>829</v>
      </c>
      <c r="P49" s="1532" t="s">
        <v>1257</v>
      </c>
      <c r="Q49" s="1533">
        <f ca="1">C29</f>
        <v>28879</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-8192</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53" t="s">
        <v>1269</v>
      </c>
      <c r="L53" s="3654"/>
      <c r="O53" s="1531" t="s">
        <v>833</v>
      </c>
      <c r="P53" s="1532" t="s">
        <v>1270</v>
      </c>
      <c r="Q53" s="1533">
        <f ca="1">Q47+Q48</f>
        <v>101206</v>
      </c>
      <c r="R53" s="1533" t="s">
        <v>834</v>
      </c>
    </row>
    <row r="54" spans="1:18" s="1497" customFormat="1" ht="26.5" thickBot="1">
      <c r="A54" s="1247"/>
      <c r="B54" s="1480" t="s">
        <v>1109</v>
      </c>
      <c r="C54" s="1051"/>
      <c r="D54" s="1479"/>
      <c r="E54" s="148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0</v>
      </c>
      <c r="D56" s="1560"/>
      <c r="E56" s="1561"/>
      <c r="F56" s="1553"/>
      <c r="I56" s="1562" t="s">
        <v>1275</v>
      </c>
      <c r="J56" s="1563" t="s">
        <v>3173</v>
      </c>
      <c r="K56" s="1534" t="s">
        <v>1276</v>
      </c>
      <c r="L56" s="1537" t="str">
        <f ca="1">IF(L48&lt;J51,"——",L48-J53)</f>
        <v>——</v>
      </c>
      <c r="O56" s="1531" t="s">
        <v>827</v>
      </c>
      <c r="P56" s="1532" t="s">
        <v>1249</v>
      </c>
      <c r="Q56" s="1533">
        <f ca="1">C40+J29</f>
        <v>101206</v>
      </c>
      <c r="R56" s="1533" t="s">
        <v>1250</v>
      </c>
    </row>
    <row r="57" spans="1:18" s="1497" customFormat="1" ht="26.5" thickBot="1">
      <c r="A57" s="1564"/>
      <c r="B57" s="1042" t="s">
        <v>1199</v>
      </c>
      <c r="C57" s="234">
        <f ca="1">C29</f>
        <v>28879</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2860</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2427</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1214</v>
      </c>
      <c r="C61" s="24">
        <f ca="1">IF(项目基本情况!B11="自然人","——",IF(D61="按租金收入计税",ROUND(C49*F61/(1+'数据-取费表'!C42),2),IF(D61="按房产原值计税",ROUND(C57*F61*0.7,2),INDIRECT("'数据-取费表'!Aj"&amp;$G$1))))</f>
        <v>2425.84</v>
      </c>
      <c r="D61" s="1483" t="s">
        <v>1159</v>
      </c>
      <c r="E61" s="1042" t="s">
        <v>1215</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1217</v>
      </c>
      <c r="C62" s="25">
        <f ca="1">IF(项目基本情况!B11="自然人","——",ROUND(F62*F63/10000,2))</f>
        <v>1.44</v>
      </c>
      <c r="D62" s="1057" t="s">
        <v>1218</v>
      </c>
      <c r="E62" s="1042" t="s">
        <v>1219</v>
      </c>
      <c r="F62" s="321">
        <f t="shared" si="0"/>
        <v>1.5</v>
      </c>
      <c r="I62" s="1575" t="s">
        <v>1291</v>
      </c>
      <c r="J62" s="1576" t="s">
        <v>1292</v>
      </c>
      <c r="K62" s="1576" t="s">
        <v>1293</v>
      </c>
      <c r="L62" s="1576" t="s">
        <v>1294</v>
      </c>
      <c r="M62" s="1577" t="s">
        <v>1295</v>
      </c>
      <c r="O62" s="1531" t="s">
        <v>833</v>
      </c>
      <c r="P62" s="1532" t="s">
        <v>1296</v>
      </c>
      <c r="Q62" s="1533">
        <f ca="1">Q56+Q57</f>
        <v>101206</v>
      </c>
      <c r="R62" s="1533" t="s">
        <v>834</v>
      </c>
    </row>
    <row r="63" spans="1:18" s="1497" customFormat="1" ht="13.5" thickBot="1">
      <c r="A63" s="322"/>
      <c r="B63" s="1048"/>
      <c r="C63" s="29"/>
      <c r="D63" s="1058"/>
      <c r="E63" s="1042" t="s">
        <v>1220</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f ca="1">ROUND(C57*F64,1)</f>
        <v>433.2</v>
      </c>
      <c r="D64" s="1056" t="s">
        <v>1223</v>
      </c>
      <c r="E64" s="1042" t="s">
        <v>1215</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1176</v>
      </c>
      <c r="F65" s="326">
        <f t="shared" ca="1" si="0"/>
        <v>1E-3</v>
      </c>
      <c r="I65" s="1575" t="s">
        <v>1300</v>
      </c>
      <c r="J65" s="1576">
        <v>40</v>
      </c>
      <c r="K65" s="1576">
        <v>30</v>
      </c>
      <c r="L65" s="1576">
        <v>50</v>
      </c>
      <c r="M65" s="1578">
        <v>0.02</v>
      </c>
      <c r="O65" s="1531" t="s">
        <v>827</v>
      </c>
      <c r="P65" s="1532" t="s">
        <v>1301</v>
      </c>
      <c r="Q65" s="1533">
        <f ca="1">C40+J29</f>
        <v>101206</v>
      </c>
      <c r="R65" s="1533" t="s">
        <v>1250</v>
      </c>
    </row>
    <row r="66" spans="1:18" s="1497" customFormat="1" ht="16" thickBot="1">
      <c r="A66" s="1074" t="s">
        <v>1225</v>
      </c>
      <c r="B66" s="1042" t="s">
        <v>1160</v>
      </c>
      <c r="C66" s="24">
        <f ca="1">ROUND(C48*F66,1)</f>
        <v>0</v>
      </c>
      <c r="D66" s="1056" t="s">
        <v>1226</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-2860</v>
      </c>
      <c r="D67" s="1055" t="s">
        <v>1185</v>
      </c>
      <c r="E67" s="1060"/>
      <c r="F67" s="1061"/>
      <c r="O67" s="1541" t="s">
        <v>829</v>
      </c>
      <c r="P67" s="1532" t="s">
        <v>1283</v>
      </c>
      <c r="Q67" s="1579">
        <f ca="1">L51</f>
        <v>-8192</v>
      </c>
      <c r="R67" s="1533" t="s">
        <v>1303</v>
      </c>
    </row>
    <row r="68" spans="1:18" s="1497" customFormat="1" ht="16" thickBot="1">
      <c r="A68" s="1039" t="s">
        <v>819</v>
      </c>
      <c r="B68" s="1040" t="s">
        <v>1206</v>
      </c>
      <c r="C68" s="297">
        <f ca="1">ROUND(C67*(1-((1+F70)/(1+F68))^F69)/(F68-F70),0)</f>
        <v>-965</v>
      </c>
      <c r="D68" s="1057" t="s">
        <v>1190</v>
      </c>
      <c r="E68" s="1042" t="s">
        <v>1191</v>
      </c>
      <c r="F68" s="308">
        <f ca="1">F40</f>
        <v>5.5E-2</v>
      </c>
      <c r="O68" s="1541" t="s">
        <v>830</v>
      </c>
      <c r="P68" s="1580" t="s">
        <v>1304</v>
      </c>
      <c r="Q68" s="1533">
        <f ca="1">ROUND(Q69-Q70*Q71,0)</f>
        <v>-434</v>
      </c>
      <c r="R68" s="1533" t="s">
        <v>838</v>
      </c>
    </row>
    <row r="69" spans="1:18" s="1497" customFormat="1" ht="13.5" thickBot="1">
      <c r="A69" s="1043"/>
      <c r="B69" s="1044"/>
      <c r="C69" s="302"/>
      <c r="D69" s="1062" t="s">
        <v>1194</v>
      </c>
      <c r="E69" s="1042" t="s">
        <v>1195</v>
      </c>
      <c r="F69" s="329">
        <f ca="1">F41</f>
        <v>0.35</v>
      </c>
      <c r="O69" s="1541" t="s">
        <v>835</v>
      </c>
      <c r="P69" s="1580" t="s">
        <v>1305</v>
      </c>
      <c r="Q69" s="1533">
        <f ca="1">C39</f>
        <v>-434</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-205</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101206</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v>
      </c>
    </row>
    <row r="80" spans="1:18" ht="13">
      <c r="B80" s="336" t="s">
        <v>1232</v>
      </c>
      <c r="C80" s="270">
        <f ca="1">ROUND(C75/C39,3)</f>
        <v>0</v>
      </c>
    </row>
    <row r="81" spans="2:3" ht="13.5">
      <c r="B81" s="266" t="s">
        <v>1233</v>
      </c>
      <c r="C81" s="234"/>
    </row>
    <row r="82" spans="2:3" ht="13">
      <c r="B82" s="269" t="s">
        <v>1234</v>
      </c>
      <c r="C82" s="271" t="e">
        <f ca="1">1-C83</f>
        <v>#DIV/0!</v>
      </c>
    </row>
    <row r="83" spans="2:3" ht="13">
      <c r="B83" s="269" t="s">
        <v>1235</v>
      </c>
      <c r="C83" s="270" t="e">
        <f ca="1">ROUND(C13/C40,3)</f>
        <v>#DIV/0!</v>
      </c>
    </row>
  </sheetData>
  <sheetProtection formatCells="0" formatColumns="0" formatRows="0"/>
  <mergeCells count="3">
    <mergeCell ref="K53:L53"/>
    <mergeCell ref="B6:B9"/>
    <mergeCell ref="I6:I9"/>
  </mergeCells>
  <phoneticPr fontId="6"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2106</v>
      </c>
      <c r="C1" s="1337" t="s">
        <v>2107</v>
      </c>
      <c r="D1" s="1324"/>
      <c r="E1" s="2472"/>
      <c r="F1" s="1993" t="s">
        <v>2108</v>
      </c>
      <c r="G1" s="1334" t="s">
        <v>2109</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1115</v>
      </c>
      <c r="B2" s="1258" t="e">
        <f ca="1">IF(C2="——",ROUND(C49*D3/10000,0),ROUND(C49*D3/10000,0)-D2)</f>
        <v>#DIV/0!</v>
      </c>
      <c r="C2" s="1995"/>
      <c r="D2" s="1207" t="e">
        <f ca="1">SUMIF(INDIRECT("'"&amp;F2&amp;"'"&amp;"!A:A"),"承租人权益价值",INDIRECT("'"&amp;F2&amp;"'"&amp;"!c:c"))</f>
        <v>#REF!</v>
      </c>
      <c r="E2" s="1996" t="s">
        <v>2110</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1116</v>
      </c>
      <c r="B3" s="349" t="e">
        <f ca="1">IF(C2="——",C49,ROUND(B2*10000/D3,0))</f>
        <v>#DIV/0!</v>
      </c>
      <c r="C3" s="350" t="s">
        <v>2111</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c r="A4" s="351" t="s">
        <v>2112</v>
      </c>
      <c r="B4" s="352"/>
      <c r="C4" s="3605" t="s">
        <v>2113</v>
      </c>
      <c r="D4" s="3606"/>
      <c r="E4" s="3607" t="s">
        <v>2114</v>
      </c>
      <c r="F4" s="3608"/>
      <c r="G4" s="3605" t="s">
        <v>2115</v>
      </c>
      <c r="H4" s="3606"/>
      <c r="I4" s="3605" t="s">
        <v>2116</v>
      </c>
      <c r="J4" s="3606"/>
      <c r="K4" s="2003" t="s">
        <v>2117</v>
      </c>
      <c r="L4" s="2866"/>
      <c r="M4" s="2867"/>
      <c r="N4" s="2867"/>
      <c r="O4" s="2867"/>
      <c r="P4" s="3609" t="s">
        <v>2118</v>
      </c>
      <c r="Q4" s="3610"/>
      <c r="R4" s="3592" t="s">
        <v>2114</v>
      </c>
      <c r="S4" s="3593"/>
      <c r="T4" s="3592" t="s">
        <v>2115</v>
      </c>
      <c r="U4" s="3593"/>
      <c r="V4" s="3617" t="s">
        <v>2116</v>
      </c>
      <c r="W4" s="3617"/>
      <c r="X4" s="1468"/>
      <c r="Y4" s="3592" t="s">
        <v>2118</v>
      </c>
      <c r="Z4" s="3593"/>
      <c r="AA4" s="3587" t="s">
        <v>2114</v>
      </c>
      <c r="AB4" s="3587" t="s">
        <v>2115</v>
      </c>
      <c r="AC4" s="3587" t="s">
        <v>2116</v>
      </c>
    </row>
    <row r="5" spans="1:29">
      <c r="A5" s="354"/>
      <c r="B5" s="355"/>
      <c r="C5" s="3598" t="s">
        <v>2119</v>
      </c>
      <c r="D5" s="3599"/>
      <c r="E5" s="3596" t="s">
        <v>2120</v>
      </c>
      <c r="F5" s="3597"/>
      <c r="G5" s="3598" t="s">
        <v>2121</v>
      </c>
      <c r="H5" s="3599"/>
      <c r="I5" s="3598" t="s">
        <v>2122</v>
      </c>
      <c r="J5" s="3599"/>
      <c r="K5" s="2004"/>
      <c r="L5" s="2866"/>
      <c r="M5" s="2867"/>
      <c r="N5" s="2867"/>
      <c r="O5" s="2867"/>
      <c r="P5" s="3611"/>
      <c r="Q5" s="3612"/>
      <c r="R5" s="3594"/>
      <c r="S5" s="3595"/>
      <c r="T5" s="3594"/>
      <c r="U5" s="3595"/>
      <c r="V5" s="3617"/>
      <c r="W5" s="3617"/>
      <c r="X5" s="1468"/>
      <c r="Y5" s="3594"/>
      <c r="Z5" s="3595"/>
      <c r="AA5" s="3588"/>
      <c r="AB5" s="3588"/>
      <c r="AC5" s="3588"/>
    </row>
    <row r="6" spans="1:29" ht="15" thickBot="1">
      <c r="A6" s="356"/>
      <c r="B6" s="357"/>
      <c r="C6" s="3600" t="s">
        <v>2123</v>
      </c>
      <c r="D6" s="3601"/>
      <c r="E6" s="3602" t="s">
        <v>2123</v>
      </c>
      <c r="F6" s="3603"/>
      <c r="G6" s="3600" t="s">
        <v>2123</v>
      </c>
      <c r="H6" s="3601"/>
      <c r="I6" s="3600" t="s">
        <v>2123</v>
      </c>
      <c r="J6" s="3601"/>
      <c r="K6" s="2004" t="s">
        <v>2124</v>
      </c>
      <c r="L6" s="2866"/>
      <c r="M6" s="2867"/>
      <c r="N6" s="2867"/>
      <c r="O6" s="2867"/>
      <c r="P6" s="3613"/>
      <c r="Q6" s="3614"/>
      <c r="R6" s="3594"/>
      <c r="S6" s="3595"/>
      <c r="T6" s="3615"/>
      <c r="U6" s="3616"/>
      <c r="V6" s="3617"/>
      <c r="W6" s="3617"/>
      <c r="X6" s="1468"/>
      <c r="Y6" s="3615"/>
      <c r="Z6" s="3616"/>
      <c r="AA6" s="3589"/>
      <c r="AB6" s="3589"/>
      <c r="AC6" s="3589"/>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590" t="s">
        <v>2126</v>
      </c>
      <c r="Q7" s="3618"/>
      <c r="R7" s="696" t="s">
        <v>23</v>
      </c>
      <c r="S7" s="697">
        <f t="shared" ref="S7:S15" si="0">F7</f>
        <v>0</v>
      </c>
      <c r="T7" s="696" t="s">
        <v>23</v>
      </c>
      <c r="U7" s="697">
        <f t="shared" ref="U7:U15" si="1">H7</f>
        <v>0</v>
      </c>
      <c r="V7" s="696" t="s">
        <v>23</v>
      </c>
      <c r="W7" s="697">
        <f t="shared" ref="W7:W15" si="2">J7</f>
        <v>0</v>
      </c>
      <c r="X7" s="698"/>
      <c r="Y7" s="3590" t="s">
        <v>2126</v>
      </c>
      <c r="Z7" s="3591"/>
      <c r="AA7" s="699" t="e">
        <f>D7/F7</f>
        <v>#DIV/0!</v>
      </c>
      <c r="AB7" s="699" t="e">
        <f>D7/H7</f>
        <v>#DIV/0!</v>
      </c>
      <c r="AC7" s="699" t="e">
        <f>D7/J7</f>
        <v>#DIV/0!</v>
      </c>
    </row>
    <row r="8" spans="1:29" s="110" customFormat="1" ht="14.5" thickBot="1">
      <c r="A8" s="358" t="s">
        <v>2127</v>
      </c>
      <c r="B8" s="359"/>
      <c r="C8" s="364" t="s">
        <v>2128</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590" t="s">
        <v>2129</v>
      </c>
      <c r="Q8" s="3591"/>
      <c r="R8" s="696" t="s">
        <v>23</v>
      </c>
      <c r="S8" s="697">
        <f t="shared" si="0"/>
        <v>0</v>
      </c>
      <c r="T8" s="696" t="s">
        <v>23</v>
      </c>
      <c r="U8" s="697">
        <f t="shared" si="1"/>
        <v>0</v>
      </c>
      <c r="V8" s="696" t="s">
        <v>23</v>
      </c>
      <c r="W8" s="697">
        <f t="shared" si="2"/>
        <v>0</v>
      </c>
      <c r="X8" s="698"/>
      <c r="Y8" s="3590" t="s">
        <v>2129</v>
      </c>
      <c r="Z8" s="3591"/>
      <c r="AA8" s="699" t="e">
        <f t="shared" ref="AA8:AA19" si="3">D8/F8</f>
        <v>#DIV/0!</v>
      </c>
      <c r="AB8" s="699" t="e">
        <f t="shared" ref="AB8:AB19" si="4">D8/H8</f>
        <v>#DIV/0!</v>
      </c>
      <c r="AC8" s="699" t="e">
        <f t="shared" ref="AC8:AC19" si="5">D8/J8</f>
        <v>#DIV/0!</v>
      </c>
    </row>
    <row r="9" spans="1:29" s="110" customFormat="1">
      <c r="A9" s="365" t="s">
        <v>2130</v>
      </c>
      <c r="B9" s="67" t="s">
        <v>2131</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628" t="s">
        <v>2132</v>
      </c>
      <c r="Q9" s="1456" t="str">
        <f t="shared" ref="Q9:Q15" si="6">B9</f>
        <v>用途</v>
      </c>
      <c r="R9" s="696" t="s">
        <v>17</v>
      </c>
      <c r="S9" s="697">
        <f t="shared" si="0"/>
        <v>100</v>
      </c>
      <c r="T9" s="696" t="s">
        <v>17</v>
      </c>
      <c r="U9" s="697">
        <f t="shared" si="1"/>
        <v>100</v>
      </c>
      <c r="V9" s="696" t="s">
        <v>17</v>
      </c>
      <c r="W9" s="697">
        <f t="shared" si="2"/>
        <v>100</v>
      </c>
      <c r="X9" s="698"/>
      <c r="Y9" s="3563"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628"/>
      <c r="Q10" s="1456" t="str">
        <f t="shared" si="6"/>
        <v>土地使用年限（年）</v>
      </c>
      <c r="R10" s="696" t="s">
        <v>17</v>
      </c>
      <c r="S10" s="697">
        <f t="shared" si="0"/>
        <v>100</v>
      </c>
      <c r="T10" s="696" t="s">
        <v>17</v>
      </c>
      <c r="U10" s="697">
        <f t="shared" si="1"/>
        <v>100</v>
      </c>
      <c r="V10" s="696" t="s">
        <v>17</v>
      </c>
      <c r="W10" s="697">
        <f t="shared" si="2"/>
        <v>100</v>
      </c>
      <c r="X10" s="698"/>
      <c r="Y10" s="3563"/>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628"/>
      <c r="Q11" s="1456" t="str">
        <f t="shared" si="6"/>
        <v>容积率</v>
      </c>
      <c r="R11" s="696" t="s">
        <v>21</v>
      </c>
      <c r="S11" s="697" t="e">
        <f t="shared" si="0"/>
        <v>#N/A</v>
      </c>
      <c r="T11" s="696" t="s">
        <v>21</v>
      </c>
      <c r="U11" s="697" t="e">
        <f t="shared" si="1"/>
        <v>#N/A</v>
      </c>
      <c r="V11" s="696" t="s">
        <v>21</v>
      </c>
      <c r="W11" s="697" t="e">
        <f t="shared" si="2"/>
        <v>#N/A</v>
      </c>
      <c r="X11" s="698"/>
      <c r="Y11" s="3563"/>
      <c r="Z11" s="55" t="str">
        <f t="shared" si="7"/>
        <v>容积率</v>
      </c>
      <c r="AA11" s="699" t="e">
        <f t="shared" si="3"/>
        <v>#N/A</v>
      </c>
      <c r="AB11" s="699" t="e">
        <f t="shared" si="4"/>
        <v>#N/A</v>
      </c>
      <c r="AC11" s="699" t="e">
        <f t="shared" si="5"/>
        <v>#N/A</v>
      </c>
    </row>
    <row r="12" spans="1:29" s="110" customFormat="1" ht="15.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628"/>
      <c r="Q12" s="1456">
        <f t="shared" si="6"/>
        <v>111</v>
      </c>
      <c r="R12" s="696" t="s">
        <v>21</v>
      </c>
      <c r="S12" s="697">
        <f t="shared" si="0"/>
        <v>100</v>
      </c>
      <c r="T12" s="696" t="s">
        <v>21</v>
      </c>
      <c r="U12" s="697">
        <f t="shared" si="1"/>
        <v>100</v>
      </c>
      <c r="V12" s="696" t="s">
        <v>21</v>
      </c>
      <c r="W12" s="697">
        <f t="shared" si="2"/>
        <v>100</v>
      </c>
      <c r="X12" s="698"/>
      <c r="Y12" s="3563"/>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628"/>
      <c r="Q13" s="1456">
        <f t="shared" si="6"/>
        <v>111</v>
      </c>
      <c r="R13" s="696" t="s">
        <v>21</v>
      </c>
      <c r="S13" s="697">
        <f t="shared" si="0"/>
        <v>100</v>
      </c>
      <c r="T13" s="696" t="s">
        <v>21</v>
      </c>
      <c r="U13" s="697">
        <f t="shared" si="1"/>
        <v>100</v>
      </c>
      <c r="V13" s="696" t="s">
        <v>21</v>
      </c>
      <c r="W13" s="697">
        <f t="shared" si="2"/>
        <v>100</v>
      </c>
      <c r="X13" s="698"/>
      <c r="Y13" s="3563"/>
      <c r="Z13" s="55">
        <f t="shared" si="7"/>
        <v>111</v>
      </c>
      <c r="AA13" s="699">
        <f t="shared" si="3"/>
        <v>1</v>
      </c>
      <c r="AB13" s="699">
        <f t="shared" si="4"/>
        <v>1</v>
      </c>
      <c r="AC13" s="699">
        <f t="shared" si="5"/>
        <v>1</v>
      </c>
    </row>
    <row r="14" spans="1:29" ht="16"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628"/>
      <c r="Q14" s="1456">
        <f t="shared" si="6"/>
        <v>111</v>
      </c>
      <c r="R14" s="696" t="s">
        <v>21</v>
      </c>
      <c r="S14" s="697">
        <f t="shared" si="0"/>
        <v>100</v>
      </c>
      <c r="T14" s="696" t="s">
        <v>21</v>
      </c>
      <c r="U14" s="697">
        <f t="shared" si="1"/>
        <v>100</v>
      </c>
      <c r="V14" s="696" t="s">
        <v>21</v>
      </c>
      <c r="W14" s="697">
        <f t="shared" si="2"/>
        <v>100</v>
      </c>
      <c r="X14" s="698"/>
      <c r="Y14" s="3563"/>
      <c r="Z14" s="55">
        <f t="shared" si="7"/>
        <v>111</v>
      </c>
      <c r="AA14" s="699">
        <f t="shared" si="3"/>
        <v>1</v>
      </c>
      <c r="AB14" s="699">
        <f t="shared" si="4"/>
        <v>1</v>
      </c>
      <c r="AC14" s="699">
        <f t="shared" si="5"/>
        <v>1</v>
      </c>
    </row>
    <row r="15" spans="1:29" ht="15.5">
      <c r="A15" s="389" t="s">
        <v>2136</v>
      </c>
      <c r="B15" s="65" t="s">
        <v>1699</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64" t="s">
        <v>2137</v>
      </c>
      <c r="Q15" s="1465" t="str">
        <f t="shared" si="6"/>
        <v>居住社区成熟度</v>
      </c>
      <c r="R15" s="700" t="s">
        <v>21</v>
      </c>
      <c r="S15" s="701">
        <f t="shared" si="0"/>
        <v>100</v>
      </c>
      <c r="T15" s="700" t="s">
        <v>21</v>
      </c>
      <c r="U15" s="701">
        <f t="shared" si="1"/>
        <v>100</v>
      </c>
      <c r="V15" s="700" t="s">
        <v>21</v>
      </c>
      <c r="W15" s="701">
        <f t="shared" si="2"/>
        <v>100</v>
      </c>
      <c r="X15" s="1468"/>
      <c r="Y15" s="3619" t="s">
        <v>2137</v>
      </c>
      <c r="Z15" s="1469" t="str">
        <f t="shared" si="7"/>
        <v>居住社区成熟度</v>
      </c>
      <c r="AA15" s="1466">
        <f t="shared" si="3"/>
        <v>1</v>
      </c>
      <c r="AB15" s="1466">
        <f t="shared" si="4"/>
        <v>1</v>
      </c>
      <c r="AC15" s="1466">
        <f t="shared" si="5"/>
        <v>1</v>
      </c>
    </row>
    <row r="16" spans="1:29" ht="15.5">
      <c r="A16" s="377"/>
      <c r="B16" s="395"/>
      <c r="C16" s="396"/>
      <c r="D16" s="397"/>
      <c r="E16" s="2011"/>
      <c r="F16" s="397"/>
      <c r="G16" s="2012"/>
      <c r="H16" s="399"/>
      <c r="I16" s="2012"/>
      <c r="J16" s="397"/>
      <c r="K16" s="2013"/>
      <c r="L16" s="2873"/>
      <c r="M16" s="2867"/>
      <c r="N16" s="2867"/>
      <c r="O16" s="2867"/>
      <c r="P16" s="3665"/>
      <c r="Q16" s="1465"/>
      <c r="R16" s="700"/>
      <c r="S16" s="701"/>
      <c r="T16" s="700"/>
      <c r="U16" s="701"/>
      <c r="V16" s="700"/>
      <c r="W16" s="701"/>
      <c r="X16" s="1468"/>
      <c r="Y16" s="3620"/>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65"/>
      <c r="Q17" s="1465" t="str">
        <f>B17</f>
        <v>交通便捷度</v>
      </c>
      <c r="R17" s="700" t="s">
        <v>21</v>
      </c>
      <c r="S17" s="701">
        <f>F17</f>
        <v>100</v>
      </c>
      <c r="T17" s="700" t="s">
        <v>21</v>
      </c>
      <c r="U17" s="701">
        <f>H17</f>
        <v>100</v>
      </c>
      <c r="V17" s="700" t="s">
        <v>21</v>
      </c>
      <c r="W17" s="701">
        <f>J17</f>
        <v>100</v>
      </c>
      <c r="X17" s="1468"/>
      <c r="Y17" s="3620"/>
      <c r="Z17" s="1469" t="str">
        <f>Q17</f>
        <v>交通便捷度</v>
      </c>
      <c r="AA17" s="1466">
        <f t="shared" si="3"/>
        <v>1</v>
      </c>
      <c r="AB17" s="1466">
        <f t="shared" si="4"/>
        <v>1</v>
      </c>
      <c r="AC17" s="1466">
        <f t="shared" si="5"/>
        <v>1</v>
      </c>
    </row>
    <row r="18" spans="1:29" ht="15.5">
      <c r="A18" s="377"/>
      <c r="B18" s="405"/>
      <c r="C18" s="2015"/>
      <c r="D18" s="399"/>
      <c r="E18" s="2016"/>
      <c r="F18" s="399"/>
      <c r="G18" s="2017"/>
      <c r="H18" s="397"/>
      <c r="I18" s="2017"/>
      <c r="J18" s="397"/>
      <c r="K18" s="2013"/>
      <c r="L18" s="2873"/>
      <c r="M18" s="2867"/>
      <c r="N18" s="2867"/>
      <c r="O18" s="2867"/>
      <c r="P18" s="3665"/>
      <c r="Q18" s="1465"/>
      <c r="R18" s="700"/>
      <c r="S18" s="701"/>
      <c r="T18" s="700"/>
      <c r="U18" s="701"/>
      <c r="V18" s="700"/>
      <c r="W18" s="701"/>
      <c r="X18" s="1468"/>
      <c r="Y18" s="3620"/>
      <c r="Z18" s="1469"/>
      <c r="AA18" s="1466">
        <v>1</v>
      </c>
      <c r="AB18" s="1466">
        <v>1</v>
      </c>
      <c r="AC18" s="1466">
        <v>1</v>
      </c>
    </row>
    <row r="19" spans="1:29" ht="42">
      <c r="A19" s="377"/>
      <c r="B19" s="400" t="s">
        <v>1700</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65"/>
      <c r="Q19" s="1465" t="str">
        <f>B19</f>
        <v>公共配套设施</v>
      </c>
      <c r="R19" s="700" t="s">
        <v>21</v>
      </c>
      <c r="S19" s="701">
        <f>F19</f>
        <v>100</v>
      </c>
      <c r="T19" s="700" t="s">
        <v>21</v>
      </c>
      <c r="U19" s="701">
        <f>H19</f>
        <v>100</v>
      </c>
      <c r="V19" s="700" t="s">
        <v>21</v>
      </c>
      <c r="W19" s="701">
        <f>J19</f>
        <v>100</v>
      </c>
      <c r="X19" s="1468"/>
      <c r="Y19" s="3620"/>
      <c r="Z19" s="1469" t="str">
        <f>Q19</f>
        <v>公共配套设施</v>
      </c>
      <c r="AA19" s="1466">
        <f t="shared" si="3"/>
        <v>1</v>
      </c>
      <c r="AB19" s="1466">
        <f t="shared" si="4"/>
        <v>1</v>
      </c>
      <c r="AC19" s="1466">
        <f t="shared" si="5"/>
        <v>1</v>
      </c>
    </row>
    <row r="20" spans="1:29" ht="15.5">
      <c r="A20" s="377"/>
      <c r="B20" s="405"/>
      <c r="C20" s="396"/>
      <c r="D20" s="397"/>
      <c r="E20" s="2011"/>
      <c r="F20" s="397"/>
      <c r="G20" s="2012"/>
      <c r="H20" s="397"/>
      <c r="I20" s="2012"/>
      <c r="J20" s="397"/>
      <c r="K20" s="2013"/>
      <c r="L20" s="2873"/>
      <c r="M20" s="2867"/>
      <c r="N20" s="2867"/>
      <c r="O20" s="2867"/>
      <c r="P20" s="3665"/>
      <c r="Q20" s="1465"/>
      <c r="R20" s="700"/>
      <c r="S20" s="701"/>
      <c r="T20" s="700"/>
      <c r="U20" s="701"/>
      <c r="V20" s="700"/>
      <c r="W20" s="701"/>
      <c r="X20" s="1468"/>
      <c r="Y20" s="3620"/>
      <c r="Z20" s="1469"/>
      <c r="AA20" s="1466">
        <v>1</v>
      </c>
      <c r="AB20" s="1466">
        <v>1</v>
      </c>
      <c r="AC20" s="1466">
        <v>1</v>
      </c>
    </row>
    <row r="21" spans="1:29" ht="15.5">
      <c r="A21" s="377"/>
      <c r="B21" s="1225" t="s">
        <v>1702</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65"/>
      <c r="Q21" s="1465" t="str">
        <f>B21</f>
        <v>基础设施水平</v>
      </c>
      <c r="R21" s="700" t="s">
        <v>17</v>
      </c>
      <c r="S21" s="701">
        <f>F21</f>
        <v>100</v>
      </c>
      <c r="T21" s="700" t="s">
        <v>17</v>
      </c>
      <c r="U21" s="701">
        <f>H21</f>
        <v>100</v>
      </c>
      <c r="V21" s="700" t="s">
        <v>17</v>
      </c>
      <c r="W21" s="701">
        <f>J21</f>
        <v>100</v>
      </c>
      <c r="X21" s="1468"/>
      <c r="Y21" s="3620"/>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7"/>
      <c r="G22" s="2018"/>
      <c r="H22" s="397"/>
      <c r="I22" s="396"/>
      <c r="J22" s="397"/>
      <c r="K22" s="2019"/>
      <c r="L22" s="2873"/>
      <c r="M22" s="2867"/>
      <c r="N22" s="2867"/>
      <c r="O22" s="2867"/>
      <c r="P22" s="3665"/>
      <c r="Q22" s="1465"/>
      <c r="R22" s="700"/>
      <c r="S22" s="701"/>
      <c r="T22" s="700"/>
      <c r="U22" s="701"/>
      <c r="V22" s="700"/>
      <c r="W22" s="701"/>
      <c r="X22" s="1468"/>
      <c r="Y22" s="3620"/>
      <c r="Z22" s="1469"/>
      <c r="AA22" s="1466">
        <v>1</v>
      </c>
      <c r="AB22" s="1466">
        <v>1</v>
      </c>
      <c r="AC22" s="1466">
        <v>1</v>
      </c>
    </row>
    <row r="23" spans="1:29" ht="98">
      <c r="A23" s="377"/>
      <c r="B23" s="400" t="s">
        <v>1703</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65"/>
      <c r="Q23" s="1465" t="str">
        <f>B23</f>
        <v>自然及人文环境</v>
      </c>
      <c r="R23" s="700" t="s">
        <v>21</v>
      </c>
      <c r="S23" s="701">
        <f>F23</f>
        <v>100</v>
      </c>
      <c r="T23" s="700" t="s">
        <v>21</v>
      </c>
      <c r="U23" s="701">
        <f>H23</f>
        <v>100</v>
      </c>
      <c r="V23" s="700" t="s">
        <v>21</v>
      </c>
      <c r="W23" s="701">
        <f>J23</f>
        <v>100</v>
      </c>
      <c r="X23" s="1468"/>
      <c r="Y23" s="3620"/>
      <c r="Z23" s="1469" t="str">
        <f>Q23</f>
        <v>自然及人文环境</v>
      </c>
      <c r="AA23" s="1466">
        <f>D23/F23</f>
        <v>1</v>
      </c>
      <c r="AB23" s="1466">
        <f>D23/H23</f>
        <v>1</v>
      </c>
      <c r="AC23" s="1466">
        <f>D23/J23</f>
        <v>1</v>
      </c>
    </row>
    <row r="24" spans="1:29" ht="15.5">
      <c r="A24" s="377"/>
      <c r="B24" s="405"/>
      <c r="C24" s="396"/>
      <c r="D24" s="397"/>
      <c r="E24" s="2011"/>
      <c r="F24" s="397"/>
      <c r="G24" s="2012"/>
      <c r="H24" s="397"/>
      <c r="I24" s="2012"/>
      <c r="J24" s="397"/>
      <c r="K24" s="2013"/>
      <c r="L24" s="2873"/>
      <c r="M24" s="2867"/>
      <c r="N24" s="2867"/>
      <c r="O24" s="2867"/>
      <c r="P24" s="3665"/>
      <c r="Q24" s="1465"/>
      <c r="R24" s="700"/>
      <c r="S24" s="701"/>
      <c r="T24" s="700"/>
      <c r="U24" s="701"/>
      <c r="V24" s="700"/>
      <c r="W24" s="701"/>
      <c r="X24" s="1468"/>
      <c r="Y24" s="3620"/>
      <c r="Z24" s="1469"/>
      <c r="AA24" s="1466">
        <v>1</v>
      </c>
      <c r="AB24" s="1466">
        <v>1</v>
      </c>
      <c r="AC24" s="1466">
        <v>1</v>
      </c>
    </row>
    <row r="25" spans="1:29" ht="15.5">
      <c r="A25" s="377"/>
      <c r="B25" s="371" t="s">
        <v>2138</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65"/>
      <c r="Q25" s="1465" t="str">
        <f t="shared" ref="Q25:Q46" si="11">B25</f>
        <v>楼层-1</v>
      </c>
      <c r="R25" s="700" t="s">
        <v>21</v>
      </c>
      <c r="S25" s="701">
        <f t="shared" ref="S25:S46" si="12">F25</f>
        <v>100</v>
      </c>
      <c r="T25" s="700" t="s">
        <v>21</v>
      </c>
      <c r="U25" s="701">
        <f t="shared" ref="U25:U46" si="13">H25</f>
        <v>100</v>
      </c>
      <c r="V25" s="700" t="s">
        <v>21</v>
      </c>
      <c r="W25" s="701">
        <f t="shared" ref="W25:W46" si="14">J25</f>
        <v>100</v>
      </c>
      <c r="X25" s="1468"/>
      <c r="Y25" s="3620"/>
      <c r="Z25" s="1469" t="str">
        <f>Q25</f>
        <v>楼层-1</v>
      </c>
      <c r="AA25" s="1466">
        <f t="shared" ref="AA25:AA46" si="15">D25/F25</f>
        <v>1</v>
      </c>
      <c r="AB25" s="1466">
        <f t="shared" ref="AB25:AB46" si="16">D25/H25</f>
        <v>1</v>
      </c>
      <c r="AC25" s="1466">
        <f t="shared" ref="AC25:AC46" si="17">D25/J25</f>
        <v>1</v>
      </c>
    </row>
    <row r="26" spans="1:29" ht="15.5">
      <c r="A26" s="377"/>
      <c r="B26" s="371" t="s">
        <v>2139</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65"/>
      <c r="Q26" s="1465" t="str">
        <f t="shared" si="11"/>
        <v>朝向</v>
      </c>
      <c r="R26" s="700" t="s">
        <v>21</v>
      </c>
      <c r="S26" s="701">
        <f t="shared" si="12"/>
        <v>100</v>
      </c>
      <c r="T26" s="700" t="s">
        <v>21</v>
      </c>
      <c r="U26" s="701">
        <f t="shared" si="13"/>
        <v>100</v>
      </c>
      <c r="V26" s="700" t="s">
        <v>21</v>
      </c>
      <c r="W26" s="701">
        <f t="shared" si="14"/>
        <v>100</v>
      </c>
      <c r="X26" s="1468"/>
      <c r="Y26" s="3620"/>
      <c r="Z26" s="1469" t="str">
        <f>Q26</f>
        <v>朝向</v>
      </c>
      <c r="AA26" s="1466">
        <f t="shared" si="15"/>
        <v>1</v>
      </c>
      <c r="AB26" s="1466">
        <f t="shared" si="16"/>
        <v>1</v>
      </c>
      <c r="AC26" s="1466">
        <f t="shared" si="17"/>
        <v>1</v>
      </c>
    </row>
    <row r="27" spans="1:29" s="110" customFormat="1" ht="15.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65"/>
      <c r="Q27" s="1456">
        <f t="shared" si="11"/>
        <v>111</v>
      </c>
      <c r="R27" s="696" t="s">
        <v>21</v>
      </c>
      <c r="S27" s="697">
        <f t="shared" si="12"/>
        <v>100</v>
      </c>
      <c r="T27" s="696" t="s">
        <v>21</v>
      </c>
      <c r="U27" s="697">
        <f t="shared" si="13"/>
        <v>100</v>
      </c>
      <c r="V27" s="696" t="s">
        <v>21</v>
      </c>
      <c r="W27" s="697">
        <f t="shared" si="14"/>
        <v>100</v>
      </c>
      <c r="X27" s="698"/>
      <c r="Y27" s="3620"/>
      <c r="Z27" s="55">
        <f>Q27</f>
        <v>111</v>
      </c>
      <c r="AA27" s="1466">
        <f t="shared" si="15"/>
        <v>1</v>
      </c>
      <c r="AB27" s="1466">
        <f t="shared" si="16"/>
        <v>1</v>
      </c>
      <c r="AC27" s="1466">
        <f t="shared" si="17"/>
        <v>1</v>
      </c>
    </row>
    <row r="28" spans="1:29" ht="15.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65"/>
      <c r="Q28" s="1465">
        <f t="shared" si="11"/>
        <v>111</v>
      </c>
      <c r="R28" s="700" t="s">
        <v>21</v>
      </c>
      <c r="S28" s="701">
        <f t="shared" si="12"/>
        <v>100</v>
      </c>
      <c r="T28" s="700" t="s">
        <v>21</v>
      </c>
      <c r="U28" s="701">
        <f t="shared" si="13"/>
        <v>100</v>
      </c>
      <c r="V28" s="700" t="s">
        <v>21</v>
      </c>
      <c r="W28" s="701">
        <f t="shared" si="14"/>
        <v>100</v>
      </c>
      <c r="X28" s="1468"/>
      <c r="Y28" s="3620"/>
      <c r="Z28" s="1469">
        <f t="shared" ref="Z28:Z46" si="18">Q28</f>
        <v>111</v>
      </c>
      <c r="AA28" s="1466">
        <f t="shared" si="15"/>
        <v>1</v>
      </c>
      <c r="AB28" s="1466">
        <f t="shared" si="16"/>
        <v>1</v>
      </c>
      <c r="AC28" s="1466">
        <f t="shared" si="17"/>
        <v>1</v>
      </c>
    </row>
    <row r="29" spans="1:29" ht="15.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65"/>
      <c r="Q29" s="1465">
        <f t="shared" si="11"/>
        <v>111</v>
      </c>
      <c r="R29" s="700" t="s">
        <v>21</v>
      </c>
      <c r="S29" s="701">
        <f t="shared" si="12"/>
        <v>100</v>
      </c>
      <c r="T29" s="700" t="s">
        <v>21</v>
      </c>
      <c r="U29" s="701">
        <f t="shared" si="13"/>
        <v>100</v>
      </c>
      <c r="V29" s="700" t="s">
        <v>21</v>
      </c>
      <c r="W29" s="701">
        <f t="shared" si="14"/>
        <v>100</v>
      </c>
      <c r="X29" s="1468"/>
      <c r="Y29" s="3620"/>
      <c r="Z29" s="1469">
        <f t="shared" si="18"/>
        <v>111</v>
      </c>
      <c r="AA29" s="1466">
        <f t="shared" si="15"/>
        <v>1</v>
      </c>
      <c r="AB29" s="1466">
        <f t="shared" si="16"/>
        <v>1</v>
      </c>
      <c r="AC29" s="1466">
        <f t="shared" si="17"/>
        <v>1</v>
      </c>
    </row>
    <row r="30" spans="1:29" ht="15.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65"/>
      <c r="Q30" s="1465">
        <f t="shared" si="11"/>
        <v>111</v>
      </c>
      <c r="R30" s="700" t="s">
        <v>21</v>
      </c>
      <c r="S30" s="701">
        <f t="shared" si="12"/>
        <v>100</v>
      </c>
      <c r="T30" s="700" t="s">
        <v>21</v>
      </c>
      <c r="U30" s="701">
        <f t="shared" si="13"/>
        <v>100</v>
      </c>
      <c r="V30" s="700" t="s">
        <v>21</v>
      </c>
      <c r="W30" s="701">
        <f t="shared" si="14"/>
        <v>100</v>
      </c>
      <c r="X30" s="1468"/>
      <c r="Y30" s="3620"/>
      <c r="Z30" s="1469">
        <f t="shared" si="18"/>
        <v>111</v>
      </c>
      <c r="AA30" s="1466">
        <f t="shared" si="15"/>
        <v>1</v>
      </c>
      <c r="AB30" s="1466">
        <f t="shared" si="16"/>
        <v>1</v>
      </c>
      <c r="AC30" s="1466">
        <f t="shared" si="17"/>
        <v>1</v>
      </c>
    </row>
    <row r="31" spans="1:29" ht="16"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65"/>
      <c r="Q31" s="1465">
        <f t="shared" si="11"/>
        <v>111</v>
      </c>
      <c r="R31" s="700" t="s">
        <v>21</v>
      </c>
      <c r="S31" s="701">
        <f t="shared" si="12"/>
        <v>100</v>
      </c>
      <c r="T31" s="700" t="s">
        <v>21</v>
      </c>
      <c r="U31" s="701">
        <f t="shared" si="13"/>
        <v>100</v>
      </c>
      <c r="V31" s="700" t="s">
        <v>21</v>
      </c>
      <c r="W31" s="701">
        <f t="shared" si="14"/>
        <v>100</v>
      </c>
      <c r="X31" s="1468"/>
      <c r="Y31" s="3620"/>
      <c r="Z31" s="1469">
        <f t="shared" si="18"/>
        <v>111</v>
      </c>
      <c r="AA31" s="1466">
        <f t="shared" si="15"/>
        <v>1</v>
      </c>
      <c r="AB31" s="1466">
        <f t="shared" si="16"/>
        <v>1</v>
      </c>
      <c r="AC31" s="1466">
        <f t="shared" si="17"/>
        <v>1</v>
      </c>
    </row>
    <row r="32" spans="1:29" ht="15.5">
      <c r="A32" s="389" t="s">
        <v>2140</v>
      </c>
      <c r="B32" s="67" t="s">
        <v>2141</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60" t="s">
        <v>2142</v>
      </c>
      <c r="Q32" s="1465" t="str">
        <f t="shared" si="11"/>
        <v>建筑类型</v>
      </c>
      <c r="R32" s="700" t="s">
        <v>21</v>
      </c>
      <c r="S32" s="701">
        <f t="shared" si="12"/>
        <v>100</v>
      </c>
      <c r="T32" s="700" t="s">
        <v>21</v>
      </c>
      <c r="U32" s="701">
        <f t="shared" si="13"/>
        <v>100</v>
      </c>
      <c r="V32" s="700" t="s">
        <v>21</v>
      </c>
      <c r="W32" s="701">
        <f t="shared" si="14"/>
        <v>100</v>
      </c>
      <c r="X32" s="1468"/>
      <c r="Y32" s="3622" t="s">
        <v>2142</v>
      </c>
      <c r="Z32" s="1469" t="str">
        <f t="shared" si="18"/>
        <v>建筑类型</v>
      </c>
      <c r="AA32" s="1466">
        <f t="shared" si="15"/>
        <v>1</v>
      </c>
      <c r="AB32" s="1466">
        <f t="shared" si="16"/>
        <v>1</v>
      </c>
      <c r="AC32" s="1466">
        <f t="shared" si="17"/>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61"/>
      <c r="Q33" s="702" t="str">
        <f t="shared" si="11"/>
        <v>项目建筑规模</v>
      </c>
      <c r="R33" s="703" t="s">
        <v>21</v>
      </c>
      <c r="S33" s="704" t="e">
        <f t="shared" si="12"/>
        <v>#N/A</v>
      </c>
      <c r="T33" s="703" t="s">
        <v>21</v>
      </c>
      <c r="U33" s="704" t="e">
        <f t="shared" si="13"/>
        <v>#N/A</v>
      </c>
      <c r="V33" s="703" t="s">
        <v>21</v>
      </c>
      <c r="W33" s="704" t="e">
        <f t="shared" si="14"/>
        <v>#N/A</v>
      </c>
      <c r="X33" s="705"/>
      <c r="Y33" s="3622"/>
      <c r="Z33" s="706" t="str">
        <f t="shared" si="18"/>
        <v>项目建筑规模</v>
      </c>
      <c r="AA33" s="1466" t="e">
        <f t="shared" si="15"/>
        <v>#N/A</v>
      </c>
      <c r="AB33" s="1466" t="e">
        <f t="shared" si="16"/>
        <v>#N/A</v>
      </c>
      <c r="AC33" s="1466" t="e">
        <f t="shared" si="17"/>
        <v>#N/A</v>
      </c>
    </row>
    <row r="34" spans="1:29" ht="15.5">
      <c r="A34" s="421"/>
      <c r="B34" s="371" t="s">
        <v>2144</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61"/>
      <c r="Q34" s="1465" t="str">
        <f t="shared" si="11"/>
        <v>建筑结构</v>
      </c>
      <c r="R34" s="700" t="s">
        <v>21</v>
      </c>
      <c r="S34" s="701">
        <f t="shared" si="12"/>
        <v>100</v>
      </c>
      <c r="T34" s="700" t="s">
        <v>21</v>
      </c>
      <c r="U34" s="701">
        <f t="shared" si="13"/>
        <v>100</v>
      </c>
      <c r="V34" s="700" t="s">
        <v>21</v>
      </c>
      <c r="W34" s="701">
        <f t="shared" si="14"/>
        <v>100</v>
      </c>
      <c r="X34" s="1468"/>
      <c r="Y34" s="3622"/>
      <c r="Z34" s="1469" t="str">
        <f t="shared" si="18"/>
        <v>建筑结构</v>
      </c>
      <c r="AA34" s="1466">
        <f t="shared" si="15"/>
        <v>1</v>
      </c>
      <c r="AB34" s="1466">
        <f t="shared" si="16"/>
        <v>1</v>
      </c>
      <c r="AC34" s="1466">
        <f t="shared" si="17"/>
        <v>1</v>
      </c>
    </row>
    <row r="35" spans="1:29" ht="15.5">
      <c r="A35" s="421"/>
      <c r="B35" s="371" t="s">
        <v>2145</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61"/>
      <c r="Q35" s="1465" t="str">
        <f t="shared" si="11"/>
        <v>建筑品质</v>
      </c>
      <c r="R35" s="700" t="s">
        <v>21</v>
      </c>
      <c r="S35" s="701">
        <f t="shared" si="12"/>
        <v>100</v>
      </c>
      <c r="T35" s="700" t="s">
        <v>21</v>
      </c>
      <c r="U35" s="701">
        <f t="shared" si="13"/>
        <v>100</v>
      </c>
      <c r="V35" s="700" t="s">
        <v>21</v>
      </c>
      <c r="W35" s="701">
        <f t="shared" si="14"/>
        <v>100</v>
      </c>
      <c r="X35" s="1468"/>
      <c r="Y35" s="3622"/>
      <c r="Z35" s="1469" t="str">
        <f t="shared" si="18"/>
        <v>建筑品质</v>
      </c>
      <c r="AA35" s="1466">
        <f t="shared" si="15"/>
        <v>1</v>
      </c>
      <c r="AB35" s="1466">
        <f t="shared" si="16"/>
        <v>1</v>
      </c>
      <c r="AC35" s="1466">
        <f t="shared" si="17"/>
        <v>1</v>
      </c>
    </row>
    <row r="36" spans="1:29" ht="15.5">
      <c r="A36" s="421"/>
      <c r="B36" s="371" t="s">
        <v>2146</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61"/>
      <c r="Q36" s="1465" t="str">
        <f t="shared" si="11"/>
        <v>公共部分装修</v>
      </c>
      <c r="R36" s="700" t="s">
        <v>21</v>
      </c>
      <c r="S36" s="701">
        <f t="shared" si="12"/>
        <v>100</v>
      </c>
      <c r="T36" s="700" t="s">
        <v>21</v>
      </c>
      <c r="U36" s="701">
        <f t="shared" si="13"/>
        <v>100</v>
      </c>
      <c r="V36" s="700" t="s">
        <v>21</v>
      </c>
      <c r="W36" s="701">
        <f t="shared" si="14"/>
        <v>100</v>
      </c>
      <c r="X36" s="1468"/>
      <c r="Y36" s="3622"/>
      <c r="Z36" s="1469" t="str">
        <f t="shared" si="18"/>
        <v>公共部分装修</v>
      </c>
      <c r="AA36" s="1466">
        <f t="shared" si="15"/>
        <v>1</v>
      </c>
      <c r="AB36" s="1466">
        <f t="shared" si="16"/>
        <v>1</v>
      </c>
      <c r="AC36" s="1466">
        <f t="shared" si="17"/>
        <v>1</v>
      </c>
    </row>
    <row r="37" spans="1:29" s="110" customFormat="1" ht="15.5">
      <c r="A37" s="422"/>
      <c r="B37" s="371" t="s">
        <v>2147</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61"/>
      <c r="Q37" s="1456" t="str">
        <f t="shared" si="11"/>
        <v>成新度</v>
      </c>
      <c r="R37" s="696" t="s">
        <v>21</v>
      </c>
      <c r="S37" s="697" t="e">
        <f t="shared" si="12"/>
        <v>#N/A</v>
      </c>
      <c r="T37" s="696" t="s">
        <v>21</v>
      </c>
      <c r="U37" s="697" t="e">
        <f t="shared" si="13"/>
        <v>#N/A</v>
      </c>
      <c r="V37" s="696" t="s">
        <v>21</v>
      </c>
      <c r="W37" s="697" t="e">
        <f t="shared" si="14"/>
        <v>#N/A</v>
      </c>
      <c r="X37" s="698"/>
      <c r="Y37" s="3622"/>
      <c r="Z37" s="55" t="str">
        <f t="shared" si="18"/>
        <v>成新度</v>
      </c>
      <c r="AA37" s="699" t="e">
        <f t="shared" si="15"/>
        <v>#N/A</v>
      </c>
      <c r="AB37" s="699" t="e">
        <f t="shared" si="16"/>
        <v>#N/A</v>
      </c>
      <c r="AC37" s="699" t="e">
        <f t="shared" si="17"/>
        <v>#N/A</v>
      </c>
    </row>
    <row r="38" spans="1:29" ht="15.5">
      <c r="A38" s="421"/>
      <c r="B38" s="371" t="s">
        <v>2148</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61" t="s">
        <v>2142</v>
      </c>
      <c r="Q38" s="1465" t="str">
        <f t="shared" si="11"/>
        <v>物业管理</v>
      </c>
      <c r="R38" s="700" t="s">
        <v>21</v>
      </c>
      <c r="S38" s="701">
        <f t="shared" si="12"/>
        <v>100</v>
      </c>
      <c r="T38" s="700" t="s">
        <v>21</v>
      </c>
      <c r="U38" s="701">
        <f t="shared" si="13"/>
        <v>100</v>
      </c>
      <c r="V38" s="700" t="s">
        <v>21</v>
      </c>
      <c r="W38" s="701">
        <f t="shared" si="14"/>
        <v>100</v>
      </c>
      <c r="X38" s="1468"/>
      <c r="Y38" s="3622" t="s">
        <v>2142</v>
      </c>
      <c r="Z38" s="1469" t="str">
        <f t="shared" si="18"/>
        <v>物业管理</v>
      </c>
      <c r="AA38" s="1466">
        <f t="shared" si="15"/>
        <v>1</v>
      </c>
      <c r="AB38" s="1466">
        <f t="shared" si="16"/>
        <v>1</v>
      </c>
      <c r="AC38" s="1466">
        <f t="shared" si="17"/>
        <v>1</v>
      </c>
    </row>
    <row r="39" spans="1:29" ht="15.5">
      <c r="A39" s="421"/>
      <c r="B39" s="371" t="s">
        <v>2149</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61"/>
      <c r="Q39" s="1465" t="str">
        <f t="shared" si="11"/>
        <v>市政基础设施</v>
      </c>
      <c r="R39" s="700" t="s">
        <v>21</v>
      </c>
      <c r="S39" s="701">
        <f t="shared" si="12"/>
        <v>100</v>
      </c>
      <c r="T39" s="700" t="s">
        <v>21</v>
      </c>
      <c r="U39" s="701">
        <f t="shared" si="13"/>
        <v>100</v>
      </c>
      <c r="V39" s="700" t="s">
        <v>21</v>
      </c>
      <c r="W39" s="701">
        <f t="shared" si="14"/>
        <v>100</v>
      </c>
      <c r="X39" s="1468"/>
      <c r="Y39" s="3622"/>
      <c r="Z39" s="1469" t="str">
        <f t="shared" si="18"/>
        <v>市政基础设施</v>
      </c>
      <c r="AA39" s="1466">
        <f t="shared" si="15"/>
        <v>1</v>
      </c>
      <c r="AB39" s="1466">
        <f t="shared" si="16"/>
        <v>1</v>
      </c>
      <c r="AC39" s="1466">
        <f t="shared" si="17"/>
        <v>1</v>
      </c>
    </row>
    <row r="40" spans="1:29" ht="15.5">
      <c r="A40" s="421"/>
      <c r="B40" s="371" t="s">
        <v>2150</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61"/>
      <c r="Q40" s="1465" t="str">
        <f t="shared" si="11"/>
        <v>房型</v>
      </c>
      <c r="R40" s="700" t="s">
        <v>21</v>
      </c>
      <c r="S40" s="701">
        <f t="shared" si="12"/>
        <v>100</v>
      </c>
      <c r="T40" s="700" t="s">
        <v>21</v>
      </c>
      <c r="U40" s="701">
        <f t="shared" si="13"/>
        <v>100</v>
      </c>
      <c r="V40" s="700" t="s">
        <v>21</v>
      </c>
      <c r="W40" s="701">
        <f t="shared" si="14"/>
        <v>100</v>
      </c>
      <c r="X40" s="1468"/>
      <c r="Y40" s="3622"/>
      <c r="Z40" s="1469" t="str">
        <f t="shared" si="18"/>
        <v>房型</v>
      </c>
      <c r="AA40" s="1466">
        <f t="shared" si="15"/>
        <v>1</v>
      </c>
      <c r="AB40" s="1466">
        <f t="shared" si="16"/>
        <v>1</v>
      </c>
      <c r="AC40" s="1466">
        <f t="shared" si="17"/>
        <v>1</v>
      </c>
    </row>
    <row r="41" spans="1:29" s="420" customFormat="1" ht="28.5">
      <c r="A41" s="417"/>
      <c r="B41" s="371" t="s">
        <v>2151</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61"/>
      <c r="Q41" s="702" t="str">
        <f t="shared" si="11"/>
        <v>单套/主力户型建筑面积</v>
      </c>
      <c r="R41" s="703" t="s">
        <v>21</v>
      </c>
      <c r="S41" s="704">
        <f t="shared" si="12"/>
        <v>100</v>
      </c>
      <c r="T41" s="703" t="s">
        <v>21</v>
      </c>
      <c r="U41" s="704">
        <f t="shared" si="13"/>
        <v>100</v>
      </c>
      <c r="V41" s="703" t="s">
        <v>21</v>
      </c>
      <c r="W41" s="704">
        <f t="shared" si="14"/>
        <v>100</v>
      </c>
      <c r="X41" s="705"/>
      <c r="Y41" s="3622"/>
      <c r="Z41" s="706" t="str">
        <f t="shared" si="18"/>
        <v>单套/主力户型建筑面积</v>
      </c>
      <c r="AA41" s="1466">
        <f t="shared" si="15"/>
        <v>1</v>
      </c>
      <c r="AB41" s="1466">
        <f t="shared" si="16"/>
        <v>1</v>
      </c>
      <c r="AC41" s="1466">
        <f t="shared" si="17"/>
        <v>1</v>
      </c>
    </row>
    <row r="42" spans="1:29" ht="15.5">
      <c r="A42" s="421"/>
      <c r="B42" s="371" t="s">
        <v>2152</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61"/>
      <c r="Q42" s="1465" t="str">
        <f t="shared" si="11"/>
        <v>内部装修</v>
      </c>
      <c r="R42" s="700" t="s">
        <v>21</v>
      </c>
      <c r="S42" s="701">
        <f t="shared" si="12"/>
        <v>100</v>
      </c>
      <c r="T42" s="700" t="s">
        <v>21</v>
      </c>
      <c r="U42" s="701">
        <f t="shared" si="13"/>
        <v>100</v>
      </c>
      <c r="V42" s="700" t="s">
        <v>21</v>
      </c>
      <c r="W42" s="701">
        <f t="shared" si="14"/>
        <v>100</v>
      </c>
      <c r="X42" s="1468"/>
      <c r="Y42" s="3622"/>
      <c r="Z42" s="1469" t="str">
        <f t="shared" si="18"/>
        <v>内部装修</v>
      </c>
      <c r="AA42" s="1466">
        <f t="shared" si="15"/>
        <v>1</v>
      </c>
      <c r="AB42" s="1466">
        <f t="shared" si="16"/>
        <v>1</v>
      </c>
      <c r="AC42" s="1466">
        <f t="shared" si="17"/>
        <v>1</v>
      </c>
    </row>
    <row r="43" spans="1:29" ht="28">
      <c r="A43" s="421"/>
      <c r="B43" s="371" t="s">
        <v>2153</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61"/>
      <c r="Q43" s="1465" t="str">
        <f t="shared" si="11"/>
        <v>内部装修维护情况</v>
      </c>
      <c r="R43" s="700" t="s">
        <v>21</v>
      </c>
      <c r="S43" s="701">
        <f t="shared" si="12"/>
        <v>100</v>
      </c>
      <c r="T43" s="700" t="s">
        <v>21</v>
      </c>
      <c r="U43" s="701">
        <f t="shared" si="13"/>
        <v>100</v>
      </c>
      <c r="V43" s="700" t="s">
        <v>21</v>
      </c>
      <c r="W43" s="701">
        <f t="shared" si="14"/>
        <v>100</v>
      </c>
      <c r="X43" s="1468"/>
      <c r="Y43" s="3622"/>
      <c r="Z43" s="1469" t="str">
        <f t="shared" si="18"/>
        <v>内部装修维护情况</v>
      </c>
      <c r="AA43" s="1466">
        <f t="shared" si="15"/>
        <v>1</v>
      </c>
      <c r="AB43" s="1466">
        <f t="shared" si="16"/>
        <v>1</v>
      </c>
      <c r="AC43" s="1466">
        <f t="shared" si="17"/>
        <v>1</v>
      </c>
    </row>
    <row r="44" spans="1:29" s="110" customFormat="1" ht="15.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61"/>
      <c r="Q44" s="1456">
        <f t="shared" si="11"/>
        <v>111</v>
      </c>
      <c r="R44" s="696" t="s">
        <v>21</v>
      </c>
      <c r="S44" s="697">
        <f t="shared" si="12"/>
        <v>100</v>
      </c>
      <c r="T44" s="696" t="s">
        <v>21</v>
      </c>
      <c r="U44" s="697">
        <f t="shared" si="13"/>
        <v>100</v>
      </c>
      <c r="V44" s="696" t="s">
        <v>21</v>
      </c>
      <c r="W44" s="697">
        <f t="shared" si="14"/>
        <v>100</v>
      </c>
      <c r="X44" s="698"/>
      <c r="Y44" s="3622"/>
      <c r="Z44" s="55">
        <f t="shared" si="18"/>
        <v>111</v>
      </c>
      <c r="AA44" s="699">
        <f t="shared" si="15"/>
        <v>1</v>
      </c>
      <c r="AB44" s="699">
        <f t="shared" si="16"/>
        <v>1</v>
      </c>
      <c r="AC44" s="699">
        <f t="shared" si="17"/>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61"/>
      <c r="Q45" s="1465">
        <f t="shared" si="11"/>
        <v>111</v>
      </c>
      <c r="R45" s="700" t="s">
        <v>21</v>
      </c>
      <c r="S45" s="701">
        <f t="shared" si="12"/>
        <v>100</v>
      </c>
      <c r="T45" s="700" t="s">
        <v>21</v>
      </c>
      <c r="U45" s="701">
        <f t="shared" si="13"/>
        <v>100</v>
      </c>
      <c r="V45" s="700" t="s">
        <v>21</v>
      </c>
      <c r="W45" s="701">
        <f t="shared" si="14"/>
        <v>100</v>
      </c>
      <c r="X45" s="1468"/>
      <c r="Y45" s="3622"/>
      <c r="Z45" s="1469">
        <f t="shared" si="18"/>
        <v>111</v>
      </c>
      <c r="AA45" s="1466">
        <f t="shared" si="15"/>
        <v>1</v>
      </c>
      <c r="AB45" s="1466">
        <f t="shared" si="16"/>
        <v>1</v>
      </c>
      <c r="AC45" s="1466">
        <f t="shared" si="17"/>
        <v>1</v>
      </c>
    </row>
    <row r="46" spans="1:29" ht="16"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62"/>
      <c r="Q46" s="1465">
        <f t="shared" si="11"/>
        <v>111</v>
      </c>
      <c r="R46" s="700" t="s">
        <v>20</v>
      </c>
      <c r="S46" s="701">
        <f t="shared" si="12"/>
        <v>100</v>
      </c>
      <c r="T46" s="700" t="s">
        <v>20</v>
      </c>
      <c r="U46" s="701">
        <f t="shared" si="13"/>
        <v>100</v>
      </c>
      <c r="V46" s="700" t="s">
        <v>20</v>
      </c>
      <c r="W46" s="701">
        <f t="shared" si="14"/>
        <v>100</v>
      </c>
      <c r="X46" s="1468"/>
      <c r="Y46" s="3663"/>
      <c r="Z46" s="1469">
        <f t="shared" si="18"/>
        <v>111</v>
      </c>
      <c r="AA46" s="1466">
        <f t="shared" si="15"/>
        <v>1</v>
      </c>
      <c r="AB46" s="1466">
        <f t="shared" si="16"/>
        <v>1</v>
      </c>
      <c r="AC46" s="1466">
        <f t="shared" si="17"/>
        <v>1</v>
      </c>
    </row>
    <row r="47" spans="1:29">
      <c r="A47" s="428" t="s">
        <v>2154</v>
      </c>
      <c r="B47" s="429"/>
      <c r="C47" s="1248" t="s">
        <v>19</v>
      </c>
      <c r="D47" s="1249"/>
      <c r="E47" s="1250"/>
      <c r="F47" s="1251"/>
      <c r="G47" s="1252"/>
      <c r="H47" s="1253"/>
      <c r="I47" s="1250"/>
      <c r="J47" s="1253"/>
      <c r="K47" s="2028"/>
      <c r="L47" s="2875"/>
      <c r="M47" s="2876"/>
      <c r="N47" s="2867"/>
      <c r="O47" s="2876"/>
      <c r="P47" s="3604" t="str">
        <f>A47</f>
        <v>成交单价（元/平方米）</v>
      </c>
      <c r="Q47" s="3604"/>
      <c r="R47" s="3659">
        <f>E47</f>
        <v>0</v>
      </c>
      <c r="S47" s="3659"/>
      <c r="T47" s="3659">
        <f>G47</f>
        <v>0</v>
      </c>
      <c r="U47" s="3659"/>
      <c r="V47" s="3659">
        <f>I47</f>
        <v>0</v>
      </c>
      <c r="W47" s="3659"/>
      <c r="X47" s="685"/>
      <c r="Y47" s="707"/>
      <c r="Z47" s="685"/>
      <c r="AA47" s="685"/>
      <c r="AB47" s="685"/>
      <c r="AC47" s="685"/>
    </row>
    <row r="48" spans="1:29" ht="14.5" thickBot="1">
      <c r="A48" s="435" t="s">
        <v>2155</v>
      </c>
      <c r="B48" s="436"/>
      <c r="C48" s="1254" t="e">
        <f>R49</f>
        <v>#DIV/0!</v>
      </c>
      <c r="D48" s="2466" t="s">
        <v>2634</v>
      </c>
      <c r="E48" s="1255" t="e">
        <f>R48</f>
        <v>#DIV/0!</v>
      </c>
      <c r="F48" s="2467"/>
      <c r="G48" s="1254" t="e">
        <f>T48</f>
        <v>#DIV/0!</v>
      </c>
      <c r="H48" s="2467"/>
      <c r="I48" s="1255" t="e">
        <f>V48</f>
        <v>#DIV/0!</v>
      </c>
      <c r="J48" s="2467"/>
      <c r="K48" s="2468">
        <f>F48+H48+J48</f>
        <v>0</v>
      </c>
      <c r="L48" s="2875"/>
      <c r="M48" s="2876"/>
      <c r="N48" s="2876"/>
      <c r="O48" s="2876"/>
      <c r="P48" s="3604" t="str">
        <f>A48</f>
        <v>比较价值（元/平方米）</v>
      </c>
      <c r="Q48" s="3604"/>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5"/>
      <c r="Y48" s="685"/>
      <c r="Z48" s="685"/>
      <c r="AA48" s="685"/>
      <c r="AB48" s="685"/>
      <c r="AC48" s="685"/>
    </row>
    <row r="49" spans="1:29" ht="14.5" thickBot="1">
      <c r="A49" s="439" t="s">
        <v>2156</v>
      </c>
      <c r="B49" s="440"/>
      <c r="C49" s="1256" t="e">
        <f>R49</f>
        <v>#DIV/0!</v>
      </c>
      <c r="D49" s="1257"/>
      <c r="E49" s="1257"/>
      <c r="F49" s="1257"/>
      <c r="G49" s="1257"/>
      <c r="H49" s="1257"/>
      <c r="I49" s="1257"/>
      <c r="J49" s="1257"/>
      <c r="K49" s="2029"/>
      <c r="L49" s="2875"/>
      <c r="M49" s="2876"/>
      <c r="N49" s="2876"/>
      <c r="O49" s="2876"/>
      <c r="P49" s="3624" t="str">
        <f>A49</f>
        <v>估价对象XX用房的比较价值（楼面单价，元/平方米）</v>
      </c>
      <c r="Q49" s="3625"/>
      <c r="R49" s="3658" t="e">
        <f>IF(F1="售价",ROUND(IF(D48="简单平均",AVERAGE(R48:V48),R48*F48+T48*H48+V48*J48),0),ROUND(IF(D48="简单平均",AVERAGE(R48:V48),R48*F48+T48*H48+V48*J48),1))</f>
        <v>#DIV/0!</v>
      </c>
      <c r="S49" s="3658"/>
      <c r="T49" s="3658"/>
      <c r="U49" s="3658"/>
      <c r="V49" s="3658"/>
      <c r="W49" s="3658"/>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5" thickBot="1">
      <c r="A57" s="689" t="s">
        <v>2160</v>
      </c>
      <c r="B57" s="685"/>
      <c r="C57" s="690"/>
      <c r="D57" s="690"/>
      <c r="E57" s="690"/>
      <c r="F57" s="691"/>
      <c r="G57" s="691"/>
      <c r="H57" s="690"/>
      <c r="I57" s="690"/>
      <c r="J57" s="690"/>
      <c r="K57" s="1033"/>
      <c r="L57" s="1034"/>
      <c r="M57" s="1032"/>
      <c r="N57" s="1032"/>
      <c r="O57" s="1032"/>
      <c r="P57" s="2032"/>
      <c r="Q57" s="451"/>
    </row>
    <row r="58" spans="1:29" s="455" customFormat="1">
      <c r="A58" s="452" t="s">
        <v>2161</v>
      </c>
      <c r="B58" s="453"/>
      <c r="C58" s="1279" t="str">
        <f>YEAR(C7)&amp;"-"&amp;MONTH(C7)</f>
        <v>2022-5</v>
      </c>
      <c r="D58" s="1278">
        <f>EDATE(C58,-1)</f>
        <v>44652</v>
      </c>
      <c r="E58" s="1278">
        <f>EDATE(D58,-1)</f>
        <v>44621</v>
      </c>
      <c r="F58" s="1278">
        <f t="shared" ref="F58:O58" si="19">EDATE(E58,-1)</f>
        <v>44593</v>
      </c>
      <c r="G58" s="1278">
        <f t="shared" si="19"/>
        <v>44562</v>
      </c>
      <c r="H58" s="1278">
        <f t="shared" si="19"/>
        <v>44531</v>
      </c>
      <c r="I58" s="1278">
        <f t="shared" si="19"/>
        <v>44501</v>
      </c>
      <c r="J58" s="1278">
        <f t="shared" si="19"/>
        <v>44470</v>
      </c>
      <c r="K58" s="1278">
        <f t="shared" si="19"/>
        <v>44440</v>
      </c>
      <c r="L58" s="1278">
        <f t="shared" si="19"/>
        <v>44409</v>
      </c>
      <c r="M58" s="1278">
        <f t="shared" si="19"/>
        <v>44378</v>
      </c>
      <c r="N58" s="1278">
        <f t="shared" si="19"/>
        <v>44348</v>
      </c>
      <c r="O58" s="1278">
        <f t="shared" si="19"/>
        <v>44317</v>
      </c>
      <c r="P58" s="1274"/>
    </row>
    <row r="59" spans="1:29" s="110" customFormat="1">
      <c r="A59" s="456"/>
      <c r="B59" s="2033"/>
      <c r="C59" s="1276">
        <v>100</v>
      </c>
      <c r="D59" s="458"/>
      <c r="E59" s="459"/>
      <c r="F59" s="459"/>
      <c r="G59" s="459"/>
      <c r="H59" s="459"/>
      <c r="I59" s="459"/>
      <c r="J59" s="459"/>
      <c r="K59" s="459"/>
      <c r="L59" s="459"/>
      <c r="M59" s="460"/>
      <c r="N59" s="459"/>
      <c r="O59" s="460"/>
      <c r="P59" s="2034"/>
    </row>
    <row r="60" spans="1:29" s="110" customFormat="1" ht="14.5" thickBot="1">
      <c r="A60" s="462" t="s">
        <v>2162</v>
      </c>
      <c r="B60" s="463"/>
      <c r="C60" s="464"/>
      <c r="D60" s="465"/>
      <c r="E60" s="465"/>
      <c r="F60" s="465"/>
      <c r="G60" s="465"/>
      <c r="H60" s="465"/>
      <c r="I60" s="465"/>
      <c r="J60" s="465"/>
      <c r="K60" s="465"/>
      <c r="L60" s="465"/>
      <c r="M60" s="466"/>
      <c r="N60" s="465"/>
      <c r="O60" s="466"/>
      <c r="P60" s="2034"/>
      <c r="Q60" s="451"/>
    </row>
    <row r="61" spans="1:29" s="110" customFormat="1">
      <c r="A61" s="468" t="s">
        <v>2163</v>
      </c>
      <c r="B61" s="457"/>
      <c r="C61" s="469" t="s">
        <v>2164</v>
      </c>
      <c r="D61" s="470"/>
      <c r="E61" s="470"/>
      <c r="F61" s="470"/>
      <c r="G61" s="470"/>
      <c r="H61" s="470"/>
      <c r="I61" s="470"/>
      <c r="J61" s="470"/>
      <c r="K61" s="470"/>
      <c r="L61" s="471"/>
      <c r="M61" s="472"/>
      <c r="N61" s="1024"/>
      <c r="O61" s="1024"/>
      <c r="P61" s="2035"/>
      <c r="Q61" s="451"/>
    </row>
    <row r="62" spans="1:29" s="110" customFormat="1" ht="14.5" thickBot="1">
      <c r="A62" s="468"/>
      <c r="B62" s="457"/>
      <c r="C62" s="458">
        <v>100</v>
      </c>
      <c r="D62" s="459"/>
      <c r="E62" s="459"/>
      <c r="F62" s="459"/>
      <c r="G62" s="459"/>
      <c r="H62" s="459"/>
      <c r="I62" s="459"/>
      <c r="J62" s="459"/>
      <c r="K62" s="459"/>
      <c r="L62" s="459"/>
      <c r="M62" s="461"/>
      <c r="N62" s="1024"/>
      <c r="O62" s="1024"/>
      <c r="P62" s="2034"/>
      <c r="Q62" s="451"/>
    </row>
    <row r="63" spans="1:29">
      <c r="A63" s="474" t="s">
        <v>2165</v>
      </c>
      <c r="B63" s="475" t="s">
        <v>2131</v>
      </c>
      <c r="C63" s="476">
        <f>C9</f>
        <v>0</v>
      </c>
      <c r="D63" s="477"/>
      <c r="E63" s="477"/>
      <c r="F63" s="477"/>
      <c r="G63" s="477"/>
      <c r="H63" s="477"/>
      <c r="I63" s="477"/>
      <c r="J63" s="477"/>
      <c r="K63" s="478"/>
      <c r="L63" s="479"/>
      <c r="M63" s="480"/>
      <c r="N63" s="1025"/>
      <c r="O63" s="1025"/>
      <c r="P63" s="2036"/>
      <c r="Q63" s="451"/>
    </row>
    <row r="64" spans="1:29" ht="14.5" thickBot="1">
      <c r="A64" s="481"/>
      <c r="B64" s="482"/>
      <c r="C64" s="483">
        <v>100</v>
      </c>
      <c r="D64" s="483"/>
      <c r="E64" s="483"/>
      <c r="F64" s="483"/>
      <c r="G64" s="483"/>
      <c r="H64" s="483"/>
      <c r="I64" s="483"/>
      <c r="J64" s="483"/>
      <c r="K64" s="483"/>
      <c r="L64" s="483"/>
      <c r="M64" s="484"/>
      <c r="N64" s="1026"/>
      <c r="O64" s="1026"/>
      <c r="P64" s="2036"/>
      <c r="Q64" s="451"/>
    </row>
    <row r="65" spans="1:17" ht="28.5" thickTop="1">
      <c r="A65" s="481"/>
      <c r="B65" s="485" t="s">
        <v>2134</v>
      </c>
      <c r="C65" s="486" t="s">
        <v>2166</v>
      </c>
      <c r="D65" s="486" t="s">
        <v>2167</v>
      </c>
      <c r="E65" s="486" t="s">
        <v>2168</v>
      </c>
      <c r="F65" s="486" t="s">
        <v>2169</v>
      </c>
      <c r="G65" s="486" t="s">
        <v>2170</v>
      </c>
      <c r="H65" s="486" t="s">
        <v>2171</v>
      </c>
      <c r="I65" s="486" t="s">
        <v>2172</v>
      </c>
      <c r="J65" s="486"/>
      <c r="K65" s="487"/>
      <c r="L65" s="488"/>
      <c r="M65" s="489"/>
      <c r="N65" s="1025"/>
      <c r="O65" s="1025"/>
      <c r="P65" s="203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4.5" thickTop="1">
      <c r="A67" s="481"/>
      <c r="B67" s="493" t="s">
        <v>2135</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c r="A68" s="481"/>
      <c r="B68" s="495"/>
      <c r="C68" s="496"/>
      <c r="D68" s="496"/>
      <c r="E68" s="496"/>
      <c r="F68" s="496"/>
      <c r="G68" s="496"/>
      <c r="H68" s="496"/>
      <c r="I68" s="496"/>
      <c r="J68" s="496"/>
      <c r="K68" s="497"/>
      <c r="L68" s="498"/>
      <c r="M68" s="499"/>
      <c r="N68" s="1025"/>
      <c r="O68" s="1025"/>
      <c r="P68" s="203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4.5" thickTop="1">
      <c r="A70" s="500"/>
      <c r="B70" s="485">
        <f>B12</f>
        <v>111</v>
      </c>
      <c r="C70" s="501"/>
      <c r="D70" s="501"/>
      <c r="E70" s="501"/>
      <c r="F70" s="501"/>
      <c r="G70" s="501"/>
      <c r="H70" s="502"/>
      <c r="I70" s="502"/>
      <c r="J70" s="502"/>
      <c r="K70" s="502"/>
      <c r="L70" s="503"/>
      <c r="M70" s="504"/>
      <c r="N70" s="1027"/>
      <c r="O70" s="1027"/>
      <c r="P70" s="2037"/>
      <c r="Q70" s="506"/>
    </row>
    <row r="71" spans="1:17" s="420" customFormat="1" ht="14.5" thickBot="1">
      <c r="A71" s="500"/>
      <c r="B71" s="490"/>
      <c r="C71" s="507"/>
      <c r="D71" s="483"/>
      <c r="E71" s="483"/>
      <c r="F71" s="483"/>
      <c r="G71" s="483"/>
      <c r="H71" s="483"/>
      <c r="I71" s="483"/>
      <c r="J71" s="483"/>
      <c r="K71" s="483"/>
      <c r="L71" s="483"/>
      <c r="M71" s="484"/>
      <c r="N71" s="1026"/>
      <c r="O71" s="1026"/>
      <c r="P71" s="2037"/>
      <c r="Q71" s="506"/>
    </row>
    <row r="72" spans="1:17" s="420" customFormat="1" ht="14.5" thickTop="1">
      <c r="A72" s="500"/>
      <c r="B72" s="485">
        <f>B13</f>
        <v>111</v>
      </c>
      <c r="C72" s="501"/>
      <c r="D72" s="501"/>
      <c r="E72" s="501"/>
      <c r="F72" s="501"/>
      <c r="G72" s="501"/>
      <c r="H72" s="502"/>
      <c r="I72" s="502"/>
      <c r="J72" s="502"/>
      <c r="K72" s="502"/>
      <c r="L72" s="503"/>
      <c r="M72" s="504"/>
      <c r="N72" s="1027"/>
      <c r="O72" s="1027"/>
      <c r="P72" s="2038"/>
      <c r="Q72" s="508"/>
    </row>
    <row r="73" spans="1:17" s="420" customFormat="1" ht="14.5" thickBot="1">
      <c r="A73" s="500"/>
      <c r="B73" s="490"/>
      <c r="C73" s="507"/>
      <c r="D73" s="507"/>
      <c r="E73" s="507"/>
      <c r="F73" s="507"/>
      <c r="G73" s="507"/>
      <c r="H73" s="509"/>
      <c r="I73" s="509"/>
      <c r="J73" s="509"/>
      <c r="K73" s="509"/>
      <c r="L73" s="509"/>
      <c r="M73" s="510"/>
      <c r="N73" s="1027"/>
      <c r="O73" s="1027"/>
      <c r="P73" s="2037"/>
      <c r="Q73" s="506"/>
    </row>
    <row r="74" spans="1:17" s="420" customFormat="1" ht="14.5" thickTop="1">
      <c r="A74" s="500"/>
      <c r="B74" s="493">
        <f>B14</f>
        <v>111</v>
      </c>
      <c r="C74" s="501"/>
      <c r="D74" s="501"/>
      <c r="E74" s="501"/>
      <c r="F74" s="501"/>
      <c r="G74" s="470"/>
      <c r="H74" s="511"/>
      <c r="I74" s="511"/>
      <c r="J74" s="511"/>
      <c r="K74" s="511"/>
      <c r="L74" s="512"/>
      <c r="M74" s="513"/>
      <c r="N74" s="1027"/>
      <c r="O74" s="1027"/>
      <c r="P74" s="2039"/>
      <c r="Q74" s="506"/>
    </row>
    <row r="75" spans="1:17" s="420" customFormat="1" ht="14.5" thickBot="1">
      <c r="A75" s="515"/>
      <c r="B75" s="516"/>
      <c r="C75" s="517"/>
      <c r="D75" s="517"/>
      <c r="E75" s="517"/>
      <c r="F75" s="517"/>
      <c r="G75" s="517"/>
      <c r="H75" s="518"/>
      <c r="I75" s="518"/>
      <c r="J75" s="518"/>
      <c r="K75" s="518"/>
      <c r="L75" s="518"/>
      <c r="M75" s="519"/>
      <c r="N75" s="1027"/>
      <c r="O75" s="1027"/>
      <c r="P75" s="2037"/>
      <c r="Q75" s="506"/>
    </row>
    <row r="76" spans="1:17">
      <c r="A76" s="474" t="s">
        <v>2136</v>
      </c>
      <c r="B76" s="475" t="s">
        <v>2173</v>
      </c>
      <c r="C76" s="520" t="s">
        <v>2174</v>
      </c>
      <c r="D76" s="520" t="s">
        <v>2175</v>
      </c>
      <c r="E76" s="520" t="s">
        <v>2176</v>
      </c>
      <c r="F76" s="520" t="s">
        <v>2177</v>
      </c>
      <c r="G76" s="520" t="s">
        <v>2178</v>
      </c>
      <c r="H76" s="476"/>
      <c r="I76" s="476"/>
      <c r="J76" s="476"/>
      <c r="K76" s="521"/>
      <c r="L76" s="522"/>
      <c r="M76" s="523"/>
      <c r="N76" s="1025"/>
      <c r="O76" s="1025"/>
      <c r="P76" s="204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4.5" thickTop="1">
      <c r="A78" s="481"/>
      <c r="B78" s="485" t="s">
        <v>2179</v>
      </c>
      <c r="C78" s="525" t="s">
        <v>2174</v>
      </c>
      <c r="D78" s="525" t="s">
        <v>2175</v>
      </c>
      <c r="E78" s="525" t="s">
        <v>2176</v>
      </c>
      <c r="F78" s="525" t="s">
        <v>2177</v>
      </c>
      <c r="G78" s="525" t="s">
        <v>2178</v>
      </c>
      <c r="H78" s="486"/>
      <c r="I78" s="486"/>
      <c r="J78" s="486"/>
      <c r="K78" s="487"/>
      <c r="L78" s="488"/>
      <c r="M78" s="489"/>
      <c r="N78" s="1025"/>
      <c r="O78" s="1025"/>
      <c r="P78" s="203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4.5" thickTop="1">
      <c r="A80" s="481"/>
      <c r="B80" s="485" t="s">
        <v>2180</v>
      </c>
      <c r="C80" s="525" t="s">
        <v>2174</v>
      </c>
      <c r="D80" s="525" t="s">
        <v>2175</v>
      </c>
      <c r="E80" s="525" t="s">
        <v>2176</v>
      </c>
      <c r="F80" s="525" t="s">
        <v>2177</v>
      </c>
      <c r="G80" s="525" t="s">
        <v>2178</v>
      </c>
      <c r="H80" s="486"/>
      <c r="I80" s="486"/>
      <c r="J80" s="486"/>
      <c r="K80" s="487"/>
      <c r="L80" s="488"/>
      <c r="M80" s="489"/>
      <c r="N80" s="1025"/>
      <c r="O80" s="1025"/>
      <c r="P80" s="203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4.5" thickTop="1">
      <c r="A82" s="481"/>
      <c r="B82" s="493" t="s">
        <v>1702</v>
      </c>
      <c r="C82" s="486" t="s">
        <v>2181</v>
      </c>
      <c r="D82" s="486" t="s">
        <v>2182</v>
      </c>
      <c r="E82" s="486" t="s">
        <v>2183</v>
      </c>
      <c r="F82" s="486" t="s">
        <v>2184</v>
      </c>
      <c r="G82" s="486" t="s">
        <v>2185</v>
      </c>
      <c r="H82" s="486"/>
      <c r="I82" s="486"/>
      <c r="J82" s="486"/>
      <c r="K82" s="486"/>
      <c r="L82" s="486"/>
      <c r="M82" s="1223"/>
      <c r="N82" s="1026"/>
      <c r="O82" s="1026"/>
      <c r="P82" s="203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4.5" thickTop="1">
      <c r="A84" s="481"/>
      <c r="B84" s="485" t="s">
        <v>2186</v>
      </c>
      <c r="C84" s="525" t="s">
        <v>2174</v>
      </c>
      <c r="D84" s="525" t="s">
        <v>2175</v>
      </c>
      <c r="E84" s="525" t="s">
        <v>2176</v>
      </c>
      <c r="F84" s="525" t="s">
        <v>2177</v>
      </c>
      <c r="G84" s="525" t="s">
        <v>2178</v>
      </c>
      <c r="H84" s="486"/>
      <c r="I84" s="486"/>
      <c r="J84" s="486"/>
      <c r="K84" s="487"/>
      <c r="L84" s="488"/>
      <c r="M84" s="489"/>
      <c r="N84" s="1025"/>
      <c r="O84" s="1025"/>
      <c r="P84" s="203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 thickTop="1">
      <c r="A86" s="526"/>
      <c r="B86" s="485" t="s">
        <v>2187</v>
      </c>
      <c r="C86" s="501"/>
      <c r="D86" s="501"/>
      <c r="E86" s="501"/>
      <c r="F86" s="501"/>
      <c r="G86" s="501"/>
      <c r="H86" s="501"/>
      <c r="I86" s="501"/>
      <c r="J86" s="501"/>
      <c r="K86" s="501"/>
      <c r="L86" s="527"/>
      <c r="M86" s="528"/>
      <c r="N86" s="1024"/>
      <c r="O86" s="1024"/>
      <c r="P86" s="203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4.5" thickTop="1">
      <c r="A88" s="526"/>
      <c r="B88" s="485" t="s">
        <v>2188</v>
      </c>
      <c r="C88" s="501"/>
      <c r="D88" s="501"/>
      <c r="E88" s="501"/>
      <c r="F88" s="2041"/>
      <c r="G88" s="501"/>
      <c r="H88" s="501"/>
      <c r="I88" s="501"/>
      <c r="J88" s="501"/>
      <c r="K88" s="501"/>
      <c r="L88" s="501"/>
      <c r="M88" s="528"/>
      <c r="N88" s="1024"/>
      <c r="O88" s="1024"/>
      <c r="P88" s="203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4.5" thickTop="1">
      <c r="A90" s="500"/>
      <c r="B90" s="485">
        <f>B27</f>
        <v>111</v>
      </c>
      <c r="C90" s="501"/>
      <c r="D90" s="501"/>
      <c r="E90" s="501"/>
      <c r="F90" s="501"/>
      <c r="G90" s="501"/>
      <c r="H90" s="502"/>
      <c r="I90" s="502"/>
      <c r="J90" s="502"/>
      <c r="K90" s="502"/>
      <c r="L90" s="503"/>
      <c r="M90" s="504"/>
      <c r="N90" s="1027"/>
      <c r="O90" s="1027"/>
      <c r="P90" s="2037"/>
      <c r="Q90" s="506"/>
    </row>
    <row r="91" spans="1:17" s="420" customFormat="1" ht="14.5" thickBot="1">
      <c r="A91" s="500"/>
      <c r="B91" s="490"/>
      <c r="C91" s="507"/>
      <c r="D91" s="507"/>
      <c r="E91" s="507"/>
      <c r="F91" s="507"/>
      <c r="G91" s="507"/>
      <c r="H91" s="509"/>
      <c r="I91" s="509"/>
      <c r="J91" s="509"/>
      <c r="K91" s="509"/>
      <c r="L91" s="509"/>
      <c r="M91" s="510"/>
      <c r="N91" s="1027"/>
      <c r="O91" s="1027"/>
      <c r="P91" s="2037"/>
      <c r="Q91" s="506"/>
    </row>
    <row r="92" spans="1:17" ht="14.5" thickTop="1">
      <c r="A92" s="481"/>
      <c r="B92" s="485">
        <f>B28</f>
        <v>111</v>
      </c>
      <c r="C92" s="501"/>
      <c r="D92" s="501"/>
      <c r="E92" s="501"/>
      <c r="F92" s="501"/>
      <c r="G92" s="530"/>
      <c r="H92" s="530"/>
      <c r="I92" s="530"/>
      <c r="J92" s="530"/>
      <c r="K92" s="531"/>
      <c r="L92" s="532"/>
      <c r="M92" s="533"/>
      <c r="N92" s="1025"/>
      <c r="O92" s="1025"/>
      <c r="P92" s="2036"/>
      <c r="Q92" s="451"/>
    </row>
    <row r="93" spans="1:17" ht="14.5" thickBot="1">
      <c r="A93" s="481"/>
      <c r="B93" s="490"/>
      <c r="C93" s="507"/>
      <c r="D93" s="483"/>
      <c r="E93" s="483"/>
      <c r="F93" s="483"/>
      <c r="G93" s="483"/>
      <c r="H93" s="483"/>
      <c r="I93" s="483"/>
      <c r="J93" s="483"/>
      <c r="K93" s="483"/>
      <c r="L93" s="483"/>
      <c r="M93" s="484"/>
      <c r="N93" s="1026"/>
      <c r="O93" s="1026"/>
      <c r="P93" s="2036"/>
      <c r="Q93" s="451"/>
    </row>
    <row r="94" spans="1:17" ht="14.5" thickTop="1">
      <c r="A94" s="481"/>
      <c r="B94" s="485">
        <f>B29</f>
        <v>111</v>
      </c>
      <c r="C94" s="501"/>
      <c r="D94" s="501"/>
      <c r="E94" s="501"/>
      <c r="F94" s="501"/>
      <c r="G94" s="530"/>
      <c r="H94" s="530"/>
      <c r="I94" s="530"/>
      <c r="J94" s="530"/>
      <c r="K94" s="531"/>
      <c r="L94" s="532"/>
      <c r="M94" s="533"/>
      <c r="N94" s="1025"/>
      <c r="O94" s="1025"/>
      <c r="P94" s="2036"/>
      <c r="Q94" s="451"/>
    </row>
    <row r="95" spans="1:17" ht="14.5" thickBot="1">
      <c r="A95" s="481"/>
      <c r="B95" s="490"/>
      <c r="C95" s="507"/>
      <c r="D95" s="507"/>
      <c r="E95" s="507"/>
      <c r="F95" s="507"/>
      <c r="G95" s="483"/>
      <c r="H95" s="483"/>
      <c r="I95" s="483"/>
      <c r="J95" s="483"/>
      <c r="K95" s="483"/>
      <c r="L95" s="483"/>
      <c r="M95" s="484"/>
      <c r="N95" s="1026"/>
      <c r="O95" s="1026"/>
      <c r="P95" s="2036"/>
      <c r="Q95" s="451"/>
    </row>
    <row r="96" spans="1:17" ht="14.5" thickTop="1">
      <c r="A96" s="481"/>
      <c r="B96" s="485">
        <f>B30</f>
        <v>111</v>
      </c>
      <c r="C96" s="501"/>
      <c r="D96" s="501"/>
      <c r="E96" s="501"/>
      <c r="F96" s="501"/>
      <c r="G96" s="530"/>
      <c r="H96" s="530"/>
      <c r="I96" s="530"/>
      <c r="J96" s="530"/>
      <c r="K96" s="531"/>
      <c r="L96" s="532"/>
      <c r="M96" s="533"/>
      <c r="N96" s="1025"/>
      <c r="O96" s="1025"/>
      <c r="P96" s="2036"/>
      <c r="Q96" s="451"/>
    </row>
    <row r="97" spans="1:17" ht="14.5" thickBot="1">
      <c r="A97" s="481"/>
      <c r="B97" s="490"/>
      <c r="C97" s="517"/>
      <c r="D97" s="517"/>
      <c r="E97" s="517"/>
      <c r="F97" s="517"/>
      <c r="G97" s="483"/>
      <c r="H97" s="483"/>
      <c r="I97" s="483"/>
      <c r="J97" s="483"/>
      <c r="K97" s="483"/>
      <c r="L97" s="483"/>
      <c r="M97" s="484"/>
      <c r="N97" s="1026"/>
      <c r="O97" s="1026"/>
      <c r="P97" s="2036"/>
      <c r="Q97" s="451"/>
    </row>
    <row r="98" spans="1:17" ht="14.5" thickTop="1">
      <c r="A98" s="481"/>
      <c r="B98" s="493">
        <f>B31</f>
        <v>111</v>
      </c>
      <c r="C98" s="534"/>
      <c r="D98" s="534"/>
      <c r="E98" s="534"/>
      <c r="F98" s="534"/>
      <c r="G98" s="534"/>
      <c r="H98" s="534"/>
      <c r="I98" s="534"/>
      <c r="J98" s="534"/>
      <c r="K98" s="535"/>
      <c r="L98" s="536"/>
      <c r="M98" s="537"/>
      <c r="N98" s="1025"/>
      <c r="O98" s="1025"/>
      <c r="P98" s="2036"/>
      <c r="Q98" s="451"/>
    </row>
    <row r="99" spans="1:17" ht="14.5" thickBot="1">
      <c r="A99" s="2042"/>
      <c r="B99" s="516"/>
      <c r="C99" s="538"/>
      <c r="D99" s="538"/>
      <c r="E99" s="538"/>
      <c r="F99" s="538"/>
      <c r="G99" s="538"/>
      <c r="H99" s="538"/>
      <c r="I99" s="538"/>
      <c r="J99" s="538"/>
      <c r="K99" s="538"/>
      <c r="L99" s="538"/>
      <c r="M99" s="539"/>
      <c r="N99" s="1026"/>
      <c r="O99" s="1026"/>
      <c r="P99" s="2036"/>
      <c r="Q99" s="451"/>
    </row>
    <row r="100" spans="1:17">
      <c r="A100" s="474" t="s">
        <v>2140</v>
      </c>
      <c r="B100" s="475" t="s">
        <v>2189</v>
      </c>
      <c r="C100" s="477"/>
      <c r="D100" s="477"/>
      <c r="E100" s="477"/>
      <c r="F100" s="477"/>
      <c r="G100" s="477"/>
      <c r="H100" s="477"/>
      <c r="I100" s="477"/>
      <c r="J100" s="477"/>
      <c r="K100" s="478"/>
      <c r="L100" s="479"/>
      <c r="M100" s="480"/>
      <c r="N100" s="1025"/>
      <c r="O100" s="1025"/>
      <c r="P100" s="203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4.5" thickTop="1">
      <c r="A102" s="481"/>
      <c r="B102" s="485" t="s">
        <v>2190</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4.5" thickBot="1">
      <c r="A104" s="500"/>
      <c r="B104" s="490"/>
      <c r="C104" s="507"/>
      <c r="D104" s="483"/>
      <c r="E104" s="483"/>
      <c r="F104" s="483"/>
      <c r="G104" s="483"/>
      <c r="H104" s="483"/>
      <c r="I104" s="483"/>
      <c r="J104" s="483"/>
      <c r="K104" s="483"/>
      <c r="L104" s="483"/>
      <c r="M104" s="483"/>
      <c r="N104" s="1026"/>
      <c r="O104" s="1026"/>
      <c r="P104" s="2037"/>
      <c r="Q104" s="506"/>
    </row>
    <row r="105" spans="1:17" ht="14.5" thickTop="1">
      <c r="A105" s="546"/>
      <c r="B105" s="485" t="s">
        <v>2191</v>
      </c>
      <c r="C105" s="501"/>
      <c r="D105" s="501"/>
      <c r="E105" s="530"/>
      <c r="F105" s="530"/>
      <c r="G105" s="530"/>
      <c r="H105" s="530"/>
      <c r="I105" s="530"/>
      <c r="J105" s="530"/>
      <c r="K105" s="531"/>
      <c r="L105" s="532"/>
      <c r="M105" s="533"/>
      <c r="N105" s="1025"/>
      <c r="O105" s="1025"/>
      <c r="P105" s="203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4.5" thickTop="1">
      <c r="A107" s="546"/>
      <c r="B107" s="485" t="s">
        <v>2192</v>
      </c>
      <c r="C107" s="530"/>
      <c r="D107" s="530"/>
      <c r="E107" s="530"/>
      <c r="F107" s="530"/>
      <c r="G107" s="530"/>
      <c r="H107" s="530"/>
      <c r="I107" s="530"/>
      <c r="J107" s="530"/>
      <c r="K107" s="531"/>
      <c r="L107" s="532"/>
      <c r="M107" s="533"/>
      <c r="N107" s="1025"/>
      <c r="O107" s="1025"/>
      <c r="P107" s="203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4.5" thickTop="1">
      <c r="A109" s="546"/>
      <c r="B109" s="485" t="s">
        <v>2193</v>
      </c>
      <c r="C109" s="501"/>
      <c r="D109" s="501"/>
      <c r="E109" s="501"/>
      <c r="F109" s="530"/>
      <c r="G109" s="530"/>
      <c r="H109" s="530"/>
      <c r="I109" s="530"/>
      <c r="J109" s="530"/>
      <c r="K109" s="531"/>
      <c r="L109" s="532"/>
      <c r="M109" s="533"/>
      <c r="N109" s="1025"/>
      <c r="O109" s="1025"/>
      <c r="P109" s="203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4.5" thickTop="1">
      <c r="A111" s="540"/>
      <c r="B111" s="485" t="s">
        <v>1632</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4.5" thickTop="1">
      <c r="A114" s="546"/>
      <c r="B114" s="485" t="s">
        <v>2194</v>
      </c>
      <c r="C114" s="501"/>
      <c r="D114" s="501"/>
      <c r="E114" s="530"/>
      <c r="F114" s="530"/>
      <c r="G114" s="530"/>
      <c r="H114" s="530"/>
      <c r="I114" s="530"/>
      <c r="J114" s="530"/>
      <c r="K114" s="531"/>
      <c r="L114" s="532"/>
      <c r="M114" s="533"/>
      <c r="N114" s="1025"/>
      <c r="O114" s="1025"/>
      <c r="P114" s="203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4.5" thickTop="1">
      <c r="A116" s="546"/>
      <c r="B116" s="485" t="s">
        <v>2195</v>
      </c>
      <c r="C116" s="501"/>
      <c r="D116" s="501"/>
      <c r="E116" s="501"/>
      <c r="F116" s="501"/>
      <c r="G116" s="501"/>
      <c r="H116" s="530"/>
      <c r="I116" s="530"/>
      <c r="J116" s="530"/>
      <c r="K116" s="531"/>
      <c r="L116" s="532"/>
      <c r="M116" s="533"/>
      <c r="N116" s="1025"/>
      <c r="O116" s="1025"/>
      <c r="P116" s="203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4.5" thickTop="1">
      <c r="A118" s="546"/>
      <c r="B118" s="485" t="s">
        <v>2196</v>
      </c>
      <c r="C118" s="530"/>
      <c r="D118" s="530"/>
      <c r="E118" s="530"/>
      <c r="F118" s="530"/>
      <c r="G118" s="530"/>
      <c r="H118" s="530"/>
      <c r="I118" s="530"/>
      <c r="J118" s="530"/>
      <c r="K118" s="531"/>
      <c r="L118" s="532"/>
      <c r="M118" s="533"/>
      <c r="N118" s="1025"/>
      <c r="O118" s="1025"/>
      <c r="P118" s="203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9" thickTop="1">
      <c r="A120" s="540"/>
      <c r="B120" s="485" t="s">
        <v>2151</v>
      </c>
      <c r="C120" s="501"/>
      <c r="D120" s="501"/>
      <c r="E120" s="501"/>
      <c r="F120" s="501"/>
      <c r="G120" s="501"/>
      <c r="H120" s="501"/>
      <c r="I120" s="501"/>
      <c r="J120" s="501"/>
      <c r="K120" s="501"/>
      <c r="L120" s="527"/>
      <c r="M120" s="528"/>
      <c r="N120" s="1027"/>
      <c r="O120" s="1027"/>
      <c r="P120" s="2037"/>
      <c r="Q120" s="506"/>
    </row>
    <row r="121" spans="1:17" s="420" customFormat="1" ht="14.5" thickBot="1">
      <c r="A121" s="500"/>
      <c r="B121" s="482"/>
      <c r="C121" s="507"/>
      <c r="D121" s="483"/>
      <c r="E121" s="483"/>
      <c r="F121" s="483"/>
      <c r="G121" s="483"/>
      <c r="H121" s="483"/>
      <c r="I121" s="483"/>
      <c r="J121" s="483"/>
      <c r="K121" s="483"/>
      <c r="L121" s="483"/>
      <c r="M121" s="483"/>
      <c r="N121" s="1027"/>
      <c r="O121" s="1027"/>
      <c r="P121" s="2037"/>
      <c r="Q121" s="506"/>
    </row>
    <row r="122" spans="1:17" ht="14.5" thickTop="1">
      <c r="A122" s="546"/>
      <c r="B122" s="485" t="s">
        <v>2197</v>
      </c>
      <c r="C122" s="501"/>
      <c r="D122" s="501"/>
      <c r="E122" s="501"/>
      <c r="F122" s="530"/>
      <c r="G122" s="530"/>
      <c r="H122" s="530"/>
      <c r="I122" s="530"/>
      <c r="J122" s="530"/>
      <c r="K122" s="531"/>
      <c r="L122" s="532"/>
      <c r="M122" s="533"/>
      <c r="N122" s="1025"/>
      <c r="O122" s="1025"/>
      <c r="P122" s="203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28.5" thickTop="1">
      <c r="A124" s="546"/>
      <c r="B124" s="485" t="s">
        <v>2198</v>
      </c>
      <c r="C124" s="525" t="s">
        <v>2174</v>
      </c>
      <c r="D124" s="525" t="s">
        <v>2175</v>
      </c>
      <c r="E124" s="525" t="s">
        <v>2176</v>
      </c>
      <c r="F124" s="525" t="s">
        <v>2177</v>
      </c>
      <c r="G124" s="525" t="s">
        <v>2178</v>
      </c>
      <c r="H124" s="486"/>
      <c r="I124" s="486"/>
      <c r="J124" s="486"/>
      <c r="K124" s="487"/>
      <c r="L124" s="488"/>
      <c r="M124" s="489"/>
      <c r="N124" s="1025"/>
      <c r="O124" s="1025"/>
      <c r="P124" s="203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4.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4.5" thickBot="1">
      <c r="A127" s="500"/>
      <c r="B127" s="490"/>
      <c r="C127" s="507"/>
      <c r="D127" s="483"/>
      <c r="E127" s="483"/>
      <c r="F127" s="483"/>
      <c r="G127" s="507"/>
      <c r="H127" s="509"/>
      <c r="I127" s="509"/>
      <c r="J127" s="509"/>
      <c r="K127" s="509"/>
      <c r="L127" s="509"/>
      <c r="M127" s="510"/>
      <c r="N127" s="1027"/>
      <c r="O127" s="1027"/>
      <c r="P127" s="2037"/>
      <c r="Q127" s="506"/>
    </row>
    <row r="128" spans="1:17" ht="14.5" thickTop="1">
      <c r="A128" s="546"/>
      <c r="B128" s="485">
        <f>B45</f>
        <v>111</v>
      </c>
      <c r="C128" s="501"/>
      <c r="D128" s="501"/>
      <c r="E128" s="501"/>
      <c r="F128" s="501"/>
      <c r="G128" s="530"/>
      <c r="H128" s="530"/>
      <c r="I128" s="530"/>
      <c r="J128" s="530"/>
      <c r="K128" s="531"/>
      <c r="L128" s="532"/>
      <c r="M128" s="533"/>
      <c r="N128" s="1025"/>
      <c r="O128" s="1025"/>
      <c r="P128" s="2036"/>
      <c r="Q128" s="451"/>
    </row>
    <row r="129" spans="1:17" ht="14.5" thickBot="1">
      <c r="A129" s="481"/>
      <c r="B129" s="490"/>
      <c r="C129" s="507"/>
      <c r="D129" s="507"/>
      <c r="E129" s="507"/>
      <c r="F129" s="507"/>
      <c r="G129" s="483"/>
      <c r="H129" s="483"/>
      <c r="I129" s="483"/>
      <c r="J129" s="483"/>
      <c r="K129" s="483"/>
      <c r="L129" s="483"/>
      <c r="M129" s="484"/>
      <c r="N129" s="1026"/>
      <c r="O129" s="1026"/>
      <c r="P129" s="2036"/>
      <c r="Q129" s="451"/>
    </row>
    <row r="130" spans="1:17" ht="14.5" thickTop="1">
      <c r="A130" s="546"/>
      <c r="B130" s="493">
        <f>B46</f>
        <v>111</v>
      </c>
      <c r="C130" s="501"/>
      <c r="D130" s="501"/>
      <c r="E130" s="501"/>
      <c r="F130" s="501"/>
      <c r="G130" s="534"/>
      <c r="H130" s="534"/>
      <c r="I130" s="534"/>
      <c r="J130" s="534"/>
      <c r="K130" s="470"/>
      <c r="L130" s="471"/>
      <c r="M130" s="537"/>
      <c r="N130" s="1025"/>
      <c r="O130" s="1025"/>
      <c r="P130" s="2036"/>
      <c r="Q130" s="451"/>
    </row>
    <row r="131" spans="1:17" ht="14.5" thickBot="1">
      <c r="A131" s="2042"/>
      <c r="B131" s="516"/>
      <c r="C131" s="517"/>
      <c r="D131" s="517"/>
      <c r="E131" s="517"/>
      <c r="F131" s="517"/>
      <c r="G131" s="538"/>
      <c r="H131" s="538"/>
      <c r="I131" s="538"/>
      <c r="J131" s="538"/>
      <c r="K131" s="538"/>
      <c r="L131" s="538"/>
      <c r="M131" s="539"/>
      <c r="N131" s="1026"/>
      <c r="O131" s="1026"/>
      <c r="P131" s="2036"/>
      <c r="Q131" s="451"/>
    </row>
    <row r="136" spans="1:17" ht="14.5" thickBot="1">
      <c r="B136" s="2043" t="s">
        <v>2199</v>
      </c>
    </row>
    <row r="137" spans="1:17" ht="15.5">
      <c r="B137" s="2044" t="s">
        <v>2200</v>
      </c>
      <c r="C137" s="2045"/>
      <c r="D137" s="2045"/>
      <c r="E137" s="2045"/>
      <c r="F137" s="2045"/>
      <c r="G137" s="2046"/>
      <c r="H137" s="2047"/>
      <c r="I137" s="2048" t="s">
        <v>2201</v>
      </c>
      <c r="J137" s="2045"/>
      <c r="K137" s="2049"/>
    </row>
    <row r="138" spans="1:17" ht="15.5">
      <c r="B138" s="2050"/>
      <c r="C138" s="132" t="s">
        <v>2202</v>
      </c>
      <c r="D138" s="132" t="s">
        <v>2203</v>
      </c>
      <c r="E138" s="2051" t="s">
        <v>2204</v>
      </c>
      <c r="F138" s="2052" t="s">
        <v>2205</v>
      </c>
      <c r="G138" s="132" t="s">
        <v>2203</v>
      </c>
      <c r="H138" s="133" t="s">
        <v>2204</v>
      </c>
      <c r="I138" s="2053"/>
      <c r="J138" s="132" t="s">
        <v>2206</v>
      </c>
      <c r="K138" s="133" t="s">
        <v>2207</v>
      </c>
    </row>
    <row r="139" spans="1:17" ht="15.5">
      <c r="B139" s="959">
        <v>6</v>
      </c>
      <c r="C139" s="960">
        <v>96</v>
      </c>
      <c r="D139" s="2054" t="s">
        <v>2208</v>
      </c>
      <c r="E139" s="961">
        <v>100</v>
      </c>
      <c r="F139" s="962">
        <v>102.5</v>
      </c>
      <c r="G139" s="2054" t="s">
        <v>2208</v>
      </c>
      <c r="H139" s="963">
        <v>105</v>
      </c>
      <c r="I139" s="2055" t="s">
        <v>2209</v>
      </c>
      <c r="J139" s="960">
        <v>20</v>
      </c>
      <c r="K139" s="964">
        <f>C145/(J139-2)</f>
        <v>4.0555555555555553E-3</v>
      </c>
    </row>
    <row r="140" spans="1:17" ht="15.5">
      <c r="B140" s="965">
        <v>5</v>
      </c>
      <c r="C140" s="966">
        <v>100</v>
      </c>
      <c r="D140" s="966"/>
      <c r="E140" s="967"/>
      <c r="F140" s="968">
        <v>102</v>
      </c>
      <c r="G140" s="966"/>
      <c r="H140" s="969"/>
      <c r="I140" s="2056" t="s">
        <v>2210</v>
      </c>
      <c r="J140" s="267">
        <f>ROUNDUP((J139-1)/2,0)</f>
        <v>10</v>
      </c>
      <c r="K140" s="970">
        <v>100</v>
      </c>
    </row>
    <row r="141" spans="1:17" ht="15.5">
      <c r="B141" s="965">
        <v>4</v>
      </c>
      <c r="C141" s="966">
        <v>102</v>
      </c>
      <c r="D141" s="966"/>
      <c r="E141" s="967"/>
      <c r="F141" s="968">
        <v>101.5</v>
      </c>
      <c r="G141" s="966"/>
      <c r="H141" s="969"/>
      <c r="I141" s="2056" t="s">
        <v>2211</v>
      </c>
      <c r="J141" s="267">
        <v>1</v>
      </c>
      <c r="K141" s="971">
        <f>ROUND(100+(J141-J140)*K139*100,1)</f>
        <v>96.4</v>
      </c>
    </row>
    <row r="142" spans="1:17" ht="15.5">
      <c r="B142" s="965">
        <v>3</v>
      </c>
      <c r="C142" s="966">
        <v>103</v>
      </c>
      <c r="D142" s="966"/>
      <c r="E142" s="967"/>
      <c r="F142" s="968">
        <v>101</v>
      </c>
      <c r="G142" s="966"/>
      <c r="H142" s="969"/>
      <c r="I142" s="2056" t="s">
        <v>2212</v>
      </c>
      <c r="J142" s="267">
        <f>J139</f>
        <v>20</v>
      </c>
      <c r="K142" s="972">
        <v>95</v>
      </c>
    </row>
    <row r="143" spans="1:17" ht="15.5">
      <c r="B143" s="965">
        <v>2</v>
      </c>
      <c r="C143" s="966">
        <v>100</v>
      </c>
      <c r="D143" s="966"/>
      <c r="E143" s="967"/>
      <c r="F143" s="968">
        <v>100.5</v>
      </c>
      <c r="G143" s="966"/>
      <c r="H143" s="969"/>
      <c r="I143" s="2056" t="s">
        <v>2213</v>
      </c>
      <c r="J143" s="966">
        <v>15</v>
      </c>
      <c r="K143" s="971">
        <f>ROUND(100+(J143-J140)*K139*100,1)</f>
        <v>102</v>
      </c>
    </row>
    <row r="144" spans="1:17" ht="15.5">
      <c r="B144" s="965">
        <v>1</v>
      </c>
      <c r="C144" s="966">
        <v>98</v>
      </c>
      <c r="D144" s="2057" t="s">
        <v>2214</v>
      </c>
      <c r="E144" s="967">
        <v>102</v>
      </c>
      <c r="F144" s="973">
        <v>100</v>
      </c>
      <c r="G144" s="2057" t="s">
        <v>2214</v>
      </c>
      <c r="H144" s="969">
        <v>105</v>
      </c>
      <c r="I144" s="2056" t="s">
        <v>2213</v>
      </c>
      <c r="J144" s="966">
        <v>18</v>
      </c>
      <c r="K144" s="971">
        <f>ROUND(100+(J144-J140)*K139*100,1)</f>
        <v>103.2</v>
      </c>
    </row>
    <row r="145" spans="2:11" ht="16" thickBot="1">
      <c r="B145" s="2058" t="s">
        <v>2215</v>
      </c>
      <c r="C145" s="974">
        <f>ROUND(MAX(C139:C144)/MIN(C139:C144)-1,3)</f>
        <v>7.2999999999999995E-2</v>
      </c>
      <c r="D145" s="975"/>
      <c r="E145" s="975"/>
      <c r="F145" s="2059" t="s">
        <v>2216</v>
      </c>
      <c r="G145" s="2060"/>
      <c r="H145" s="2061"/>
      <c r="I145" s="2062" t="s">
        <v>2213</v>
      </c>
      <c r="J145" s="976">
        <v>8</v>
      </c>
      <c r="K145" s="977">
        <f>ROUND(100+(J145-J140)*K139*100,1)</f>
        <v>99.2</v>
      </c>
    </row>
    <row r="147" spans="2:11">
      <c r="B147" s="2043" t="s">
        <v>2217</v>
      </c>
    </row>
    <row r="148" spans="2:11">
      <c r="B148" s="2043"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591" customWidth="1"/>
    <col min="2" max="16384" width="9" style="1591"/>
  </cols>
  <sheetData>
    <row r="1" spans="1:1" ht="23">
      <c r="A1" s="1590" t="s">
        <v>1332</v>
      </c>
    </row>
    <row r="2" spans="1:1">
      <c r="A2" s="1592"/>
    </row>
    <row r="3" spans="1:1" ht="18">
      <c r="A3" s="1593" t="str">
        <f>项目基本情况!B5&amp;"："</f>
        <v>北京上德置业有限公司：</v>
      </c>
    </row>
    <row r="4" spans="1:1" ht="35">
      <c r="A4" s="1594" t="str">
        <f>"受贵公司委托，我公司对"&amp;项目基本情况!S1&amp;"进行了预评估。"</f>
        <v>受贵公司委托，我公司对北京市大兴区广茂大街19号院商业、办公、地下车库用房房地产房地产抵押价值进行了预评估。</v>
      </c>
    </row>
    <row r="5" spans="1:1" ht="18">
      <c r="A5" s="1595" t="s">
        <v>1333</v>
      </c>
    </row>
    <row r="6" spans="1:1" ht="17.5">
      <c r="A6" s="1596" t="s">
        <v>1334</v>
      </c>
    </row>
    <row r="7" spans="1:1" ht="70">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3.5">
      <c r="A8" s="1597" t="s">
        <v>1335</v>
      </c>
    </row>
    <row r="9" spans="1:1" ht="17.5">
      <c r="A9" s="1596" t="s">
        <v>1336</v>
      </c>
    </row>
    <row r="10" spans="1:1" ht="70">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1">
      <c r="A11" s="1597" t="s">
        <v>1337</v>
      </c>
    </row>
    <row r="12" spans="1:1" ht="18">
      <c r="A12" s="1595" t="s">
        <v>1338</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599" t="s">
        <v>1339</v>
      </c>
    </row>
    <row r="15" spans="1:1" ht="17.5">
      <c r="A15" s="1600" t="str">
        <f>TEXT(项目基本情况!D3,"yyyy年m月d日;;")&amp;IF(项目基本情况!D3=项目基本情况!B3,"（评估专业人员实地查勘之日）","")</f>
        <v>2022年5月12日（评估专业人员实地查勘之日）</v>
      </c>
    </row>
    <row r="16" spans="1:1" ht="18">
      <c r="A16" s="1599" t="s">
        <v>1340</v>
      </c>
    </row>
    <row r="17" spans="1:1" ht="70">
      <c r="A17" s="1594" t="s">
        <v>1341</v>
      </c>
    </row>
    <row r="18" spans="1:1" ht="70">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99" t="s">
        <v>1330</v>
      </c>
    </row>
    <row r="24" spans="1:1" ht="17.5">
      <c r="A24" s="1601" t="str">
        <f>"本次评估采用的主估价方法为"&amp;结果表!K4&amp;"和"&amp;结果表!L4&amp;"。"</f>
        <v>本次评估采用的主估价方法为成本法和收益法。</v>
      </c>
    </row>
    <row r="25" spans="1:1" ht="17.5">
      <c r="A25" s="1601"/>
    </row>
    <row r="26" spans="1:1" ht="17.5">
      <c r="A26" s="1602" t="s">
        <v>1331</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2219</v>
      </c>
      <c r="C1" s="1337" t="s">
        <v>2107</v>
      </c>
      <c r="D1" s="1324"/>
      <c r="E1" s="2471"/>
      <c r="F1" s="1993"/>
      <c r="G1" s="1334" t="s">
        <v>2220</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1904</v>
      </c>
      <c r="B2" s="1258" t="e">
        <f ca="1">IF(C2="——",ROUND(C49*D3/10000,0),ROUND(C49*D3/10000,0)-D2)</f>
        <v>#DIV/0!</v>
      </c>
      <c r="C2" s="1995"/>
      <c r="D2" s="1207" t="e">
        <f ca="1">SUMIF(INDIRECT("'"&amp;F2&amp;"'"&amp;"!A:A"),"承租人权益价值",INDIRECT("'"&amp;F2&amp;"'"&amp;"!c:c"))</f>
        <v>#REF!</v>
      </c>
      <c r="E2" s="1996" t="s">
        <v>1905</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1906</v>
      </c>
      <c r="B3" s="556" t="e">
        <f ca="1">IF(C2="——",C49,ROUND(B2*10000/D3,0))</f>
        <v>#DIV/0!</v>
      </c>
      <c r="C3" s="350" t="s">
        <v>2221</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c r="A4" s="351" t="s">
        <v>2222</v>
      </c>
      <c r="B4" s="352"/>
      <c r="C4" s="3605" t="s">
        <v>2223</v>
      </c>
      <c r="D4" s="3606"/>
      <c r="E4" s="3607" t="s">
        <v>2224</v>
      </c>
      <c r="F4" s="3608"/>
      <c r="G4" s="3605" t="s">
        <v>2225</v>
      </c>
      <c r="H4" s="3606"/>
      <c r="I4" s="3605" t="s">
        <v>2226</v>
      </c>
      <c r="J4" s="3606"/>
      <c r="K4" s="557" t="s">
        <v>2227</v>
      </c>
      <c r="L4" s="2866"/>
      <c r="M4" s="2867"/>
      <c r="N4" s="2867"/>
      <c r="O4" s="2867"/>
      <c r="P4" s="3609" t="s">
        <v>2228</v>
      </c>
      <c r="Q4" s="3610"/>
      <c r="R4" s="3592" t="s">
        <v>2224</v>
      </c>
      <c r="S4" s="3593"/>
      <c r="T4" s="3592" t="s">
        <v>2225</v>
      </c>
      <c r="U4" s="3593"/>
      <c r="V4" s="3617" t="s">
        <v>2226</v>
      </c>
      <c r="W4" s="3617"/>
      <c r="X4" s="1468"/>
      <c r="Y4" s="3592" t="s">
        <v>2228</v>
      </c>
      <c r="Z4" s="3593"/>
      <c r="AA4" s="3587" t="s">
        <v>2224</v>
      </c>
      <c r="AB4" s="3617" t="s">
        <v>2225</v>
      </c>
      <c r="AC4" s="3587" t="s">
        <v>2226</v>
      </c>
    </row>
    <row r="5" spans="1:29">
      <c r="A5" s="354"/>
      <c r="B5" s="355"/>
      <c r="C5" s="3598" t="s">
        <v>2119</v>
      </c>
      <c r="D5" s="3599"/>
      <c r="E5" s="3596" t="s">
        <v>2120</v>
      </c>
      <c r="F5" s="3597"/>
      <c r="G5" s="3598" t="s">
        <v>2121</v>
      </c>
      <c r="H5" s="3599"/>
      <c r="I5" s="3598" t="s">
        <v>2122</v>
      </c>
      <c r="J5" s="3599"/>
      <c r="K5" s="557"/>
      <c r="L5" s="2866"/>
      <c r="M5" s="2867"/>
      <c r="N5" s="2867"/>
      <c r="O5" s="2867"/>
      <c r="P5" s="3611"/>
      <c r="Q5" s="3612"/>
      <c r="R5" s="3594"/>
      <c r="S5" s="3595"/>
      <c r="T5" s="3594"/>
      <c r="U5" s="3595"/>
      <c r="V5" s="3617"/>
      <c r="W5" s="3617"/>
      <c r="X5" s="1468"/>
      <c r="Y5" s="3594"/>
      <c r="Z5" s="3595"/>
      <c r="AA5" s="3588"/>
      <c r="AB5" s="3617"/>
      <c r="AC5" s="3588"/>
    </row>
    <row r="6" spans="1:29" ht="15" thickBot="1">
      <c r="A6" s="356"/>
      <c r="B6" s="357"/>
      <c r="C6" s="3600" t="s">
        <v>2123</v>
      </c>
      <c r="D6" s="3601"/>
      <c r="E6" s="3602" t="s">
        <v>2123</v>
      </c>
      <c r="F6" s="3603"/>
      <c r="G6" s="3600" t="s">
        <v>2123</v>
      </c>
      <c r="H6" s="3601"/>
      <c r="I6" s="3600" t="s">
        <v>2123</v>
      </c>
      <c r="J6" s="3601"/>
      <c r="K6" s="557" t="s">
        <v>2124</v>
      </c>
      <c r="L6" s="2866"/>
      <c r="M6" s="2867"/>
      <c r="N6" s="2867"/>
      <c r="O6" s="2867"/>
      <c r="P6" s="3613"/>
      <c r="Q6" s="3614"/>
      <c r="R6" s="3594"/>
      <c r="S6" s="3595"/>
      <c r="T6" s="3615"/>
      <c r="U6" s="3616"/>
      <c r="V6" s="3617"/>
      <c r="W6" s="3617"/>
      <c r="X6" s="1468"/>
      <c r="Y6" s="3615"/>
      <c r="Z6" s="3616"/>
      <c r="AA6" s="3589"/>
      <c r="AB6" s="3617"/>
      <c r="AC6" s="3589"/>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558"/>
      <c r="L7" s="2868"/>
      <c r="M7" s="2869"/>
      <c r="N7" s="2869"/>
      <c r="O7" s="2869"/>
      <c r="P7" s="3590" t="s">
        <v>2126</v>
      </c>
      <c r="Q7" s="3618"/>
      <c r="R7" s="696" t="s">
        <v>17</v>
      </c>
      <c r="S7" s="697">
        <f t="shared" ref="S7:S15" si="0">F7</f>
        <v>0</v>
      </c>
      <c r="T7" s="696" t="s">
        <v>17</v>
      </c>
      <c r="U7" s="697">
        <f t="shared" ref="U7:U15" si="1">H7</f>
        <v>0</v>
      </c>
      <c r="V7" s="696" t="s">
        <v>17</v>
      </c>
      <c r="W7" s="697">
        <f t="shared" ref="W7:W15" si="2">J7</f>
        <v>0</v>
      </c>
      <c r="X7" s="698"/>
      <c r="Y7" s="3590" t="s">
        <v>2126</v>
      </c>
      <c r="Z7" s="3591"/>
      <c r="AA7" s="699" t="e">
        <f>D7/F7</f>
        <v>#DIV/0!</v>
      </c>
      <c r="AB7" s="699" t="e">
        <f>D7/H7</f>
        <v>#DIV/0!</v>
      </c>
      <c r="AC7" s="699" t="e">
        <f>D7/J7</f>
        <v>#DIV/0!</v>
      </c>
    </row>
    <row r="8" spans="1:29" s="110" customFormat="1" ht="14.5" thickBot="1">
      <c r="A8" s="358" t="s">
        <v>2127</v>
      </c>
      <c r="B8" s="359"/>
      <c r="C8" s="364" t="s">
        <v>2229</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590" t="s">
        <v>2129</v>
      </c>
      <c r="Q8" s="3591"/>
      <c r="R8" s="696" t="s">
        <v>17</v>
      </c>
      <c r="S8" s="697">
        <f t="shared" si="0"/>
        <v>0</v>
      </c>
      <c r="T8" s="696" t="s">
        <v>17</v>
      </c>
      <c r="U8" s="697">
        <f t="shared" si="1"/>
        <v>0</v>
      </c>
      <c r="V8" s="696" t="s">
        <v>17</v>
      </c>
      <c r="W8" s="697">
        <f t="shared" si="2"/>
        <v>0</v>
      </c>
      <c r="X8" s="698"/>
      <c r="Y8" s="3590" t="s">
        <v>2129</v>
      </c>
      <c r="Z8" s="3591"/>
      <c r="AA8" s="699" t="e">
        <f t="shared" ref="AA8:AA46" si="3">D8/F8</f>
        <v>#DIV/0!</v>
      </c>
      <c r="AB8" s="699" t="e">
        <f t="shared" ref="AB8:AB46" si="4">D8/H8</f>
        <v>#DIV/0!</v>
      </c>
      <c r="AC8" s="699" t="e">
        <f t="shared" ref="AC8:AC46" si="5">D8/J8</f>
        <v>#DIV/0!</v>
      </c>
    </row>
    <row r="9" spans="1:29" s="110" customFormat="1">
      <c r="A9" s="365" t="s">
        <v>2130</v>
      </c>
      <c r="B9" s="67" t="s">
        <v>2131</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628" t="s">
        <v>2132</v>
      </c>
      <c r="Q9" s="1456" t="str">
        <f t="shared" ref="Q9:Q15" si="6">B9</f>
        <v>用途</v>
      </c>
      <c r="R9" s="696" t="s">
        <v>17</v>
      </c>
      <c r="S9" s="697">
        <f t="shared" si="0"/>
        <v>100</v>
      </c>
      <c r="T9" s="696" t="s">
        <v>17</v>
      </c>
      <c r="U9" s="697">
        <f t="shared" si="1"/>
        <v>100</v>
      </c>
      <c r="V9" s="696" t="s">
        <v>17</v>
      </c>
      <c r="W9" s="697">
        <f t="shared" si="2"/>
        <v>100</v>
      </c>
      <c r="X9" s="698"/>
      <c r="Y9" s="3563"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628"/>
      <c r="Q10" s="1456" t="str">
        <f t="shared" si="6"/>
        <v>土地使用年限（年）</v>
      </c>
      <c r="R10" s="696" t="s">
        <v>17</v>
      </c>
      <c r="S10" s="697">
        <f t="shared" si="0"/>
        <v>100</v>
      </c>
      <c r="T10" s="696" t="s">
        <v>17</v>
      </c>
      <c r="U10" s="697">
        <f t="shared" si="1"/>
        <v>100</v>
      </c>
      <c r="V10" s="696" t="s">
        <v>17</v>
      </c>
      <c r="W10" s="697">
        <f t="shared" si="2"/>
        <v>100</v>
      </c>
      <c r="X10" s="698"/>
      <c r="Y10" s="3563"/>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628"/>
      <c r="Q11" s="1456" t="str">
        <f t="shared" si="6"/>
        <v>容积率</v>
      </c>
      <c r="R11" s="696" t="s">
        <v>17</v>
      </c>
      <c r="S11" s="697" t="e">
        <f t="shared" si="0"/>
        <v>#N/A</v>
      </c>
      <c r="T11" s="696" t="s">
        <v>17</v>
      </c>
      <c r="U11" s="697" t="e">
        <f t="shared" si="1"/>
        <v>#N/A</v>
      </c>
      <c r="V11" s="696" t="s">
        <v>17</v>
      </c>
      <c r="W11" s="697" t="e">
        <f t="shared" si="2"/>
        <v>#N/A</v>
      </c>
      <c r="X11" s="698"/>
      <c r="Y11" s="3563"/>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628"/>
      <c r="Q12" s="1456">
        <f t="shared" si="6"/>
        <v>111</v>
      </c>
      <c r="R12" s="696" t="s">
        <v>17</v>
      </c>
      <c r="S12" s="697">
        <f t="shared" si="0"/>
        <v>100</v>
      </c>
      <c r="T12" s="696" t="s">
        <v>17</v>
      </c>
      <c r="U12" s="697">
        <f t="shared" si="1"/>
        <v>100</v>
      </c>
      <c r="V12" s="696" t="s">
        <v>17</v>
      </c>
      <c r="W12" s="697">
        <f t="shared" si="2"/>
        <v>100</v>
      </c>
      <c r="X12" s="698"/>
      <c r="Y12" s="3563"/>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628"/>
      <c r="Q13" s="1456">
        <f t="shared" si="6"/>
        <v>111</v>
      </c>
      <c r="R13" s="696" t="s">
        <v>17</v>
      </c>
      <c r="S13" s="697">
        <f t="shared" si="0"/>
        <v>100</v>
      </c>
      <c r="T13" s="696" t="s">
        <v>17</v>
      </c>
      <c r="U13" s="697">
        <f t="shared" si="1"/>
        <v>100</v>
      </c>
      <c r="V13" s="696" t="s">
        <v>17</v>
      </c>
      <c r="W13" s="697">
        <f t="shared" si="2"/>
        <v>100</v>
      </c>
      <c r="X13" s="698"/>
      <c r="Y13" s="3563"/>
      <c r="Z13" s="55">
        <f t="shared" si="7"/>
        <v>111</v>
      </c>
      <c r="AA13" s="699">
        <f t="shared" si="3"/>
        <v>1</v>
      </c>
      <c r="AB13" s="699">
        <f t="shared" si="4"/>
        <v>1</v>
      </c>
      <c r="AC13" s="699">
        <f t="shared" si="5"/>
        <v>1</v>
      </c>
    </row>
    <row r="14" spans="1:29" ht="16"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628"/>
      <c r="Q14" s="1456">
        <f t="shared" si="6"/>
        <v>111</v>
      </c>
      <c r="R14" s="696" t="s">
        <v>17</v>
      </c>
      <c r="S14" s="697">
        <f t="shared" si="0"/>
        <v>100</v>
      </c>
      <c r="T14" s="696" t="s">
        <v>17</v>
      </c>
      <c r="U14" s="697">
        <f t="shared" si="1"/>
        <v>100</v>
      </c>
      <c r="V14" s="696" t="s">
        <v>17</v>
      </c>
      <c r="W14" s="697">
        <f t="shared" si="2"/>
        <v>100</v>
      </c>
      <c r="X14" s="698"/>
      <c r="Y14" s="3563"/>
      <c r="Z14" s="55">
        <f t="shared" si="7"/>
        <v>111</v>
      </c>
      <c r="AA14" s="699">
        <f t="shared" si="3"/>
        <v>1</v>
      </c>
      <c r="AB14" s="699">
        <f t="shared" si="4"/>
        <v>1</v>
      </c>
      <c r="AC14" s="699">
        <f t="shared" si="5"/>
        <v>1</v>
      </c>
    </row>
    <row r="15" spans="1:29" ht="98">
      <c r="A15" s="389" t="s">
        <v>2136</v>
      </c>
      <c r="B15" s="65" t="s">
        <v>2230</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64" t="s">
        <v>2137</v>
      </c>
      <c r="Q15" s="1465" t="str">
        <f t="shared" si="6"/>
        <v>商业繁华度</v>
      </c>
      <c r="R15" s="700" t="s">
        <v>17</v>
      </c>
      <c r="S15" s="701">
        <f t="shared" si="0"/>
        <v>100</v>
      </c>
      <c r="T15" s="700" t="s">
        <v>17</v>
      </c>
      <c r="U15" s="701">
        <f t="shared" si="1"/>
        <v>100</v>
      </c>
      <c r="V15" s="700" t="s">
        <v>17</v>
      </c>
      <c r="W15" s="701">
        <f t="shared" si="2"/>
        <v>100</v>
      </c>
      <c r="X15" s="1468"/>
      <c r="Y15" s="3619" t="s">
        <v>2137</v>
      </c>
      <c r="Z15" s="1469" t="str">
        <f t="shared" si="7"/>
        <v>商业繁华度</v>
      </c>
      <c r="AA15" s="1466">
        <f t="shared" si="3"/>
        <v>1</v>
      </c>
      <c r="AB15" s="1466">
        <f t="shared" si="4"/>
        <v>1</v>
      </c>
      <c r="AC15" s="1466">
        <f t="shared" si="5"/>
        <v>1</v>
      </c>
    </row>
    <row r="16" spans="1:29" ht="15.5">
      <c r="A16" s="377"/>
      <c r="B16" s="395"/>
      <c r="C16" s="396"/>
      <c r="D16" s="397"/>
      <c r="E16" s="396"/>
      <c r="F16" s="398"/>
      <c r="G16" s="396"/>
      <c r="H16" s="399"/>
      <c r="I16" s="396"/>
      <c r="J16" s="397"/>
      <c r="K16" s="562"/>
      <c r="L16" s="2873"/>
      <c r="M16" s="2867"/>
      <c r="N16" s="2867"/>
      <c r="O16" s="2867"/>
      <c r="P16" s="3665"/>
      <c r="Q16" s="1465"/>
      <c r="R16" s="700"/>
      <c r="S16" s="701"/>
      <c r="T16" s="700"/>
      <c r="U16" s="701"/>
      <c r="V16" s="700"/>
      <c r="W16" s="701"/>
      <c r="X16" s="1468"/>
      <c r="Y16" s="3620"/>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65"/>
      <c r="Q17" s="1465" t="str">
        <f>B17</f>
        <v>交通便捷度</v>
      </c>
      <c r="R17" s="700" t="s">
        <v>17</v>
      </c>
      <c r="S17" s="701">
        <f>F17</f>
        <v>100</v>
      </c>
      <c r="T17" s="700" t="s">
        <v>17</v>
      </c>
      <c r="U17" s="701">
        <f>H17</f>
        <v>100</v>
      </c>
      <c r="V17" s="700" t="s">
        <v>17</v>
      </c>
      <c r="W17" s="701">
        <f>J17</f>
        <v>100</v>
      </c>
      <c r="X17" s="1468"/>
      <c r="Y17" s="3620"/>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2873"/>
      <c r="M18" s="2867"/>
      <c r="N18" s="2867"/>
      <c r="O18" s="2867"/>
      <c r="P18" s="3665"/>
      <c r="Q18" s="1465"/>
      <c r="R18" s="700"/>
      <c r="S18" s="701"/>
      <c r="T18" s="700"/>
      <c r="U18" s="701"/>
      <c r="V18" s="700"/>
      <c r="W18" s="701"/>
      <c r="X18" s="1468"/>
      <c r="Y18" s="3620"/>
      <c r="Z18" s="1469"/>
      <c r="AA18" s="1466">
        <v>1</v>
      </c>
      <c r="AB18" s="1466">
        <v>1</v>
      </c>
      <c r="AC18" s="1466">
        <v>1</v>
      </c>
    </row>
    <row r="19" spans="1:29" ht="42">
      <c r="A19" s="377"/>
      <c r="B19" s="400" t="s">
        <v>2231</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65"/>
      <c r="Q19" s="1465" t="str">
        <f>B19</f>
        <v>公共配套设施</v>
      </c>
      <c r="R19" s="700" t="s">
        <v>17</v>
      </c>
      <c r="S19" s="701">
        <f>F19</f>
        <v>100</v>
      </c>
      <c r="T19" s="700" t="s">
        <v>17</v>
      </c>
      <c r="U19" s="701">
        <f>H19</f>
        <v>100</v>
      </c>
      <c r="V19" s="700" t="s">
        <v>17</v>
      </c>
      <c r="W19" s="701">
        <f>J19</f>
        <v>100</v>
      </c>
      <c r="X19" s="1468"/>
      <c r="Y19" s="3620"/>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2873"/>
      <c r="M20" s="2867"/>
      <c r="N20" s="2867"/>
      <c r="O20" s="2867"/>
      <c r="P20" s="3665"/>
      <c r="Q20" s="1465"/>
      <c r="R20" s="700"/>
      <c r="S20" s="701"/>
      <c r="T20" s="700"/>
      <c r="U20" s="701"/>
      <c r="V20" s="700"/>
      <c r="W20" s="701"/>
      <c r="X20" s="1468"/>
      <c r="Y20" s="3620"/>
      <c r="Z20" s="1469"/>
      <c r="AA20" s="1466">
        <v>1</v>
      </c>
      <c r="AB20" s="1466">
        <v>1</v>
      </c>
      <c r="AC20" s="1466">
        <v>1</v>
      </c>
    </row>
    <row r="21" spans="1:29" ht="15.5">
      <c r="A21" s="377"/>
      <c r="B21" s="1225" t="s">
        <v>2232</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65"/>
      <c r="Q21" s="1465" t="str">
        <f>B21</f>
        <v>基础设施水平</v>
      </c>
      <c r="R21" s="700" t="s">
        <v>17</v>
      </c>
      <c r="S21" s="701">
        <f>F21</f>
        <v>100</v>
      </c>
      <c r="T21" s="700" t="s">
        <v>17</v>
      </c>
      <c r="U21" s="701">
        <f>H21</f>
        <v>100</v>
      </c>
      <c r="V21" s="700" t="s">
        <v>17</v>
      </c>
      <c r="W21" s="701">
        <f>J21</f>
        <v>100</v>
      </c>
      <c r="X21" s="1468"/>
      <c r="Y21" s="3620"/>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2873"/>
      <c r="M22" s="2867"/>
      <c r="N22" s="2867"/>
      <c r="O22" s="2867"/>
      <c r="P22" s="3665"/>
      <c r="Q22" s="1465"/>
      <c r="R22" s="700"/>
      <c r="S22" s="701"/>
      <c r="T22" s="700"/>
      <c r="U22" s="701"/>
      <c r="V22" s="700"/>
      <c r="W22" s="701"/>
      <c r="X22" s="1468"/>
      <c r="Y22" s="3620"/>
      <c r="Z22" s="1469"/>
      <c r="AA22" s="1466">
        <v>1</v>
      </c>
      <c r="AB22" s="1466">
        <v>1</v>
      </c>
      <c r="AC22" s="1466">
        <v>1</v>
      </c>
    </row>
    <row r="23" spans="1:29" ht="98">
      <c r="A23" s="377"/>
      <c r="B23" s="400" t="s">
        <v>1703</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65"/>
      <c r="Q23" s="1465" t="str">
        <f>B23</f>
        <v>自然及人文环境</v>
      </c>
      <c r="R23" s="700" t="s">
        <v>17</v>
      </c>
      <c r="S23" s="701">
        <f>F23</f>
        <v>100</v>
      </c>
      <c r="T23" s="700" t="s">
        <v>17</v>
      </c>
      <c r="U23" s="701">
        <f>H23</f>
        <v>100</v>
      </c>
      <c r="V23" s="700" t="s">
        <v>17</v>
      </c>
      <c r="W23" s="701">
        <f>J23</f>
        <v>100</v>
      </c>
      <c r="X23" s="1468"/>
      <c r="Y23" s="3620"/>
      <c r="Z23" s="1469" t="str">
        <f>Q23</f>
        <v>自然及人文环境</v>
      </c>
      <c r="AA23" s="1466">
        <f t="shared" si="3"/>
        <v>1</v>
      </c>
      <c r="AB23" s="1466">
        <f t="shared" si="4"/>
        <v>1</v>
      </c>
      <c r="AC23" s="1466">
        <f t="shared" si="5"/>
        <v>1</v>
      </c>
    </row>
    <row r="24" spans="1:29" ht="15.5">
      <c r="A24" s="377"/>
      <c r="B24" s="405"/>
      <c r="C24" s="396"/>
      <c r="D24" s="397"/>
      <c r="E24" s="2012"/>
      <c r="F24" s="398"/>
      <c r="G24" s="2011"/>
      <c r="H24" s="397"/>
      <c r="I24" s="2012"/>
      <c r="J24" s="397"/>
      <c r="K24" s="562"/>
      <c r="L24" s="2873"/>
      <c r="M24" s="2867"/>
      <c r="N24" s="2867"/>
      <c r="O24" s="2867"/>
      <c r="P24" s="3665"/>
      <c r="Q24" s="1465"/>
      <c r="R24" s="700"/>
      <c r="S24" s="701"/>
      <c r="T24" s="700"/>
      <c r="U24" s="701"/>
      <c r="V24" s="700"/>
      <c r="W24" s="701"/>
      <c r="X24" s="1468"/>
      <c r="Y24" s="3620"/>
      <c r="Z24" s="1469"/>
      <c r="AA24" s="1466">
        <v>1</v>
      </c>
      <c r="AB24" s="1466">
        <v>1</v>
      </c>
      <c r="AC24" s="1466">
        <v>1</v>
      </c>
    </row>
    <row r="25" spans="1:29" ht="15.5">
      <c r="A25" s="377"/>
      <c r="B25" s="371" t="s">
        <v>2233</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65"/>
      <c r="Q25" s="1465" t="str">
        <f t="shared" ref="Q25:Q46" si="11">B25</f>
        <v>临街状况</v>
      </c>
      <c r="R25" s="700" t="s">
        <v>17</v>
      </c>
      <c r="S25" s="701">
        <f>F25</f>
        <v>100</v>
      </c>
      <c r="T25" s="700" t="s">
        <v>17</v>
      </c>
      <c r="U25" s="701">
        <f>H25</f>
        <v>100</v>
      </c>
      <c r="V25" s="700" t="s">
        <v>17</v>
      </c>
      <c r="W25" s="701">
        <f>J25</f>
        <v>100</v>
      </c>
      <c r="X25" s="1468"/>
      <c r="Y25" s="3620"/>
      <c r="Z25" s="1469" t="str">
        <f>Q25</f>
        <v>临街状况</v>
      </c>
      <c r="AA25" s="1466">
        <f t="shared" si="3"/>
        <v>1</v>
      </c>
      <c r="AB25" s="1466">
        <f t="shared" si="4"/>
        <v>1</v>
      </c>
      <c r="AC25" s="1466">
        <f t="shared" si="5"/>
        <v>1</v>
      </c>
    </row>
    <row r="26" spans="1:29" ht="15.5">
      <c r="A26" s="377"/>
      <c r="B26" s="1227" t="s">
        <v>2234</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65"/>
      <c r="Q26" s="1465" t="str">
        <f t="shared" si="11"/>
        <v>平面位置/可视性</v>
      </c>
      <c r="R26" s="700" t="s">
        <v>17</v>
      </c>
      <c r="S26" s="701">
        <f>F26</f>
        <v>100</v>
      </c>
      <c r="T26" s="700" t="s">
        <v>17</v>
      </c>
      <c r="U26" s="701">
        <f>H26</f>
        <v>100</v>
      </c>
      <c r="V26" s="700" t="s">
        <v>17</v>
      </c>
      <c r="W26" s="701">
        <f>J26</f>
        <v>100</v>
      </c>
      <c r="X26" s="1468"/>
      <c r="Y26" s="3620"/>
      <c r="Z26" s="1469" t="str">
        <f>Q26</f>
        <v>平面位置/可视性</v>
      </c>
      <c r="AA26" s="1466">
        <f t="shared" si="3"/>
        <v>1</v>
      </c>
      <c r="AB26" s="1466">
        <f t="shared" si="4"/>
        <v>1</v>
      </c>
      <c r="AC26" s="1466">
        <f t="shared" si="5"/>
        <v>1</v>
      </c>
    </row>
    <row r="27" spans="1:29" s="110" customFormat="1" ht="15.5">
      <c r="A27" s="380"/>
      <c r="B27" s="400" t="s">
        <v>2235</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65"/>
      <c r="Q27" s="1456" t="str">
        <f t="shared" si="11"/>
        <v>人流量</v>
      </c>
      <c r="R27" s="696" t="s">
        <v>17</v>
      </c>
      <c r="S27" s="697">
        <f>F27</f>
        <v>100</v>
      </c>
      <c r="T27" s="696" t="s">
        <v>17</v>
      </c>
      <c r="U27" s="697">
        <f>H27</f>
        <v>100</v>
      </c>
      <c r="V27" s="696" t="s">
        <v>17</v>
      </c>
      <c r="W27" s="697">
        <f>J27</f>
        <v>100</v>
      </c>
      <c r="X27" s="698"/>
      <c r="Y27" s="3620"/>
      <c r="Z27" s="55" t="str">
        <f>Q27</f>
        <v>人流量</v>
      </c>
      <c r="AA27" s="1466">
        <f>D27/F27</f>
        <v>1</v>
      </c>
      <c r="AB27" s="1466">
        <f>D27/H27</f>
        <v>1</v>
      </c>
      <c r="AC27" s="1466">
        <f>D27/J27</f>
        <v>1</v>
      </c>
    </row>
    <row r="28" spans="1:29" ht="15.5">
      <c r="A28" s="377"/>
      <c r="B28" s="371" t="s">
        <v>2236</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65"/>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620"/>
      <c r="Z28" s="1469" t="str">
        <f t="shared" ref="Z28:Z46" si="15">Q28</f>
        <v>楼层</v>
      </c>
      <c r="AA28" s="1466">
        <f t="shared" si="3"/>
        <v>1</v>
      </c>
      <c r="AB28" s="1466">
        <f t="shared" si="4"/>
        <v>1</v>
      </c>
      <c r="AC28" s="1466">
        <f t="shared" si="5"/>
        <v>1</v>
      </c>
    </row>
    <row r="29" spans="1:29" ht="15.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65"/>
      <c r="Q29" s="1465">
        <f t="shared" si="11"/>
        <v>111</v>
      </c>
      <c r="R29" s="700" t="s">
        <v>17</v>
      </c>
      <c r="S29" s="701">
        <f t="shared" si="12"/>
        <v>100</v>
      </c>
      <c r="T29" s="700" t="s">
        <v>17</v>
      </c>
      <c r="U29" s="701">
        <f t="shared" si="13"/>
        <v>100</v>
      </c>
      <c r="V29" s="700" t="s">
        <v>17</v>
      </c>
      <c r="W29" s="701">
        <f t="shared" si="14"/>
        <v>100</v>
      </c>
      <c r="X29" s="1468"/>
      <c r="Y29" s="3620"/>
      <c r="Z29" s="1469">
        <f t="shared" si="15"/>
        <v>111</v>
      </c>
      <c r="AA29" s="1466">
        <f t="shared" si="3"/>
        <v>1</v>
      </c>
      <c r="AB29" s="1466">
        <f t="shared" si="4"/>
        <v>1</v>
      </c>
      <c r="AC29" s="1466">
        <f t="shared" si="5"/>
        <v>1</v>
      </c>
    </row>
    <row r="30" spans="1:29" ht="15.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65"/>
      <c r="Q30" s="1465">
        <f t="shared" si="11"/>
        <v>111</v>
      </c>
      <c r="R30" s="700" t="s">
        <v>17</v>
      </c>
      <c r="S30" s="701">
        <f t="shared" si="12"/>
        <v>100</v>
      </c>
      <c r="T30" s="700" t="s">
        <v>17</v>
      </c>
      <c r="U30" s="701">
        <f t="shared" si="13"/>
        <v>100</v>
      </c>
      <c r="V30" s="700" t="s">
        <v>17</v>
      </c>
      <c r="W30" s="701">
        <f t="shared" si="14"/>
        <v>100</v>
      </c>
      <c r="X30" s="1468"/>
      <c r="Y30" s="3620"/>
      <c r="Z30" s="1469">
        <f t="shared" si="15"/>
        <v>111</v>
      </c>
      <c r="AA30" s="1466">
        <f t="shared" si="3"/>
        <v>1</v>
      </c>
      <c r="AB30" s="1466">
        <f t="shared" si="4"/>
        <v>1</v>
      </c>
      <c r="AC30" s="1466">
        <f t="shared" si="5"/>
        <v>1</v>
      </c>
    </row>
    <row r="31" spans="1:29" ht="16"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65"/>
      <c r="Q31" s="1465">
        <f t="shared" si="11"/>
        <v>111</v>
      </c>
      <c r="R31" s="700" t="s">
        <v>17</v>
      </c>
      <c r="S31" s="701">
        <f t="shared" si="12"/>
        <v>100</v>
      </c>
      <c r="T31" s="700" t="s">
        <v>17</v>
      </c>
      <c r="U31" s="701">
        <f t="shared" si="13"/>
        <v>100</v>
      </c>
      <c r="V31" s="700" t="s">
        <v>17</v>
      </c>
      <c r="W31" s="701">
        <f t="shared" si="14"/>
        <v>100</v>
      </c>
      <c r="X31" s="1468"/>
      <c r="Y31" s="3620"/>
      <c r="Z31" s="1469">
        <f t="shared" si="15"/>
        <v>111</v>
      </c>
      <c r="AA31" s="1466">
        <f t="shared" si="3"/>
        <v>1</v>
      </c>
      <c r="AB31" s="1466">
        <f t="shared" si="4"/>
        <v>1</v>
      </c>
      <c r="AC31" s="1466">
        <f t="shared" si="5"/>
        <v>1</v>
      </c>
    </row>
    <row r="32" spans="1:29" ht="15.5">
      <c r="A32" s="389" t="s">
        <v>2140</v>
      </c>
      <c r="B32" s="67" t="s">
        <v>2237</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60" t="s">
        <v>2142</v>
      </c>
      <c r="Q32" s="1465" t="str">
        <f t="shared" si="11"/>
        <v>商业类型</v>
      </c>
      <c r="R32" s="700" t="s">
        <v>17</v>
      </c>
      <c r="S32" s="701">
        <f t="shared" si="12"/>
        <v>100</v>
      </c>
      <c r="T32" s="700" t="s">
        <v>17</v>
      </c>
      <c r="U32" s="701">
        <f t="shared" si="13"/>
        <v>100</v>
      </c>
      <c r="V32" s="700" t="s">
        <v>17</v>
      </c>
      <c r="W32" s="701">
        <f t="shared" si="14"/>
        <v>100</v>
      </c>
      <c r="X32" s="1468"/>
      <c r="Y32" s="3622" t="s">
        <v>2142</v>
      </c>
      <c r="Z32" s="1469" t="str">
        <f t="shared" si="15"/>
        <v>商业类型</v>
      </c>
      <c r="AA32" s="1466">
        <f t="shared" si="3"/>
        <v>1</v>
      </c>
      <c r="AB32" s="1466">
        <f t="shared" si="4"/>
        <v>1</v>
      </c>
      <c r="AC32" s="1466">
        <f t="shared" si="5"/>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61"/>
      <c r="Q33" s="702" t="str">
        <f t="shared" si="11"/>
        <v>项目建筑规模</v>
      </c>
      <c r="R33" s="703" t="s">
        <v>17</v>
      </c>
      <c r="S33" s="704" t="e">
        <f t="shared" si="12"/>
        <v>#N/A</v>
      </c>
      <c r="T33" s="703" t="s">
        <v>17</v>
      </c>
      <c r="U33" s="704" t="e">
        <f t="shared" si="13"/>
        <v>#N/A</v>
      </c>
      <c r="V33" s="703" t="s">
        <v>17</v>
      </c>
      <c r="W33" s="704" t="e">
        <f t="shared" si="14"/>
        <v>#N/A</v>
      </c>
      <c r="X33" s="705"/>
      <c r="Y33" s="3622"/>
      <c r="Z33" s="706" t="str">
        <f t="shared" si="15"/>
        <v>项目建筑规模</v>
      </c>
      <c r="AA33" s="1466" t="e">
        <f t="shared" si="3"/>
        <v>#N/A</v>
      </c>
      <c r="AB33" s="1466" t="e">
        <f t="shared" si="4"/>
        <v>#N/A</v>
      </c>
      <c r="AC33" s="1466" t="e">
        <f t="shared" si="5"/>
        <v>#N/A</v>
      </c>
    </row>
    <row r="34" spans="1:29" ht="15.5">
      <c r="A34" s="421"/>
      <c r="B34" s="371" t="s">
        <v>2144</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61"/>
      <c r="Q34" s="1465" t="str">
        <f t="shared" si="11"/>
        <v>建筑结构</v>
      </c>
      <c r="R34" s="700" t="s">
        <v>17</v>
      </c>
      <c r="S34" s="701">
        <f t="shared" si="12"/>
        <v>100</v>
      </c>
      <c r="T34" s="700" t="s">
        <v>17</v>
      </c>
      <c r="U34" s="701">
        <f t="shared" si="13"/>
        <v>100</v>
      </c>
      <c r="V34" s="700" t="s">
        <v>17</v>
      </c>
      <c r="W34" s="701">
        <f t="shared" si="14"/>
        <v>100</v>
      </c>
      <c r="X34" s="1468"/>
      <c r="Y34" s="3622"/>
      <c r="Z34" s="1469" t="str">
        <f t="shared" si="15"/>
        <v>建筑结构</v>
      </c>
      <c r="AA34" s="1466">
        <f t="shared" si="3"/>
        <v>1</v>
      </c>
      <c r="AB34" s="1466">
        <f t="shared" si="4"/>
        <v>1</v>
      </c>
      <c r="AC34" s="1466">
        <f t="shared" si="5"/>
        <v>1</v>
      </c>
    </row>
    <row r="35" spans="1:29" ht="15.5">
      <c r="A35" s="421"/>
      <c r="B35" s="371" t="s">
        <v>2238</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61"/>
      <c r="Q35" s="1465" t="str">
        <f t="shared" si="11"/>
        <v>公共部分装修</v>
      </c>
      <c r="R35" s="700" t="s">
        <v>17</v>
      </c>
      <c r="S35" s="701">
        <f t="shared" si="12"/>
        <v>100</v>
      </c>
      <c r="T35" s="700" t="s">
        <v>17</v>
      </c>
      <c r="U35" s="701">
        <f t="shared" si="13"/>
        <v>100</v>
      </c>
      <c r="V35" s="700" t="s">
        <v>17</v>
      </c>
      <c r="W35" s="701">
        <f t="shared" si="14"/>
        <v>100</v>
      </c>
      <c r="X35" s="1468"/>
      <c r="Y35" s="3622"/>
      <c r="Z35" s="1469" t="str">
        <f t="shared" si="15"/>
        <v>公共部分装修</v>
      </c>
      <c r="AA35" s="1466">
        <f t="shared" si="3"/>
        <v>1</v>
      </c>
      <c r="AB35" s="1466">
        <f t="shared" si="4"/>
        <v>1</v>
      </c>
      <c r="AC35" s="1466">
        <f t="shared" si="5"/>
        <v>1</v>
      </c>
    </row>
    <row r="36" spans="1:29" ht="15.5">
      <c r="A36" s="421"/>
      <c r="B36" s="371" t="s">
        <v>2239</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61"/>
      <c r="Q36" s="1465" t="str">
        <f t="shared" si="11"/>
        <v>成新度</v>
      </c>
      <c r="R36" s="700" t="s">
        <v>17</v>
      </c>
      <c r="S36" s="701" t="e">
        <f t="shared" si="12"/>
        <v>#N/A</v>
      </c>
      <c r="T36" s="700" t="s">
        <v>17</v>
      </c>
      <c r="U36" s="701" t="e">
        <f t="shared" si="13"/>
        <v>#N/A</v>
      </c>
      <c r="V36" s="700" t="s">
        <v>17</v>
      </c>
      <c r="W36" s="701" t="e">
        <f t="shared" si="14"/>
        <v>#N/A</v>
      </c>
      <c r="X36" s="1468"/>
      <c r="Y36" s="3622"/>
      <c r="Z36" s="1469" t="str">
        <f t="shared" si="15"/>
        <v>成新度</v>
      </c>
      <c r="AA36" s="1466" t="e">
        <f t="shared" si="3"/>
        <v>#N/A</v>
      </c>
      <c r="AB36" s="1466" t="e">
        <f t="shared" si="4"/>
        <v>#N/A</v>
      </c>
      <c r="AC36" s="1466" t="e">
        <f t="shared" si="5"/>
        <v>#N/A</v>
      </c>
    </row>
    <row r="37" spans="1:29" s="110" customFormat="1" ht="15.5">
      <c r="A37" s="422"/>
      <c r="B37" s="371" t="s">
        <v>2240</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61"/>
      <c r="Q37" s="1456" t="str">
        <f t="shared" si="11"/>
        <v>市政基础设施</v>
      </c>
      <c r="R37" s="696" t="s">
        <v>17</v>
      </c>
      <c r="S37" s="697">
        <f t="shared" si="12"/>
        <v>100</v>
      </c>
      <c r="T37" s="696" t="s">
        <v>17</v>
      </c>
      <c r="U37" s="697">
        <f t="shared" si="13"/>
        <v>100</v>
      </c>
      <c r="V37" s="696" t="s">
        <v>17</v>
      </c>
      <c r="W37" s="697">
        <f t="shared" si="14"/>
        <v>100</v>
      </c>
      <c r="X37" s="698"/>
      <c r="Y37" s="3622"/>
      <c r="Z37" s="55" t="str">
        <f t="shared" si="15"/>
        <v>市政基础设施</v>
      </c>
      <c r="AA37" s="699">
        <f t="shared" si="3"/>
        <v>1</v>
      </c>
      <c r="AB37" s="699">
        <f t="shared" si="4"/>
        <v>1</v>
      </c>
      <c r="AC37" s="699">
        <f t="shared" si="5"/>
        <v>1</v>
      </c>
    </row>
    <row r="38" spans="1:29" ht="15.5">
      <c r="A38" s="421"/>
      <c r="B38" s="371" t="s">
        <v>2241</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61" t="s">
        <v>2142</v>
      </c>
      <c r="Q38" s="1465" t="str">
        <f t="shared" si="11"/>
        <v>业态</v>
      </c>
      <c r="R38" s="700" t="s">
        <v>17</v>
      </c>
      <c r="S38" s="701">
        <f t="shared" si="12"/>
        <v>100</v>
      </c>
      <c r="T38" s="700" t="s">
        <v>17</v>
      </c>
      <c r="U38" s="701">
        <f t="shared" si="13"/>
        <v>100</v>
      </c>
      <c r="V38" s="700" t="s">
        <v>17</v>
      </c>
      <c r="W38" s="701">
        <f t="shared" si="14"/>
        <v>100</v>
      </c>
      <c r="X38" s="1468"/>
      <c r="Y38" s="3622" t="s">
        <v>2142</v>
      </c>
      <c r="Z38" s="1469" t="str">
        <f t="shared" si="15"/>
        <v>业态</v>
      </c>
      <c r="AA38" s="1466">
        <f t="shared" si="3"/>
        <v>1</v>
      </c>
      <c r="AB38" s="1466">
        <f t="shared" si="4"/>
        <v>1</v>
      </c>
      <c r="AC38" s="1466">
        <f t="shared" si="5"/>
        <v>1</v>
      </c>
    </row>
    <row r="39" spans="1:29" ht="15.5">
      <c r="A39" s="421"/>
      <c r="B39" s="371" t="s">
        <v>2242</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61"/>
      <c r="Q39" s="1465" t="str">
        <f t="shared" si="11"/>
        <v>层高</v>
      </c>
      <c r="R39" s="700" t="s">
        <v>17</v>
      </c>
      <c r="S39" s="701">
        <f t="shared" si="12"/>
        <v>100</v>
      </c>
      <c r="T39" s="700" t="s">
        <v>17</v>
      </c>
      <c r="U39" s="701">
        <f t="shared" si="13"/>
        <v>100</v>
      </c>
      <c r="V39" s="700" t="s">
        <v>17</v>
      </c>
      <c r="W39" s="701">
        <f t="shared" si="14"/>
        <v>100</v>
      </c>
      <c r="X39" s="1468"/>
      <c r="Y39" s="3622"/>
      <c r="Z39" s="1469" t="str">
        <f t="shared" si="15"/>
        <v>层高</v>
      </c>
      <c r="AA39" s="1466">
        <f t="shared" si="3"/>
        <v>1</v>
      </c>
      <c r="AB39" s="1466">
        <f t="shared" si="4"/>
        <v>1</v>
      </c>
      <c r="AC39" s="1466">
        <f t="shared" si="5"/>
        <v>1</v>
      </c>
    </row>
    <row r="40" spans="1:29" ht="15.5">
      <c r="A40" s="421"/>
      <c r="B40" s="371" t="s">
        <v>2243</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61"/>
      <c r="Q40" s="1465" t="str">
        <f t="shared" si="11"/>
        <v>单套建筑面积</v>
      </c>
      <c r="R40" s="700" t="s">
        <v>17</v>
      </c>
      <c r="S40" s="701">
        <f t="shared" si="12"/>
        <v>100</v>
      </c>
      <c r="T40" s="700" t="s">
        <v>17</v>
      </c>
      <c r="U40" s="701">
        <f t="shared" si="13"/>
        <v>100</v>
      </c>
      <c r="V40" s="700" t="s">
        <v>17</v>
      </c>
      <c r="W40" s="701">
        <f t="shared" si="14"/>
        <v>100</v>
      </c>
      <c r="X40" s="1468"/>
      <c r="Y40" s="3622"/>
      <c r="Z40" s="1469" t="str">
        <f t="shared" si="15"/>
        <v>单套建筑面积</v>
      </c>
      <c r="AA40" s="1466">
        <f t="shared" si="3"/>
        <v>1</v>
      </c>
      <c r="AB40" s="1466">
        <f t="shared" si="4"/>
        <v>1</v>
      </c>
      <c r="AC40" s="1466">
        <f t="shared" si="5"/>
        <v>1</v>
      </c>
    </row>
    <row r="41" spans="1:29" s="420" customFormat="1" ht="15.5">
      <c r="A41" s="417"/>
      <c r="B41" s="1467" t="s">
        <v>2244</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61"/>
      <c r="Q41" s="702" t="str">
        <f t="shared" si="11"/>
        <v>进深比</v>
      </c>
      <c r="R41" s="703" t="s">
        <v>17</v>
      </c>
      <c r="S41" s="704">
        <f t="shared" si="12"/>
        <v>100</v>
      </c>
      <c r="T41" s="703" t="s">
        <v>17</v>
      </c>
      <c r="U41" s="704">
        <f t="shared" si="13"/>
        <v>100</v>
      </c>
      <c r="V41" s="703" t="s">
        <v>17</v>
      </c>
      <c r="W41" s="704">
        <f t="shared" si="14"/>
        <v>100</v>
      </c>
      <c r="X41" s="705"/>
      <c r="Y41" s="3622"/>
      <c r="Z41" s="706" t="str">
        <f t="shared" si="15"/>
        <v>进深比</v>
      </c>
      <c r="AA41" s="1466">
        <f t="shared" si="3"/>
        <v>1</v>
      </c>
      <c r="AB41" s="1466">
        <f t="shared" si="4"/>
        <v>1</v>
      </c>
      <c r="AC41" s="1466">
        <f t="shared" si="5"/>
        <v>1</v>
      </c>
    </row>
    <row r="42" spans="1:29" ht="15.5">
      <c r="A42" s="421"/>
      <c r="B42" s="371" t="s">
        <v>2245</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61"/>
      <c r="Q42" s="1465" t="str">
        <f t="shared" si="11"/>
        <v>内部装修</v>
      </c>
      <c r="R42" s="700" t="s">
        <v>17</v>
      </c>
      <c r="S42" s="701">
        <f t="shared" si="12"/>
        <v>100</v>
      </c>
      <c r="T42" s="700" t="s">
        <v>17</v>
      </c>
      <c r="U42" s="701">
        <f t="shared" si="13"/>
        <v>100</v>
      </c>
      <c r="V42" s="700" t="s">
        <v>17</v>
      </c>
      <c r="W42" s="701">
        <f t="shared" si="14"/>
        <v>100</v>
      </c>
      <c r="X42" s="1468"/>
      <c r="Y42" s="3622"/>
      <c r="Z42" s="1469" t="str">
        <f t="shared" si="15"/>
        <v>内部装修</v>
      </c>
      <c r="AA42" s="1466">
        <f t="shared" si="3"/>
        <v>1</v>
      </c>
      <c r="AB42" s="1466">
        <f t="shared" si="4"/>
        <v>1</v>
      </c>
      <c r="AC42" s="1466">
        <f t="shared" si="5"/>
        <v>1</v>
      </c>
    </row>
    <row r="43" spans="1:29" ht="28">
      <c r="A43" s="421"/>
      <c r="B43" s="371" t="s">
        <v>2153</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61"/>
      <c r="Q43" s="1465" t="str">
        <f t="shared" si="11"/>
        <v>内部装修维护情况</v>
      </c>
      <c r="R43" s="700" t="s">
        <v>17</v>
      </c>
      <c r="S43" s="701">
        <f t="shared" si="12"/>
        <v>100</v>
      </c>
      <c r="T43" s="700" t="s">
        <v>17</v>
      </c>
      <c r="U43" s="701">
        <f t="shared" si="13"/>
        <v>100</v>
      </c>
      <c r="V43" s="700" t="s">
        <v>17</v>
      </c>
      <c r="W43" s="701">
        <f t="shared" si="14"/>
        <v>100</v>
      </c>
      <c r="X43" s="1468"/>
      <c r="Y43" s="3622"/>
      <c r="Z43" s="1469" t="str">
        <f t="shared" si="15"/>
        <v>内部装修维护情况</v>
      </c>
      <c r="AA43" s="1466">
        <f t="shared" si="3"/>
        <v>1</v>
      </c>
      <c r="AB43" s="1466">
        <f t="shared" si="4"/>
        <v>1</v>
      </c>
      <c r="AC43" s="1466">
        <f t="shared" si="5"/>
        <v>1</v>
      </c>
    </row>
    <row r="44" spans="1:29" s="110" customFormat="1" ht="15.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61"/>
      <c r="Q44" s="1456">
        <f t="shared" si="11"/>
        <v>111</v>
      </c>
      <c r="R44" s="696" t="s">
        <v>17</v>
      </c>
      <c r="S44" s="697">
        <f t="shared" si="12"/>
        <v>100</v>
      </c>
      <c r="T44" s="696" t="s">
        <v>17</v>
      </c>
      <c r="U44" s="697">
        <f t="shared" si="13"/>
        <v>100</v>
      </c>
      <c r="V44" s="696" t="s">
        <v>17</v>
      </c>
      <c r="W44" s="697">
        <f t="shared" si="14"/>
        <v>100</v>
      </c>
      <c r="X44" s="698"/>
      <c r="Y44" s="3622"/>
      <c r="Z44" s="55">
        <f t="shared" si="15"/>
        <v>111</v>
      </c>
      <c r="AA44" s="699">
        <f t="shared" si="3"/>
        <v>1</v>
      </c>
      <c r="AB44" s="699">
        <f t="shared" si="4"/>
        <v>1</v>
      </c>
      <c r="AC44" s="699">
        <f t="shared" si="5"/>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61"/>
      <c r="Q45" s="1465">
        <f t="shared" si="11"/>
        <v>111</v>
      </c>
      <c r="R45" s="700" t="s">
        <v>17</v>
      </c>
      <c r="S45" s="701">
        <f t="shared" si="12"/>
        <v>100</v>
      </c>
      <c r="T45" s="700" t="s">
        <v>17</v>
      </c>
      <c r="U45" s="701">
        <f t="shared" si="13"/>
        <v>100</v>
      </c>
      <c r="V45" s="700" t="s">
        <v>17</v>
      </c>
      <c r="W45" s="701">
        <f t="shared" si="14"/>
        <v>100</v>
      </c>
      <c r="X45" s="1468"/>
      <c r="Y45" s="3622"/>
      <c r="Z45" s="1469">
        <f t="shared" si="15"/>
        <v>111</v>
      </c>
      <c r="AA45" s="1466">
        <f t="shared" si="3"/>
        <v>1</v>
      </c>
      <c r="AB45" s="1466">
        <f t="shared" si="4"/>
        <v>1</v>
      </c>
      <c r="AC45" s="1466">
        <f t="shared" si="5"/>
        <v>1</v>
      </c>
    </row>
    <row r="46" spans="1:29" ht="16"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62"/>
      <c r="Q46" s="1465">
        <f t="shared" si="11"/>
        <v>111</v>
      </c>
      <c r="R46" s="700" t="s">
        <v>17</v>
      </c>
      <c r="S46" s="701">
        <f t="shared" si="12"/>
        <v>100</v>
      </c>
      <c r="T46" s="700" t="s">
        <v>17</v>
      </c>
      <c r="U46" s="701">
        <f t="shared" si="13"/>
        <v>100</v>
      </c>
      <c r="V46" s="700" t="s">
        <v>17</v>
      </c>
      <c r="W46" s="701">
        <f t="shared" si="14"/>
        <v>100</v>
      </c>
      <c r="X46" s="1468"/>
      <c r="Y46" s="3663"/>
      <c r="Z46" s="1469">
        <f t="shared" si="15"/>
        <v>111</v>
      </c>
      <c r="AA46" s="1466">
        <f t="shared" si="3"/>
        <v>1</v>
      </c>
      <c r="AB46" s="1466">
        <f t="shared" si="4"/>
        <v>1</v>
      </c>
      <c r="AC46" s="1466">
        <f t="shared" si="5"/>
        <v>1</v>
      </c>
    </row>
    <row r="47" spans="1:29">
      <c r="A47" s="428" t="s">
        <v>2154</v>
      </c>
      <c r="B47" s="429"/>
      <c r="C47" s="1248" t="s">
        <v>1</v>
      </c>
      <c r="D47" s="1249"/>
      <c r="E47" s="1250"/>
      <c r="F47" s="1251"/>
      <c r="G47" s="1252"/>
      <c r="H47" s="1253"/>
      <c r="I47" s="1250"/>
      <c r="J47" s="1253"/>
      <c r="K47" s="709"/>
      <c r="L47" s="2875"/>
      <c r="M47" s="2876"/>
      <c r="N47" s="2867"/>
      <c r="O47" s="2876"/>
      <c r="P47" s="3604" t="str">
        <f>A47</f>
        <v>成交单价（元/平方米）</v>
      </c>
      <c r="Q47" s="3604"/>
      <c r="R47" s="3617">
        <f>E47</f>
        <v>0</v>
      </c>
      <c r="S47" s="3617"/>
      <c r="T47" s="3617">
        <f>G47</f>
        <v>0</v>
      </c>
      <c r="U47" s="3617"/>
      <c r="V47" s="3617">
        <f>I47</f>
        <v>0</v>
      </c>
      <c r="W47" s="3617"/>
      <c r="X47" s="685"/>
      <c r="Y47" s="707"/>
      <c r="Z47" s="685"/>
      <c r="AA47" s="685"/>
      <c r="AB47" s="685"/>
      <c r="AC47" s="685"/>
    </row>
    <row r="48" spans="1:29" ht="14.5" thickBot="1">
      <c r="A48" s="435" t="s">
        <v>2246</v>
      </c>
      <c r="B48" s="436"/>
      <c r="C48" s="1254" t="e">
        <f>R49</f>
        <v>#DIV/0!</v>
      </c>
      <c r="D48" s="2466" t="s">
        <v>2634</v>
      </c>
      <c r="E48" s="1255" t="e">
        <f>R48</f>
        <v>#DIV/0!</v>
      </c>
      <c r="F48" s="2467"/>
      <c r="G48" s="1254" t="e">
        <f>T48</f>
        <v>#DIV/0!</v>
      </c>
      <c r="H48" s="2467"/>
      <c r="I48" s="1255" t="e">
        <f>V48</f>
        <v>#DIV/0!</v>
      </c>
      <c r="J48" s="2467"/>
      <c r="K48" s="2469">
        <f>F48+H48+J48</f>
        <v>0</v>
      </c>
      <c r="L48" s="2875"/>
      <c r="M48" s="2876"/>
      <c r="N48" s="2867"/>
      <c r="O48" s="2876"/>
      <c r="P48" s="3604" t="str">
        <f>A48</f>
        <v>比较价值（元/平方米）</v>
      </c>
      <c r="Q48" s="3604"/>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5"/>
      <c r="Y48" s="685"/>
      <c r="Z48" s="685"/>
      <c r="AA48" s="685"/>
      <c r="AB48" s="685"/>
      <c r="AC48" s="685"/>
    </row>
    <row r="49" spans="1:29" ht="14.5" thickBot="1">
      <c r="A49" s="439" t="s">
        <v>2247</v>
      </c>
      <c r="B49" s="440"/>
      <c r="C49" s="1257" t="e">
        <f>R49</f>
        <v>#DIV/0!</v>
      </c>
      <c r="D49" s="1257"/>
      <c r="E49" s="1257"/>
      <c r="F49" s="1257"/>
      <c r="G49" s="1257"/>
      <c r="H49" s="1257"/>
      <c r="I49" s="1257"/>
      <c r="J49" s="1257"/>
      <c r="K49" s="710"/>
      <c r="L49" s="2875"/>
      <c r="M49" s="2876"/>
      <c r="N49" s="2867"/>
      <c r="O49" s="2876"/>
      <c r="P49" s="3624" t="str">
        <f>A49</f>
        <v>估价对象XX用房的比较价值（楼面单价，元/平方米）</v>
      </c>
      <c r="Q49" s="3625"/>
      <c r="R49" s="3658" t="e">
        <f>IF(F1="售价",ROUND(IF(D48="简单平均",AVERAGE(R48:V48),R48*F48+T48*H48+V48*J48),0),ROUND(IF(D48="简单平均",AVERAGE(R48:V48),R48*F48+T48*H48+V48*J48),1))</f>
        <v>#DIV/0!</v>
      </c>
      <c r="S49" s="3658"/>
      <c r="T49" s="3658"/>
      <c r="U49" s="3658"/>
      <c r="V49" s="3658"/>
      <c r="W49" s="3658"/>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2248</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2249</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2250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5" thickBot="1">
      <c r="A57" s="689" t="s">
        <v>2251</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c r="A58" s="452" t="s">
        <v>2125</v>
      </c>
      <c r="B58" s="453"/>
      <c r="C58" s="1277" t="str">
        <f>YEAR(C7)&amp;"-"&amp;MONTH(C7)</f>
        <v>2022-5</v>
      </c>
      <c r="D58" s="1278">
        <f>EDATE(C58,-1)</f>
        <v>44652</v>
      </c>
      <c r="E58" s="1278">
        <f t="shared" ref="E58:N58" si="16">EDATE(D58,-1)</f>
        <v>44621</v>
      </c>
      <c r="F58" s="1278">
        <f t="shared" si="16"/>
        <v>44593</v>
      </c>
      <c r="G58" s="1278">
        <f t="shared" si="16"/>
        <v>44562</v>
      </c>
      <c r="H58" s="1278">
        <f t="shared" si="16"/>
        <v>44531</v>
      </c>
      <c r="I58" s="1278">
        <f t="shared" si="16"/>
        <v>44501</v>
      </c>
      <c r="J58" s="1278">
        <f t="shared" si="16"/>
        <v>44470</v>
      </c>
      <c r="K58" s="1278">
        <f t="shared" si="16"/>
        <v>44440</v>
      </c>
      <c r="L58" s="1278">
        <f t="shared" si="16"/>
        <v>44409</v>
      </c>
      <c r="M58" s="1278">
        <f t="shared" si="16"/>
        <v>44378</v>
      </c>
      <c r="N58" s="1278">
        <f t="shared" si="16"/>
        <v>44348</v>
      </c>
      <c r="O58" s="1278">
        <f>EDATE(N58,-1)</f>
        <v>44317</v>
      </c>
      <c r="P58" s="2891"/>
      <c r="Q58" s="2892"/>
      <c r="R58" s="2892"/>
      <c r="S58" s="2892"/>
      <c r="T58" s="2892"/>
      <c r="U58" s="2892"/>
      <c r="V58" s="2892"/>
      <c r="W58" s="2892"/>
      <c r="X58" s="2892"/>
      <c r="Y58" s="2892"/>
      <c r="Z58" s="2892"/>
      <c r="AA58" s="2892"/>
      <c r="AB58" s="2892"/>
      <c r="AC58" s="2892"/>
    </row>
    <row r="59" spans="1:29" s="110" customFormat="1">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4.5" thickBot="1">
      <c r="A60" s="462" t="s">
        <v>2162</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c r="A61" s="468" t="s">
        <v>2127</v>
      </c>
      <c r="B61" s="457"/>
      <c r="C61" s="469" t="s">
        <v>2229</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4.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2165</v>
      </c>
      <c r="B63" s="475" t="s">
        <v>2131</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4.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8.5" thickTop="1">
      <c r="A65" s="481"/>
      <c r="B65" s="485" t="s">
        <v>2134</v>
      </c>
      <c r="C65" s="486" t="s">
        <v>2166</v>
      </c>
      <c r="D65" s="486" t="s">
        <v>2167</v>
      </c>
      <c r="E65" s="486" t="s">
        <v>2168</v>
      </c>
      <c r="F65" s="486" t="s">
        <v>2169</v>
      </c>
      <c r="G65" s="486" t="s">
        <v>2170</v>
      </c>
      <c r="H65" s="486" t="s">
        <v>2171</v>
      </c>
      <c r="I65" s="486" t="s">
        <v>2172</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4.5" thickTop="1">
      <c r="A67" s="481"/>
      <c r="B67" s="493" t="s">
        <v>2135</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4.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4.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4.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4.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4.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4.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2136</v>
      </c>
      <c r="B76" s="475" t="s">
        <v>2173</v>
      </c>
      <c r="C76" s="520" t="s">
        <v>2174</v>
      </c>
      <c r="D76" s="520" t="s">
        <v>2175</v>
      </c>
      <c r="E76" s="520" t="s">
        <v>2176</v>
      </c>
      <c r="F76" s="520" t="s">
        <v>2177</v>
      </c>
      <c r="G76" s="520" t="s">
        <v>2178</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4.5" thickTop="1">
      <c r="A78" s="481"/>
      <c r="B78" s="485" t="s">
        <v>2179</v>
      </c>
      <c r="C78" s="525" t="s">
        <v>2174</v>
      </c>
      <c r="D78" s="525" t="s">
        <v>2175</v>
      </c>
      <c r="E78" s="525" t="s">
        <v>2176</v>
      </c>
      <c r="F78" s="525" t="s">
        <v>2177</v>
      </c>
      <c r="G78" s="525" t="s">
        <v>2178</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4.5" thickTop="1">
      <c r="A80" s="481"/>
      <c r="B80" s="485" t="s">
        <v>2180</v>
      </c>
      <c r="C80" s="525" t="s">
        <v>2174</v>
      </c>
      <c r="D80" s="525" t="s">
        <v>2175</v>
      </c>
      <c r="E80" s="525" t="s">
        <v>2176</v>
      </c>
      <c r="F80" s="525" t="s">
        <v>2177</v>
      </c>
      <c r="G80" s="525" t="s">
        <v>2178</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4.5" thickTop="1">
      <c r="A82" s="481"/>
      <c r="B82" s="493" t="s">
        <v>2232</v>
      </c>
      <c r="C82" s="606" t="s">
        <v>2252</v>
      </c>
      <c r="D82" s="606" t="s">
        <v>2253</v>
      </c>
      <c r="E82" s="606" t="s">
        <v>2254</v>
      </c>
      <c r="F82" s="606" t="s">
        <v>2255</v>
      </c>
      <c r="G82" s="606" t="s">
        <v>2256</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4.5" thickTop="1">
      <c r="A84" s="481"/>
      <c r="B84" s="485" t="s">
        <v>2186</v>
      </c>
      <c r="C84" s="525" t="s">
        <v>2174</v>
      </c>
      <c r="D84" s="525" t="s">
        <v>2175</v>
      </c>
      <c r="E84" s="525" t="s">
        <v>2176</v>
      </c>
      <c r="F84" s="525" t="s">
        <v>2177</v>
      </c>
      <c r="G84" s="525" t="s">
        <v>2178</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4.5" thickTop="1">
      <c r="A86" s="526"/>
      <c r="B86" s="485" t="s">
        <v>2257</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4.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4.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4.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4.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4.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4.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4.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4.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4.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4.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4.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2140</v>
      </c>
      <c r="B100" s="475" t="s">
        <v>2258</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4.5" thickTop="1">
      <c r="A102" s="481"/>
      <c r="B102" s="485" t="s">
        <v>2190</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4.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4.5" thickTop="1">
      <c r="A105" s="546"/>
      <c r="B105" s="485" t="s">
        <v>2191</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4.5" thickTop="1">
      <c r="A107" s="546"/>
      <c r="B107" s="485" t="s">
        <v>2193</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4.5" thickTop="1">
      <c r="A109" s="546"/>
      <c r="B109" s="485" t="s">
        <v>1632</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4.5" thickTop="1">
      <c r="A112" s="540"/>
      <c r="B112" s="485" t="s">
        <v>2195</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4.5" thickTop="1">
      <c r="A114" s="546"/>
      <c r="B114" s="485" t="s">
        <v>2259</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4.5" thickTop="1">
      <c r="A116" s="546"/>
      <c r="B116" s="485" t="s">
        <v>2260</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4.5" thickTop="1">
      <c r="A118" s="546"/>
      <c r="B118" s="485" t="s">
        <v>2261</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4.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4.5" thickTop="1">
      <c r="A120" s="540"/>
      <c r="B120" s="485" t="s">
        <v>2262</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4.5" thickTop="1">
      <c r="A122" s="546"/>
      <c r="B122" s="485" t="s">
        <v>2197</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28.5" thickTop="1">
      <c r="A124" s="546"/>
      <c r="B124" s="485" t="s">
        <v>2198</v>
      </c>
      <c r="C124" s="525" t="s">
        <v>2174</v>
      </c>
      <c r="D124" s="525" t="s">
        <v>2175</v>
      </c>
      <c r="E124" s="525" t="s">
        <v>2176</v>
      </c>
      <c r="F124" s="525" t="s">
        <v>2177</v>
      </c>
      <c r="G124" s="525" t="s">
        <v>2178</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4.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4.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4.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4.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4.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4.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27</v>
      </c>
      <c r="D1" s="1861"/>
      <c r="E1" s="1861"/>
      <c r="F1" s="1863" t="s">
        <v>1705</v>
      </c>
      <c r="G1" s="1675" t="s">
        <v>3276</v>
      </c>
      <c r="H1" s="1864" t="str">
        <f>IF(G1="现房","——","估价对象范围")</f>
        <v>——</v>
      </c>
      <c r="I1" s="1865" t="s">
        <v>3588</v>
      </c>
    </row>
    <row r="2" spans="1:12" ht="21.75" customHeight="1" thickBot="1">
      <c r="A2" s="3560" t="str">
        <f>项目基本情况!S2</f>
        <v>北京市大兴区广茂大街19号院商业、办公、地下车库用房房地产房地产</v>
      </c>
      <c r="B2" s="3561"/>
      <c r="C2" s="3561"/>
      <c r="D2" s="3561"/>
      <c r="E2" s="3561"/>
      <c r="F2" s="3561"/>
      <c r="G2" s="3561"/>
      <c r="H2" s="3561"/>
      <c r="I2" s="3562"/>
    </row>
    <row r="3" spans="1:12" ht="13">
      <c r="A3" s="3564" t="s">
        <v>1706</v>
      </c>
      <c r="B3" s="3565"/>
      <c r="C3" s="3565"/>
      <c r="D3" s="3565"/>
      <c r="E3" s="3565"/>
      <c r="F3" s="3565"/>
      <c r="G3" s="3565"/>
      <c r="H3" s="3565"/>
      <c r="I3" s="3565"/>
    </row>
    <row r="4" spans="1:12" ht="14">
      <c r="A4" s="1868" t="s">
        <v>1707</v>
      </c>
      <c r="B4" s="1869" t="s">
        <v>1708</v>
      </c>
      <c r="C4" s="1870" t="s">
        <v>3656</v>
      </c>
      <c r="D4" s="1870" t="s">
        <v>3335</v>
      </c>
      <c r="E4" s="3569" t="s">
        <v>1709</v>
      </c>
      <c r="F4" s="3570"/>
      <c r="G4" s="3570"/>
      <c r="H4" s="3570"/>
      <c r="I4" s="3571"/>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3">
      <c r="A5" s="3510" t="s">
        <v>1710</v>
      </c>
      <c r="B5" s="3563">
        <v>25</v>
      </c>
      <c r="C5" s="3566"/>
      <c r="D5" s="3554"/>
      <c r="E5" s="126" t="s">
        <v>1711</v>
      </c>
      <c r="F5" s="1871"/>
      <c r="G5" s="1871"/>
      <c r="H5" s="1871"/>
      <c r="I5" s="1486"/>
    </row>
    <row r="6" spans="1:12" ht="13">
      <c r="A6" s="3510"/>
      <c r="B6" s="3563"/>
      <c r="C6" s="3568"/>
      <c r="D6" s="3554"/>
      <c r="E6" s="126" t="s">
        <v>1712</v>
      </c>
      <c r="F6" s="1871"/>
      <c r="G6" s="1871"/>
      <c r="H6" s="1871"/>
      <c r="I6" s="1486"/>
    </row>
    <row r="7" spans="1:12" ht="13">
      <c r="A7" s="3510"/>
      <c r="B7" s="3563"/>
      <c r="C7" s="3567"/>
      <c r="D7" s="3554"/>
      <c r="E7" s="126" t="s">
        <v>1713</v>
      </c>
      <c r="F7" s="1871"/>
      <c r="G7" s="1871"/>
      <c r="H7" s="1871"/>
      <c r="I7" s="1486"/>
    </row>
    <row r="8" spans="1:12" ht="13">
      <c r="A8" s="3510" t="s">
        <v>1714</v>
      </c>
      <c r="B8" s="3563">
        <v>15</v>
      </c>
      <c r="C8" s="3566"/>
      <c r="D8" s="3554"/>
      <c r="E8" s="126" t="s">
        <v>1715</v>
      </c>
      <c r="F8" s="1871"/>
      <c r="G8" s="1871"/>
      <c r="H8" s="1871"/>
      <c r="I8" s="1486"/>
    </row>
    <row r="9" spans="1:12" ht="13">
      <c r="A9" s="3510"/>
      <c r="B9" s="3563"/>
      <c r="C9" s="3567"/>
      <c r="D9" s="3554"/>
      <c r="E9" s="126" t="s">
        <v>1716</v>
      </c>
      <c r="F9" s="1871"/>
      <c r="G9" s="1871"/>
      <c r="H9" s="1871"/>
      <c r="I9" s="1486"/>
    </row>
    <row r="10" spans="1:12" ht="13">
      <c r="A10" s="3510" t="s">
        <v>1717</v>
      </c>
      <c r="B10" s="3563">
        <v>15</v>
      </c>
      <c r="C10" s="3566"/>
      <c r="D10" s="3554"/>
      <c r="E10" s="126" t="s">
        <v>1718</v>
      </c>
      <c r="F10" s="1871"/>
      <c r="G10" s="1871"/>
      <c r="H10" s="1871"/>
      <c r="I10" s="1486"/>
    </row>
    <row r="11" spans="1:12" ht="13">
      <c r="A11" s="3510"/>
      <c r="B11" s="3563"/>
      <c r="C11" s="3567"/>
      <c r="D11" s="3554"/>
      <c r="E11" s="126" t="s">
        <v>1719</v>
      </c>
      <c r="F11" s="1871"/>
      <c r="G11" s="1871"/>
      <c r="H11" s="1871"/>
      <c r="I11" s="1486"/>
    </row>
    <row r="12" spans="1:12" ht="13">
      <c r="A12" s="3510" t="s">
        <v>1720</v>
      </c>
      <c r="B12" s="3563">
        <v>15</v>
      </c>
      <c r="C12" s="3566"/>
      <c r="D12" s="3554"/>
      <c r="E12" s="126" t="s">
        <v>1721</v>
      </c>
      <c r="F12" s="1871"/>
      <c r="G12" s="1871"/>
      <c r="H12" s="1871"/>
      <c r="I12" s="1486"/>
    </row>
    <row r="13" spans="1:12" ht="13">
      <c r="A13" s="3510"/>
      <c r="B13" s="3563"/>
      <c r="C13" s="3567"/>
      <c r="D13" s="3554"/>
      <c r="E13" s="126" t="s">
        <v>1722</v>
      </c>
      <c r="F13" s="1871"/>
      <c r="G13" s="1871"/>
      <c r="H13" s="1871"/>
      <c r="I13" s="1486"/>
    </row>
    <row r="14" spans="1:12" ht="13">
      <c r="A14" s="3510" t="s">
        <v>1723</v>
      </c>
      <c r="B14" s="3563">
        <v>30</v>
      </c>
      <c r="C14" s="3566">
        <v>7</v>
      </c>
      <c r="D14" s="3554">
        <v>3</v>
      </c>
      <c r="E14" s="126" t="s">
        <v>1724</v>
      </c>
      <c r="F14" s="1871"/>
      <c r="G14" s="1871"/>
      <c r="H14" s="1871"/>
      <c r="I14" s="1486"/>
    </row>
    <row r="15" spans="1:12" ht="13">
      <c r="A15" s="3510"/>
      <c r="B15" s="3563"/>
      <c r="C15" s="3568"/>
      <c r="D15" s="3554"/>
      <c r="E15" s="126" t="s">
        <v>1725</v>
      </c>
      <c r="F15" s="1871"/>
      <c r="G15" s="1871"/>
      <c r="H15" s="1871"/>
      <c r="I15" s="1486"/>
    </row>
    <row r="16" spans="1:12" ht="13">
      <c r="A16" s="3510"/>
      <c r="B16" s="3563"/>
      <c r="C16" s="3567"/>
      <c r="D16" s="3554"/>
      <c r="E16" s="126" t="s">
        <v>1726</v>
      </c>
      <c r="F16" s="1871"/>
      <c r="G16" s="1871"/>
      <c r="H16" s="1871"/>
      <c r="I16" s="1486"/>
    </row>
    <row r="17" spans="1:36" ht="14">
      <c r="A17" s="1872" t="s">
        <v>1727</v>
      </c>
      <c r="B17" s="60"/>
      <c r="C17" s="127">
        <f>SUM(C5:C16)</f>
        <v>7</v>
      </c>
      <c r="D17" s="127">
        <f>SUM(D5:D16)</f>
        <v>3</v>
      </c>
      <c r="E17" s="124"/>
      <c r="F17" s="124"/>
      <c r="G17" s="124"/>
      <c r="H17" s="124"/>
      <c r="I17" s="124"/>
      <c r="K17" s="298"/>
      <c r="L17" s="298" t="s">
        <v>1728</v>
      </c>
      <c r="M17" s="298" t="s">
        <v>1729</v>
      </c>
    </row>
    <row r="18" spans="1:36" ht="32.15" customHeight="1" thickBot="1">
      <c r="A18" s="1873" t="s">
        <v>1730</v>
      </c>
      <c r="B18" s="1874"/>
      <c r="C18" s="128">
        <f>ROUND(C17/SUM(C17:D17),2)</f>
        <v>0.7</v>
      </c>
      <c r="D18" s="128">
        <f>1-C18</f>
        <v>0.30000000000000004</v>
      </c>
      <c r="E18" s="3585" t="s">
        <v>2627</v>
      </c>
      <c r="F18" s="3586"/>
      <c r="G18" s="3586"/>
      <c r="H18" s="3586"/>
      <c r="I18" s="3586"/>
      <c r="K18" s="298" t="s">
        <v>1731</v>
      </c>
      <c r="L18" s="298">
        <f>IF(C1="",'数据-汇总表'!E3,SUMIF(项目类型,C1,'数据-汇总表'!E17:E26)+SUMIF(项目类型,C1,'数据-汇总表'!I17:I26))</f>
        <v>69011.599999999991</v>
      </c>
      <c r="M18" s="298">
        <f>IF(C1="",'数据-汇总表'!E3,SUMIF(项目类型,C1,'数据-汇总表'!E17:E26))</f>
        <v>69011.599999999991</v>
      </c>
    </row>
    <row r="19" spans="1:36" ht="14">
      <c r="A19" s="1875" t="s">
        <v>1732</v>
      </c>
      <c r="B19" s="1876" t="s">
        <v>1733</v>
      </c>
      <c r="C19" s="129">
        <f ca="1">SUMIF(INDIRECT("'"&amp;C4&amp;"'"&amp;"!A:A"),结果表办!B19,INDIRECT("'"&amp;C4&amp;"'"&amp;"!B:B"))</f>
        <v>167630</v>
      </c>
      <c r="D19" s="130">
        <f ca="1">SUMIF(INDIRECT("'"&amp;D4&amp;"'"&amp;"!A:A"),结果表办!B19,INDIRECT("'"&amp;D4&amp;"'"&amp;"!B:B"))</f>
        <v>109727</v>
      </c>
      <c r="E19" s="1875" t="s">
        <v>1734</v>
      </c>
      <c r="F19" s="1876" t="s">
        <v>1733</v>
      </c>
      <c r="G19" s="131">
        <f ca="1">ROUND(C19*$C$18+D19*$D$18,0)</f>
        <v>150259</v>
      </c>
      <c r="H19" s="1877" t="s">
        <v>1735</v>
      </c>
      <c r="I19" s="124"/>
      <c r="K19" s="298" t="s">
        <v>1736</v>
      </c>
      <c r="L19" s="298">
        <f>IF(C1="",'数据-汇总表'!D3,SUMIF(项目类型,C1,'数据-汇总表'!D17:D26)+SUMIF(项目类型,C1,'数据-汇总表'!H17:H27))</f>
        <v>14006.09</v>
      </c>
      <c r="M19" s="298">
        <f>IF(C1="",'数据-汇总表'!D3,SUMIF(项目类型,C1,'数据-汇总表'!D17:D26))</f>
        <v>14006.09</v>
      </c>
    </row>
    <row r="20" spans="1:36" ht="14">
      <c r="A20" s="1878"/>
      <c r="B20" s="1117" t="s">
        <v>1737</v>
      </c>
      <c r="C20" s="132">
        <f ca="1">SUMIF(INDIRECT("'"&amp;C4&amp;"'"&amp;"!A:A"),结果表办!B20,INDIRECT("'"&amp;C4&amp;"'"&amp;"!B:B"))</f>
        <v>24290</v>
      </c>
      <c r="D20" s="133">
        <f ca="1">SUMIF(INDIRECT("'"&amp;D4&amp;"'"&amp;"!A:A"),结果表办!B20,INDIRECT("'"&amp;D4&amp;"'"&amp;"!B:B"))</f>
        <v>15900</v>
      </c>
      <c r="E20" s="1878"/>
      <c r="F20" s="1117" t="s">
        <v>1737</v>
      </c>
      <c r="G20" s="134">
        <f ca="1">ROUND(C20*$C$18+D20*$D$18,0)</f>
        <v>21773</v>
      </c>
      <c r="H20" s="878" t="s">
        <v>1738</v>
      </c>
      <c r="I20" s="124"/>
    </row>
    <row r="21" spans="1:36" ht="15" customHeight="1" thickBot="1">
      <c r="A21" s="898"/>
      <c r="B21" s="1879" t="s">
        <v>1739</v>
      </c>
      <c r="C21" s="714">
        <f ca="1">ROUND(C19*10000/L19,0)</f>
        <v>119684</v>
      </c>
      <c r="D21" s="715">
        <f ca="1">ROUND(D19*10000/L19,0)</f>
        <v>78342</v>
      </c>
      <c r="E21" s="898"/>
      <c r="F21" s="1879" t="s">
        <v>1739</v>
      </c>
      <c r="G21" s="135">
        <f ca="1">ROUND(G19*10000/L19,0)</f>
        <v>107281</v>
      </c>
      <c r="H21" s="1880" t="s">
        <v>1738</v>
      </c>
      <c r="I21" s="124"/>
    </row>
    <row r="22" spans="1:36" ht="14.5" thickBot="1">
      <c r="A22" s="1802" t="s">
        <v>1740</v>
      </c>
      <c r="B22" s="1881"/>
      <c r="C22" s="1882"/>
      <c r="D22" s="716">
        <f ca="1">IF(C19&lt;D19,D19/C19-1,C19/D19-1)</f>
        <v>0.52770056595003956</v>
      </c>
      <c r="E22" s="124"/>
      <c r="F22" s="124"/>
      <c r="G22" s="124"/>
      <c r="H22" s="124"/>
      <c r="I22" s="124"/>
    </row>
    <row r="23" spans="1:36" ht="13" thickBot="1">
      <c r="A23" s="1861"/>
      <c r="B23" s="1861"/>
      <c r="C23" s="1861"/>
      <c r="D23" s="1861"/>
      <c r="E23" s="124"/>
      <c r="F23" s="124"/>
      <c r="G23" s="124"/>
      <c r="H23" s="124"/>
      <c r="I23" s="124"/>
    </row>
    <row r="24" spans="1:36" ht="14">
      <c r="A24" s="3578" t="s">
        <v>1741</v>
      </c>
      <c r="B24" s="1876" t="s">
        <v>1733</v>
      </c>
      <c r="C24" s="131">
        <f>IF(B30=0,0,D30)</f>
        <v>0</v>
      </c>
      <c r="D24" s="1883"/>
      <c r="E24" s="124"/>
      <c r="F24" s="124"/>
      <c r="G24" s="124"/>
      <c r="H24" s="124"/>
      <c r="I24" s="124"/>
    </row>
    <row r="25" spans="1:36" ht="14">
      <c r="A25" s="3579"/>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150259</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101575</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48684</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55" t="s">
        <v>1754</v>
      </c>
      <c r="B36" s="1901" t="s">
        <v>1755</v>
      </c>
      <c r="C36" s="140"/>
      <c r="D36" s="1902"/>
      <c r="E36" s="1903"/>
      <c r="F36" s="1904"/>
      <c r="G36" s="124"/>
      <c r="H36" s="124"/>
      <c r="I36" s="124"/>
    </row>
    <row r="37" spans="1:15" ht="14.5" thickBot="1">
      <c r="A37" s="3556"/>
      <c r="B37" s="1788" t="s">
        <v>1756</v>
      </c>
      <c r="C37" s="142"/>
      <c r="D37" s="1233"/>
      <c r="E37" s="1233"/>
      <c r="F37" s="1904"/>
      <c r="G37" s="124"/>
      <c r="H37" s="124"/>
      <c r="I37" s="124"/>
    </row>
    <row r="38" spans="1:15" ht="14.5" thickBot="1">
      <c r="A38" s="3557"/>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5" t="s">
        <v>1768</v>
      </c>
      <c r="B45" s="3576"/>
      <c r="C45" s="3577"/>
      <c r="D45" s="150">
        <f ca="1">ROUND(H101*F45,0)</f>
        <v>150259</v>
      </c>
      <c r="E45" s="151" t="s">
        <v>1769</v>
      </c>
      <c r="F45" s="152">
        <v>1</v>
      </c>
      <c r="G45" s="153" t="s">
        <v>1770</v>
      </c>
      <c r="H45" s="124"/>
      <c r="I45" s="124"/>
      <c r="J45" s="3497" t="s">
        <v>1771</v>
      </c>
      <c r="K45" s="3497"/>
      <c r="L45" s="3497"/>
      <c r="M45" s="3497"/>
      <c r="N45" s="3497"/>
      <c r="O45" s="3497"/>
    </row>
    <row r="46" spans="1:15" ht="14.25" customHeight="1">
      <c r="A46" s="3572" t="s">
        <v>1772</v>
      </c>
      <c r="B46" s="3573"/>
      <c r="C46" s="3573"/>
      <c r="D46" s="3573"/>
      <c r="E46" s="3573"/>
      <c r="F46" s="3573"/>
      <c r="G46" s="3574"/>
      <c r="H46" s="1920"/>
      <c r="I46" s="154"/>
      <c r="J46" s="3279">
        <v>1</v>
      </c>
      <c r="K46" s="3498" t="s">
        <v>1773</v>
      </c>
      <c r="L46" s="3498"/>
      <c r="M46" s="3499"/>
      <c r="N46" s="3499"/>
      <c r="O46" s="3499"/>
    </row>
    <row r="47" spans="1:15" ht="12" customHeight="1">
      <c r="A47" s="155" t="s">
        <v>1774</v>
      </c>
      <c r="B47" s="156"/>
      <c r="C47" s="157"/>
      <c r="D47" s="1179" t="s">
        <v>1775</v>
      </c>
      <c r="E47" s="298" t="s">
        <v>1776</v>
      </c>
      <c r="F47" s="158" t="s">
        <v>1777</v>
      </c>
      <c r="G47" s="2695" t="s">
        <v>1778</v>
      </c>
      <c r="H47" s="2696"/>
      <c r="I47" s="154"/>
      <c r="J47" s="3279">
        <v>2</v>
      </c>
      <c r="K47" s="3498" t="s">
        <v>1779</v>
      </c>
      <c r="L47" s="3498"/>
      <c r="M47" s="3500">
        <f>'数据-取费表'!B2</f>
        <v>44693</v>
      </c>
      <c r="N47" s="3500"/>
      <c r="O47" s="3500"/>
    </row>
    <row r="48" spans="1:15" ht="26">
      <c r="A48" s="3558" t="s">
        <v>1780</v>
      </c>
      <c r="B48" s="3559"/>
      <c r="C48" s="3559"/>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1781</v>
      </c>
      <c r="H48" s="2699"/>
      <c r="I48" s="1920"/>
      <c r="J48" s="3279">
        <v>3</v>
      </c>
      <c r="K48" s="3498" t="s">
        <v>1782</v>
      </c>
      <c r="L48" s="3498"/>
      <c r="M48" s="3501">
        <f ca="1">H101</f>
        <v>150259</v>
      </c>
      <c r="N48" s="3501"/>
      <c r="O48" s="3501"/>
    </row>
    <row r="49" spans="1:35" ht="25.5" customHeight="1">
      <c r="A49" s="3288" t="s">
        <v>1783</v>
      </c>
      <c r="B49" s="3542" t="s">
        <v>1784</v>
      </c>
      <c r="C49" s="3542"/>
      <c r="D49" s="1704">
        <v>0</v>
      </c>
      <c r="E49" s="320" t="s">
        <v>1785</v>
      </c>
      <c r="F49" s="3272" t="s">
        <v>34</v>
      </c>
      <c r="G49" s="3525"/>
      <c r="H49" s="2456" t="s">
        <v>2630</v>
      </c>
      <c r="I49" s="2457"/>
      <c r="J49" s="3279">
        <v>4</v>
      </c>
      <c r="K49" s="3498" t="str">
        <f>IF(项目基本情况!E8="房地产抵押价值","房地产抵押价值","抵押担保权已注销时的房地产抵押价值")</f>
        <v>房地产抵押价值</v>
      </c>
      <c r="L49" s="3498"/>
      <c r="M49" s="3501">
        <f ca="1">IF(项目基本情况!E8="房地产抵押价值",H107,H109)</f>
        <v>150259</v>
      </c>
      <c r="N49" s="3501"/>
      <c r="O49" s="3501"/>
    </row>
    <row r="50" spans="1:35" ht="25.5" customHeight="1">
      <c r="A50" s="2700"/>
      <c r="B50" s="3542" t="s">
        <v>1786</v>
      </c>
      <c r="C50" s="3542"/>
      <c r="D50" s="2701"/>
      <c r="E50" s="328"/>
      <c r="F50" s="3272"/>
      <c r="G50" s="3526"/>
      <c r="H50" s="2458" t="s">
        <v>2631</v>
      </c>
      <c r="I50" s="2457"/>
      <c r="J50" s="3497" t="s">
        <v>1787</v>
      </c>
      <c r="K50" s="3497"/>
      <c r="L50" s="3497"/>
      <c r="M50" s="3497"/>
      <c r="N50" s="3497"/>
      <c r="O50" s="3497"/>
    </row>
    <row r="51" spans="1:35" ht="20.5" customHeight="1">
      <c r="A51" s="2702"/>
      <c r="B51" s="3542" t="s">
        <v>1788</v>
      </c>
      <c r="C51" s="3542"/>
      <c r="D51" s="1179"/>
      <c r="E51" s="323"/>
      <c r="F51" s="3272"/>
      <c r="G51" s="3527"/>
      <c r="H51" s="2458" t="s">
        <v>2632</v>
      </c>
      <c r="I51" s="2457"/>
      <c r="J51" s="3273" t="s">
        <v>1789</v>
      </c>
      <c r="K51" s="3498" t="s">
        <v>1790</v>
      </c>
      <c r="L51" s="3498"/>
      <c r="M51" s="3273" t="s">
        <v>1791</v>
      </c>
      <c r="N51" s="3273" t="s">
        <v>1792</v>
      </c>
      <c r="O51" s="3273" t="s">
        <v>1793</v>
      </c>
    </row>
    <row r="52" spans="1:35" ht="24" customHeight="1">
      <c r="A52" s="3291" t="s">
        <v>1794</v>
      </c>
      <c r="B52" s="3542" t="s">
        <v>1795</v>
      </c>
      <c r="C52" s="3542"/>
      <c r="D52" s="1179">
        <f ca="1">ROUND(D45*'数据-取费表'!B41/(1+'数据-取费表'!C42),0)</f>
        <v>7871</v>
      </c>
      <c r="E52" s="3289" t="s">
        <v>1796</v>
      </c>
      <c r="F52" s="2703">
        <f>'数据-取费表'!B41</f>
        <v>5.5000000000000007E-2</v>
      </c>
      <c r="G52" s="2704"/>
      <c r="H52" s="2693"/>
      <c r="I52" s="1921"/>
      <c r="J52" s="3279">
        <v>1</v>
      </c>
      <c r="K52" s="3519" t="s">
        <v>1797</v>
      </c>
      <c r="L52" s="3519"/>
      <c r="M52" s="2674" t="b">
        <f>D48</f>
        <v>0</v>
      </c>
      <c r="N52" s="3279" t="str">
        <f>E48</f>
        <v>销售额×税（费）率</v>
      </c>
      <c r="O52" s="2675">
        <f>F48</f>
        <v>5.5000000000000007E-2</v>
      </c>
    </row>
    <row r="53" spans="1:35" ht="12" customHeight="1">
      <c r="A53" s="3291" t="s">
        <v>1798</v>
      </c>
      <c r="B53" s="3543" t="s">
        <v>2783</v>
      </c>
      <c r="C53" s="3544"/>
      <c r="D53" s="1179">
        <f ca="1">ROUND(D45*'数据-取费表'!B41/(1+'数据-取费表'!C42),0)</f>
        <v>7871</v>
      </c>
      <c r="E53" s="3289" t="s">
        <v>1796</v>
      </c>
      <c r="F53" s="2703">
        <f>'数据-取费表'!B41</f>
        <v>5.5000000000000007E-2</v>
      </c>
      <c r="G53" s="2704"/>
      <c r="H53" s="2693"/>
      <c r="I53" s="1921"/>
      <c r="J53" s="3279">
        <v>2</v>
      </c>
      <c r="K53" s="3519" t="s">
        <v>1799</v>
      </c>
      <c r="L53" s="3519"/>
      <c r="M53" s="2674">
        <f t="shared" ref="M53:O54" ca="1" si="0">D55</f>
        <v>75</v>
      </c>
      <c r="N53" s="3279" t="str">
        <f t="shared" si="0"/>
        <v>销售额×税（费）率</v>
      </c>
      <c r="O53" s="2675" t="str">
        <f t="shared" si="0"/>
        <v>免征</v>
      </c>
    </row>
    <row r="54" spans="1:35" ht="12" customHeight="1">
      <c r="A54" s="3291" t="s">
        <v>1800</v>
      </c>
      <c r="B54" s="3543" t="s">
        <v>2784</v>
      </c>
      <c r="C54" s="3544"/>
      <c r="D54" s="1179">
        <f ca="1">C68</f>
        <v>7871</v>
      </c>
      <c r="E54" s="323" t="s">
        <v>1801</v>
      </c>
      <c r="F54" s="2703">
        <f>'数据-取费表'!B41</f>
        <v>5.5000000000000007E-2</v>
      </c>
      <c r="G54" s="2704"/>
      <c r="H54" s="2705"/>
      <c r="I54" s="1921"/>
      <c r="J54" s="3279">
        <v>3</v>
      </c>
      <c r="K54" s="3519" t="s">
        <v>1802</v>
      </c>
      <c r="L54" s="3519"/>
      <c r="M54" s="2674">
        <f t="shared" ca="1" si="0"/>
        <v>85182</v>
      </c>
      <c r="N54" s="3279" t="str">
        <f t="shared" si="0"/>
        <v>增值额×税（费）率</v>
      </c>
      <c r="O54" s="2676" t="str">
        <f t="shared" si="0"/>
        <v>免征</v>
      </c>
    </row>
    <row r="55" spans="1:35" ht="24" customHeight="1">
      <c r="A55" s="3581" t="s">
        <v>1803</v>
      </c>
      <c r="B55" s="3559"/>
      <c r="C55" s="3559"/>
      <c r="D55" s="3274">
        <f ca="1">IF(H55="个人住宅",0,ROUND(D45*I55,0))</f>
        <v>75</v>
      </c>
      <c r="E55" s="3289" t="s">
        <v>1804</v>
      </c>
      <c r="F55" s="2703" t="str">
        <f>IF(H55="正常",I55,"免征")</f>
        <v>免征</v>
      </c>
      <c r="G55" s="2704"/>
      <c r="H55" s="2699"/>
      <c r="I55" s="160">
        <f>'数据-取费表'!B49</f>
        <v>5.0000000000000001E-4</v>
      </c>
      <c r="J55" s="3279">
        <f>IF(H59="非个人房产","",4)</f>
        <v>4</v>
      </c>
      <c r="K55" s="3519" t="str">
        <f>IF(H59="非个人房产","——","个人所得税")</f>
        <v>个人所得税</v>
      </c>
      <c r="L55" s="3519"/>
      <c r="M55" s="2677">
        <f ca="1">D59</f>
        <v>1431</v>
      </c>
      <c r="N55" s="3280" t="str">
        <f>E59</f>
        <v>差额计税</v>
      </c>
      <c r="O55" s="2678">
        <f>F59</f>
        <v>0.01</v>
      </c>
    </row>
    <row r="56" spans="1:35" ht="26">
      <c r="A56" s="3581" t="s">
        <v>1805</v>
      </c>
      <c r="B56" s="3559"/>
      <c r="C56" s="3559"/>
      <c r="D56" s="3274">
        <f ca="1">IF(H56="个人住宅",D57,D58)</f>
        <v>85182</v>
      </c>
      <c r="E56" s="3289" t="s">
        <v>1806</v>
      </c>
      <c r="F56" s="2703" t="str">
        <f>IF(H56="正常",F58,"免征")</f>
        <v>免征</v>
      </c>
      <c r="G56" s="2706" t="s">
        <v>1807</v>
      </c>
      <c r="H56" s="2707"/>
      <c r="I56" s="1922"/>
      <c r="J56" s="3279" t="str">
        <f>IF(项目基本情况!K6="上海银行",IF(J55="",4,J55+1),"")</f>
        <v/>
      </c>
      <c r="K56" s="3504" t="str">
        <f>IF(项目基本情况!K6="上海银行","其他处置费用","")</f>
        <v/>
      </c>
      <c r="L56" s="3505"/>
      <c r="M56" s="2674" t="str">
        <f>IF(项目基本情况!K6="上海银行",M69,"")</f>
        <v/>
      </c>
      <c r="N56" s="3504" t="str">
        <f>IF(项目基本情况!K6="上海银行","包含处置中涉及的律师、诉讼、拍卖、评估等费用","")</f>
        <v/>
      </c>
      <c r="O56" s="3507"/>
    </row>
    <row r="57" spans="1:35" ht="13">
      <c r="A57" s="3291" t="s">
        <v>1783</v>
      </c>
      <c r="B57" s="3543" t="s">
        <v>1808</v>
      </c>
      <c r="C57" s="3544"/>
      <c r="D57" s="1704">
        <v>0</v>
      </c>
      <c r="E57" s="320" t="s">
        <v>1785</v>
      </c>
      <c r="F57" s="298"/>
      <c r="G57" s="2704"/>
      <c r="H57" s="2708"/>
      <c r="I57" s="1922"/>
      <c r="J57" s="3519">
        <f>IF(AND(J55="",J56=""),4,IF(项目基本情况!K6="上海银行",结果表办!J56+1,结果表办!J55+1))</f>
        <v>5</v>
      </c>
      <c r="K57" s="3519" t="s">
        <v>1809</v>
      </c>
      <c r="L57" s="2679" t="s">
        <v>1810</v>
      </c>
      <c r="M57" s="2680"/>
      <c r="N57" s="2681">
        <f ca="1">SUMIF(M52:M56,"&lt;9e307")</f>
        <v>86688</v>
      </c>
      <c r="O57" s="2682"/>
      <c r="P57" s="2841">
        <f ca="1">N57/M49</f>
        <v>0.57692384482793047</v>
      </c>
    </row>
    <row r="58" spans="1:35" ht="26">
      <c r="A58" s="3291" t="s">
        <v>1794</v>
      </c>
      <c r="B58" s="3543" t="s">
        <v>1811</v>
      </c>
      <c r="C58" s="3542"/>
      <c r="D58" s="3274">
        <f ca="1">IF(H58="转让取得",C81,C97)</f>
        <v>85182</v>
      </c>
      <c r="E58" s="3289" t="s">
        <v>1806</v>
      </c>
      <c r="F58" s="298" t="s">
        <v>34</v>
      </c>
      <c r="G58" s="2704"/>
      <c r="H58" s="2707"/>
      <c r="I58" s="1922"/>
      <c r="J58" s="3519"/>
      <c r="K58" s="3519"/>
      <c r="L58" s="2679" t="s">
        <v>1812</v>
      </c>
      <c r="M58" s="2683"/>
      <c r="N58" s="2684" t="str">
        <f ca="1">NUMBERSTRING(INT(N57*10000),2)&amp;"元整"</f>
        <v>捌亿陆仟陆佰捌拾捌万元整</v>
      </c>
      <c r="O58" s="2685"/>
    </row>
    <row r="59" spans="1:35" ht="26.5" thickBot="1">
      <c r="A59" s="3523" t="s">
        <v>1813</v>
      </c>
      <c r="B59" s="3524"/>
      <c r="C59" s="3524"/>
      <c r="D59" s="2709">
        <f ca="1">IF(H59="非个人房产","——",IF(H59="个人住宅（满五唯一有凭证）",0,IF(H59="个人其他（无凭证）",ROUND(D45*F59,0),ROUND(C67*F59,0))))</f>
        <v>1431</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21">
        <f>J57+1</f>
        <v>6</v>
      </c>
      <c r="K59" s="3519" t="s">
        <v>1814</v>
      </c>
      <c r="L59" s="3279" t="s">
        <v>1810</v>
      </c>
      <c r="M59" s="2686"/>
      <c r="N59" s="2687">
        <f ca="1">M49-N57</f>
        <v>63571</v>
      </c>
      <c r="O59" s="2688"/>
    </row>
    <row r="60" spans="1:35" ht="12" customHeight="1">
      <c r="A60" s="1923"/>
      <c r="B60" s="1861"/>
      <c r="C60" s="1861"/>
      <c r="D60" s="1861"/>
      <c r="E60" s="1692"/>
      <c r="F60" s="1922"/>
      <c r="G60" s="1922"/>
      <c r="H60" s="1924"/>
      <c r="I60" s="124"/>
      <c r="J60" s="3522"/>
      <c r="K60" s="3519"/>
      <c r="L60" s="2679" t="s">
        <v>1812</v>
      </c>
      <c r="M60" s="2683"/>
      <c r="N60" s="2684" t="str">
        <f ca="1">NUMBERSTRING(INT(N59*10000),2)&amp;"元整"</f>
        <v>陆亿叁仟伍佰柒拾壹万元整</v>
      </c>
      <c r="O60" s="2685"/>
    </row>
    <row r="61" spans="1:35" ht="13.5" thickBot="1">
      <c r="A61" s="3580" t="s">
        <v>1815</v>
      </c>
      <c r="B61" s="3580"/>
      <c r="C61" s="3580"/>
      <c r="D61" s="3580"/>
      <c r="E61" s="3580"/>
      <c r="F61" s="1922"/>
      <c r="G61" s="1922"/>
      <c r="H61" s="1924"/>
      <c r="I61" s="124"/>
      <c r="J61" s="3279">
        <f>J59+1</f>
        <v>7</v>
      </c>
      <c r="K61" s="3519" t="s">
        <v>1816</v>
      </c>
      <c r="L61" s="3519"/>
      <c r="M61" s="2689"/>
      <c r="N61" s="2690">
        <f ca="1">ROUND(N59*10000/'数据-汇总表'!E3,0)</f>
        <v>3617</v>
      </c>
      <c r="O61" s="2691"/>
    </row>
    <row r="62" spans="1:35" ht="13">
      <c r="A62" s="3538" t="s">
        <v>1817</v>
      </c>
      <c r="B62" s="3539"/>
      <c r="C62" s="3284"/>
      <c r="D62" s="3284" t="s">
        <v>1818</v>
      </c>
      <c r="E62" s="161" t="s">
        <v>1819</v>
      </c>
      <c r="F62" s="1922"/>
      <c r="G62" s="1922"/>
      <c r="H62" s="1924"/>
      <c r="I62" s="124"/>
    </row>
    <row r="63" spans="1:35" ht="13">
      <c r="A63" s="168" t="s">
        <v>594</v>
      </c>
      <c r="B63" s="162" t="s">
        <v>1820</v>
      </c>
      <c r="C63" s="2713">
        <f ca="1">ROUND((C64+C65)/(1+'数据-取费表'!C42),0)</f>
        <v>143104</v>
      </c>
      <c r="D63" s="162"/>
      <c r="E63" s="163"/>
      <c r="F63" s="1922"/>
      <c r="G63" s="1922"/>
      <c r="H63" s="1924"/>
      <c r="I63" s="124"/>
      <c r="J63" s="3506" t="s">
        <v>1821</v>
      </c>
      <c r="K63" s="3275" t="s">
        <v>1822</v>
      </c>
      <c r="L63" s="3275">
        <f ca="1">IF(M49&gt;10000,M49*0.5%,IF(AND(M49&gt;1000,M49&lt;=10000),M49*1%,IF(AND(M49&gt;100,M49&lt;=1000),M49*3%,IF(AND(M49&gt;10,M49&lt;=100),M49*5%,M49*8%))))</f>
        <v>751.29499999999996</v>
      </c>
      <c r="M63" s="298">
        <f ca="1">ROUND(L63,1)</f>
        <v>751.3</v>
      </c>
      <c r="N63" s="2692"/>
      <c r="Z63" s="1866"/>
      <c r="AI63" s="1867"/>
    </row>
    <row r="64" spans="1:35" ht="14.25" customHeight="1">
      <c r="A64" s="164" t="s">
        <v>589</v>
      </c>
      <c r="B64" s="165" t="s">
        <v>1823</v>
      </c>
      <c r="C64" s="2714">
        <f ca="1">D45</f>
        <v>150259</v>
      </c>
      <c r="D64" s="165" t="s">
        <v>32</v>
      </c>
      <c r="E64" s="167"/>
      <c r="F64" s="1922"/>
      <c r="G64" s="1922"/>
      <c r="H64" s="1924"/>
      <c r="I64" s="124"/>
      <c r="J64" s="3506"/>
      <c r="K64" s="3275" t="s">
        <v>1824</v>
      </c>
      <c r="L64" s="3275">
        <f ca="1">IF(M49&gt;2000,M49*0.5%,IF(AND(M49&gt;1000,M49&lt;=2000),M49*0.6%,IF(AND(M49&gt;500,M49&lt;=1000),M49*0.7%,IF(AND(M49&gt;200,M49&lt;=500),M49*0.8%,IF(AND(M49&gt;100,M49&lt;=200),M49*0.9%,IF(AND(M49&gt;50,M49&lt;=100),M49*1%,IF(AND(M49&gt;20,M49&lt;=50),M49*1.5%,IF(AND(M49&gt;10,M49&lt;=20),M49*2%,IF(AND(M49&gt;1,M49&lt;=10),M49*2.5%)))))))))</f>
        <v>751.29499999999996</v>
      </c>
      <c r="M64" s="298">
        <f t="shared" ref="M64:M65" ca="1" si="1">ROUND(L64,1)</f>
        <v>751.3</v>
      </c>
      <c r="N64" s="2693" t="s">
        <v>1825</v>
      </c>
      <c r="Z64" s="1866"/>
      <c r="AI64" s="1867"/>
    </row>
    <row r="65" spans="1:35" ht="14.25" customHeight="1">
      <c r="A65" s="164" t="s">
        <v>590</v>
      </c>
      <c r="B65" s="165" t="s">
        <v>1826</v>
      </c>
      <c r="C65" s="2715"/>
      <c r="D65" s="165"/>
      <c r="E65" s="167"/>
      <c r="F65" s="1922"/>
      <c r="G65" s="1922"/>
      <c r="H65" s="1924"/>
      <c r="I65" s="124"/>
      <c r="J65" s="3506"/>
      <c r="K65" s="3275" t="s">
        <v>1827</v>
      </c>
      <c r="L65" s="3275">
        <f ca="1">IF(M49&gt;1000,M49*0.1%,IF(AND(M49&gt;500,M49&lt;=1000),M49*0.5%,IF(AND(M49&gt;50,M49&lt;=500),M49*1%,IF(AND(M49&gt;1,M49&lt;=50),M49*1.5%))))</f>
        <v>150.25900000000001</v>
      </c>
      <c r="M65" s="298">
        <f t="shared" ca="1" si="1"/>
        <v>150.30000000000001</v>
      </c>
      <c r="N65" s="2693" t="s">
        <v>1825</v>
      </c>
      <c r="Z65" s="1866"/>
      <c r="AI65" s="1867"/>
    </row>
    <row r="66" spans="1:35" ht="14.25" customHeight="1">
      <c r="A66" s="168" t="s">
        <v>591</v>
      </c>
      <c r="B66" s="169" t="s">
        <v>1828</v>
      </c>
      <c r="C66" s="2716"/>
      <c r="D66" s="169" t="s">
        <v>32</v>
      </c>
      <c r="E66" s="1438" t="s">
        <v>1093</v>
      </c>
      <c r="F66" s="1922"/>
      <c r="G66" s="1922"/>
      <c r="H66" s="1924"/>
      <c r="I66" s="124"/>
      <c r="J66" s="3506"/>
      <c r="K66" s="3275" t="s">
        <v>1829</v>
      </c>
      <c r="L66" s="3275">
        <f ca="1">M49*0.5%</f>
        <v>751.29499999999996</v>
      </c>
      <c r="M66" s="298">
        <f ca="1">IF(L66&gt;0.5,0.5,ROUND(L66,0))</f>
        <v>0.5</v>
      </c>
      <c r="N66" s="2693" t="s">
        <v>1830</v>
      </c>
      <c r="Z66" s="1866"/>
      <c r="AI66" s="1867"/>
    </row>
    <row r="67" spans="1:35" ht="14.25" customHeight="1">
      <c r="A67" s="168" t="s">
        <v>592</v>
      </c>
      <c r="B67" s="169" t="s">
        <v>1831</v>
      </c>
      <c r="C67" s="2717">
        <f ca="1">C63-C66</f>
        <v>143104</v>
      </c>
      <c r="D67" s="165" t="s">
        <v>32</v>
      </c>
      <c r="E67" s="167"/>
      <c r="F67" s="1922"/>
      <c r="G67" s="1922"/>
      <c r="H67" s="1924"/>
      <c r="I67" s="124"/>
      <c r="J67" s="3506"/>
      <c r="K67" s="3275" t="s">
        <v>1832</v>
      </c>
      <c r="L67" s="3275">
        <f ca="1">IF(M49&gt;=10000,(8.25+(M49-10000)*0.01%),IF(AND(M49&gt;=8000,M49&lt;10000),(7.85+(M49-8000)*0.02%),IF(AND(M49&gt;=5000,M49&lt;8000),(6.65+(M49-5000)*0.04%),IF(AND(M49&gt;=2000,M49&lt;5000),(4.25+(PM49-2000)*0.08%),IF(AND(M49&gt;=1000,M49&lt;2000),(2.75+(M49-1000)*0.15%),IF(AND(M49&gt;=100,M49&lt;1000),(0.5+(M49-100)*0.25%),IF(AND(M49&gt;0,M49&lt;100),M49*0.5%)))))))</f>
        <v>22.2759</v>
      </c>
      <c r="M67" s="298">
        <f ca="1">ROUND(L67*0.9,1)</f>
        <v>20</v>
      </c>
      <c r="N67" s="2692"/>
      <c r="Z67" s="1866"/>
      <c r="AI67" s="1867"/>
    </row>
    <row r="68" spans="1:35" ht="14.25" customHeight="1" thickBot="1">
      <c r="A68" s="171" t="s">
        <v>593</v>
      </c>
      <c r="B68" s="172" t="s">
        <v>1833</v>
      </c>
      <c r="C68" s="2718">
        <f ca="1">IF(C67&lt;=0,0,ROUND(C67*D68,0))</f>
        <v>7871</v>
      </c>
      <c r="D68" s="2719">
        <f>'数据-取费表'!B41</f>
        <v>5.5000000000000007E-2</v>
      </c>
      <c r="E68" s="174"/>
      <c r="F68" s="1922"/>
      <c r="G68" s="1922"/>
      <c r="H68" s="1924"/>
      <c r="I68" s="124"/>
      <c r="J68" s="3506"/>
      <c r="K68" s="3275" t="s">
        <v>1834</v>
      </c>
      <c r="L68" s="3275">
        <f ca="1">IF(M49&gt;10000,M49*0.5%,IF(AND(M49&gt;5000,M49&lt;=10000),M49*1%,IF(AND(M49&gt;1000,M49&lt;=5000),M49*2%,IF(AND(M49&gt;200,M49&lt;=1000),M49*3%,M49*5%))))</f>
        <v>751.29499999999996</v>
      </c>
      <c r="M68" s="298">
        <f ca="1">ROUND(L68,1)</f>
        <v>751.3</v>
      </c>
      <c r="N68" s="2692"/>
      <c r="Z68" s="1866"/>
      <c r="AI68" s="1867"/>
    </row>
    <row r="69" spans="1:35" s="1886" customFormat="1" ht="16.5" customHeight="1">
      <c r="A69" s="1925"/>
      <c r="B69" s="1926"/>
      <c r="C69" s="1927"/>
      <c r="D69" s="1928"/>
      <c r="E69" s="1929"/>
      <c r="F69" s="1692"/>
      <c r="G69" s="1692"/>
      <c r="H69" s="1691"/>
      <c r="I69" s="1861"/>
      <c r="J69" s="3506"/>
      <c r="K69" s="3275" t="s">
        <v>1835</v>
      </c>
      <c r="L69" s="3275"/>
      <c r="M69" s="298">
        <f ca="1">ROUND(SUM(M63:M68),0)</f>
        <v>2425</v>
      </c>
      <c r="N69" s="2694">
        <f ca="1">M69/M49</f>
        <v>1.6138800338082911E-2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6" t="s">
        <v>1836</v>
      </c>
      <c r="B70" s="3547"/>
      <c r="C70" s="3547"/>
      <c r="D70" s="3547"/>
      <c r="E70" s="3547"/>
      <c r="F70" s="3547"/>
      <c r="G70" s="3547"/>
      <c r="H70" s="3547"/>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8" t="s">
        <v>1817</v>
      </c>
      <c r="B71" s="3539"/>
      <c r="C71" s="3284"/>
      <c r="D71" s="3284"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143104</v>
      </c>
      <c r="D72" s="165" t="s">
        <v>32</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716</v>
      </c>
      <c r="D73" s="165" t="s">
        <v>32</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43" t="s">
        <v>1844</v>
      </c>
      <c r="F76" s="3542"/>
      <c r="G76" s="3542"/>
      <c r="H76" s="3545"/>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274" t="s">
        <v>1846</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716</v>
      </c>
      <c r="D78" s="2726">
        <f>'数据-取费表'!B43</f>
        <v>5.000000000000001E-3</v>
      </c>
      <c r="E78" s="3535" t="s">
        <v>1848</v>
      </c>
      <c r="F78" s="3536"/>
      <c r="G78" s="3536"/>
      <c r="H78" s="3537"/>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142388</v>
      </c>
      <c r="D79" s="165" t="s">
        <v>32</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198.86592178770951</v>
      </c>
      <c r="D80" s="165" t="s">
        <v>32</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85182</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6" t="s">
        <v>1852</v>
      </c>
      <c r="B83" s="3547"/>
      <c r="C83" s="3547"/>
      <c r="D83" s="3547"/>
      <c r="E83" s="3547"/>
      <c r="F83" s="3547"/>
      <c r="G83" s="3547"/>
      <c r="H83" s="3547"/>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8" t="s">
        <v>1817</v>
      </c>
      <c r="B84" s="3539"/>
      <c r="C84" s="3284"/>
      <c r="D84" s="3284"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143104</v>
      </c>
      <c r="D85" s="165" t="s">
        <v>32</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716</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82"/>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82"/>
      <c r="G90" s="3508" t="s">
        <v>2625</v>
      </c>
      <c r="H90" s="3509"/>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5" t="s">
        <v>1861</v>
      </c>
      <c r="F91" s="3536"/>
      <c r="G91" s="353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5" t="s">
        <v>1864</v>
      </c>
      <c r="F92" s="3536"/>
      <c r="G92" s="3536"/>
      <c r="H92" s="3537"/>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716</v>
      </c>
      <c r="D93" s="2726">
        <f>'数据-取费表'!B43</f>
        <v>5.000000000000001E-3</v>
      </c>
      <c r="E93" s="3535" t="s">
        <v>1848</v>
      </c>
      <c r="F93" s="3536"/>
      <c r="G93" s="3536"/>
      <c r="H93" s="3537"/>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82" t="s">
        <v>1868</v>
      </c>
      <c r="F94" s="3583"/>
      <c r="G94" s="3583"/>
      <c r="H94" s="358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142388</v>
      </c>
      <c r="D95" s="165" t="s">
        <v>32</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198.86592178770951</v>
      </c>
      <c r="D96" s="165" t="s">
        <v>32</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85182</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20"/>
      <c r="E100" s="3474" t="s">
        <v>1871</v>
      </c>
      <c r="F100" s="3474"/>
      <c r="G100" s="3474"/>
      <c r="H100" s="3520"/>
      <c r="I100" s="124"/>
    </row>
    <row r="101" spans="1:35" ht="18.75" customHeight="1">
      <c r="A101" s="3528" t="s">
        <v>1872</v>
      </c>
      <c r="B101" s="3529"/>
      <c r="C101" s="2734" t="str">
        <f>C4</f>
        <v>成本法办</v>
      </c>
      <c r="D101" s="2735" t="str">
        <f>D4</f>
        <v>收益法办</v>
      </c>
      <c r="E101" s="3502" t="s">
        <v>1873</v>
      </c>
      <c r="F101" s="3503"/>
      <c r="G101" s="1941" t="s">
        <v>1874</v>
      </c>
      <c r="H101" s="2744">
        <f ca="1">H118</f>
        <v>150259</v>
      </c>
      <c r="I101" s="124"/>
    </row>
    <row r="102" spans="1:35" ht="18.75" customHeight="1">
      <c r="A102" s="3530" t="s">
        <v>1875</v>
      </c>
      <c r="B102" s="2733" t="s">
        <v>1874</v>
      </c>
      <c r="C102" s="2734">
        <f ca="1">C19</f>
        <v>167630</v>
      </c>
      <c r="D102" s="2735">
        <f ca="1">D19</f>
        <v>109727</v>
      </c>
      <c r="E102" s="3502"/>
      <c r="F102" s="3503"/>
      <c r="G102" s="1941" t="s">
        <v>1876</v>
      </c>
      <c r="H102" s="2704">
        <f ca="1">I118</f>
        <v>21773</v>
      </c>
      <c r="I102" s="124"/>
    </row>
    <row r="103" spans="1:35" ht="42.75" customHeight="1">
      <c r="A103" s="3530"/>
      <c r="B103" s="2733" t="s">
        <v>1876</v>
      </c>
      <c r="C103" s="2736">
        <f ca="1">C20</f>
        <v>24290</v>
      </c>
      <c r="D103" s="2737">
        <f ca="1">D20</f>
        <v>15900</v>
      </c>
      <c r="E103" s="3495" t="s">
        <v>1877</v>
      </c>
      <c r="F103" s="3496"/>
      <c r="G103" s="1942" t="s">
        <v>1878</v>
      </c>
      <c r="H103" s="2744">
        <f>IF(D36="正常操作",H104+H105+H106,H105+H106)</f>
        <v>0</v>
      </c>
      <c r="I103" s="124"/>
    </row>
    <row r="104" spans="1:35" ht="18.75" customHeight="1">
      <c r="A104" s="3530" t="s">
        <v>1879</v>
      </c>
      <c r="B104" s="2738" t="s">
        <v>1874</v>
      </c>
      <c r="C104" s="2739">
        <f ca="1">H118</f>
        <v>150259</v>
      </c>
      <c r="D104" s="2740"/>
      <c r="E104" s="1788" t="s">
        <v>1880</v>
      </c>
      <c r="F104" s="1780"/>
      <c r="G104" s="1942" t="s">
        <v>1878</v>
      </c>
      <c r="H104" s="2745">
        <f>IF(D36="同一抵押权人同一抵押物续贷",C36&amp;"（续贷，未扣减，详见特别提示）",C36)</f>
        <v>0</v>
      </c>
      <c r="I104" s="124"/>
    </row>
    <row r="105" spans="1:35" ht="18.75" customHeight="1" thickBot="1">
      <c r="A105" s="3540"/>
      <c r="B105" s="2741" t="s">
        <v>1876</v>
      </c>
      <c r="C105" s="2742">
        <f ca="1">I118</f>
        <v>21773</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1" t="str">
        <f>IF(项目基本情况!E8="已注销","——","3.房地产抵押价值")</f>
        <v>3.房地产抵押价值</v>
      </c>
      <c r="F107" s="3503"/>
      <c r="G107" s="1941" t="s">
        <v>1874</v>
      </c>
      <c r="H107" s="2744">
        <f ca="1">IF(E107="——","——",H101-H103)</f>
        <v>150259</v>
      </c>
      <c r="I107" s="124"/>
    </row>
    <row r="108" spans="1:35" ht="18.75" customHeight="1">
      <c r="A108" s="124"/>
      <c r="B108" s="124"/>
      <c r="C108" s="124"/>
      <c r="D108" s="124"/>
      <c r="E108" s="3531"/>
      <c r="F108" s="3503"/>
      <c r="G108" s="1941" t="s">
        <v>1876</v>
      </c>
      <c r="H108" s="2704">
        <f ca="1">ROUND(H107*10000/'数据-汇总表'!E3,0)</f>
        <v>8549</v>
      </c>
      <c r="I108" s="124"/>
    </row>
    <row r="109" spans="1:35" ht="18.75" customHeight="1">
      <c r="A109" s="124"/>
      <c r="B109" s="124"/>
      <c r="C109" s="124"/>
      <c r="D109" s="124"/>
      <c r="E109" s="3531" t="str">
        <f>IF(项目基本情况!E8="已注销及未注销","4.抵押担保权已注销时的房地产抵押价值",IF(项目基本情况!E8="已注销","3.抵押担保权已注销时的房地产抵押价值","——"))</f>
        <v>——</v>
      </c>
      <c r="F109" s="3503"/>
      <c r="G109" s="1941" t="s">
        <v>1874</v>
      </c>
      <c r="H109" s="2747" t="str">
        <f>IF(E109="——","——",H101-H105-H106)</f>
        <v>——</v>
      </c>
      <c r="I109" s="124"/>
    </row>
    <row r="110" spans="1:35" ht="18.75" customHeight="1">
      <c r="A110" s="124"/>
      <c r="B110" s="124"/>
      <c r="C110" s="124"/>
      <c r="D110" s="124"/>
      <c r="E110" s="3531"/>
      <c r="F110" s="3503"/>
      <c r="G110" s="1941" t="s">
        <v>1876</v>
      </c>
      <c r="H110" s="2704" t="str">
        <f>IF(H109="——","——",ROUND(H109*10000/'数据-汇总表'!E3,0))</f>
        <v>——</v>
      </c>
      <c r="I110" s="124"/>
    </row>
    <row r="111" spans="1:35" ht="18.75" customHeight="1">
      <c r="A111" s="124"/>
      <c r="B111" s="124"/>
      <c r="C111" s="124"/>
      <c r="D111" s="124"/>
      <c r="E111" s="3532" t="str">
        <f>IF(项目基本情况!E9="抵押净值",IF(OR(项目基本情况!E8="已注销",项目基本情况!E8="房地产抵押价值"),"4.抵押净值","5.抵押净值"),"——")</f>
        <v>——</v>
      </c>
      <c r="F111" s="3518"/>
      <c r="G111" s="1941" t="s">
        <v>1874</v>
      </c>
      <c r="H111" s="2744" t="str">
        <f>IF(E111="——","——",N59)</f>
        <v>——</v>
      </c>
      <c r="I111" s="124"/>
    </row>
    <row r="112" spans="1:35" ht="18.75" customHeight="1" thickBot="1">
      <c r="A112" s="124"/>
      <c r="B112" s="124"/>
      <c r="C112" s="124"/>
      <c r="D112" s="124"/>
      <c r="E112" s="3533"/>
      <c r="F112" s="3534"/>
      <c r="G112" s="1944" t="s">
        <v>1876</v>
      </c>
      <c r="H112" s="2748" t="str">
        <f>IF(E111="——","——",N61)</f>
        <v>——</v>
      </c>
      <c r="I112" s="124"/>
    </row>
    <row r="113" spans="1:27" ht="18.75" customHeight="1">
      <c r="A113" s="124"/>
      <c r="B113" s="124"/>
      <c r="C113" s="124"/>
      <c r="D113" s="124"/>
      <c r="E113" s="3541" t="s">
        <v>1882</v>
      </c>
      <c r="F113" s="3541"/>
      <c r="G113" s="3541"/>
      <c r="H113" s="3541"/>
      <c r="I113" s="124"/>
    </row>
    <row r="114" spans="1:27" ht="3.75" customHeight="1">
      <c r="A114" s="1861"/>
      <c r="B114" s="1861"/>
      <c r="C114" s="1861"/>
      <c r="D114" s="1861"/>
      <c r="E114" s="1923"/>
      <c r="F114" s="1923"/>
      <c r="G114" s="1923"/>
      <c r="H114" s="1923"/>
      <c r="I114" s="1861"/>
    </row>
    <row r="115" spans="1:27" ht="18.75" customHeight="1">
      <c r="A115" s="3551" t="s">
        <v>1884</v>
      </c>
      <c r="B115" s="3552"/>
      <c r="C115" s="3552"/>
      <c r="D115" s="3552"/>
      <c r="E115" s="3552"/>
      <c r="F115" s="3552"/>
      <c r="G115" s="3552"/>
      <c r="H115" s="3552"/>
      <c r="I115" s="3553"/>
    </row>
    <row r="116" spans="1:27" ht="27" customHeight="1">
      <c r="A116" s="3510" t="s">
        <v>1885</v>
      </c>
      <c r="B116" s="3480" t="s">
        <v>1886</v>
      </c>
      <c r="C116" s="3480" t="s">
        <v>1887</v>
      </c>
      <c r="D116" s="3482" t="s">
        <v>1888</v>
      </c>
      <c r="E116" s="3483"/>
      <c r="F116" s="3484" t="s">
        <v>1889</v>
      </c>
      <c r="G116" s="3484"/>
      <c r="H116" s="3510" t="s">
        <v>1890</v>
      </c>
      <c r="I116" s="3510"/>
    </row>
    <row r="117" spans="1:27" ht="18.75" customHeight="1">
      <c r="A117" s="3510"/>
      <c r="B117" s="3481"/>
      <c r="C117" s="3481"/>
      <c r="D117" s="3277" t="s">
        <v>1891</v>
      </c>
      <c r="E117" s="3277" t="s">
        <v>1892</v>
      </c>
      <c r="F117" s="3277" t="s">
        <v>1891</v>
      </c>
      <c r="G117" s="3277" t="s">
        <v>1893</v>
      </c>
      <c r="H117" s="3277" t="s">
        <v>1891</v>
      </c>
      <c r="I117" s="3277" t="s">
        <v>1893</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101575</v>
      </c>
      <c r="E118" s="3277">
        <f ca="1">ROUND(IF(C33="自定义",IF(D32="楼面单价",C34,D118*10000/B118),I118-G118),0)</f>
        <v>14719</v>
      </c>
      <c r="F118" s="3277">
        <f ca="1">ROUND(IF(D32="总价",C35,G118*B118/10000),0)</f>
        <v>48684</v>
      </c>
      <c r="G118" s="3277">
        <f ca="1">ROUND(IF(D32="楼面单价",C35,F118*10000/B118),0)</f>
        <v>7054</v>
      </c>
      <c r="H118" s="3277">
        <f ca="1">ROUND(IF(D32="总价",C32,I118*B118/10000),0)</f>
        <v>150259</v>
      </c>
      <c r="I118" s="3277">
        <f ca="1">ROUND(IF(D32="楼面单价",C32,H118*10000/B118),0)</f>
        <v>21773</v>
      </c>
    </row>
    <row r="119" spans="1:27" ht="18.75" customHeight="1">
      <c r="A119" s="3510" t="s">
        <v>1894</v>
      </c>
      <c r="B119" s="3510"/>
      <c r="C119" s="3510"/>
      <c r="D119" s="3514" t="str">
        <f ca="1">NUMBERSTRING(INT(D118*10000),2)&amp;"元整"</f>
        <v>壹拾亿壹仟伍佰柒拾伍万元整</v>
      </c>
      <c r="E119" s="3515"/>
      <c r="F119" s="3514" t="str">
        <f ca="1">NUMBERSTRING(INT(F118*10000),2)&amp;"元整"</f>
        <v>肆亿捌仟陆佰捌拾肆万元整</v>
      </c>
      <c r="G119" s="3515"/>
      <c r="H119" s="3514" t="str">
        <f ca="1">NUMBERSTRING(INT(H118*10000),2)&amp;"元整"</f>
        <v>壹拾伍亿零贰佰伍拾玖万元整</v>
      </c>
      <c r="I119" s="3515"/>
    </row>
    <row r="120" spans="1:27" ht="18.75" customHeight="1">
      <c r="A120" s="3511" t="str">
        <f>IF(项目基本情况!B9="房地产市场价值","",MID(E103,3,LEN(E103)-2))</f>
        <v>估价师知悉的法定优先受偿款</v>
      </c>
      <c r="B120" s="3512"/>
      <c r="C120" s="3513"/>
      <c r="D120" s="3511">
        <f>H103</f>
        <v>0</v>
      </c>
      <c r="E120" s="3512"/>
      <c r="F120" s="3512"/>
      <c r="G120" s="3512"/>
      <c r="H120" s="3512"/>
      <c r="I120" s="351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8" t="s">
        <v>1894</v>
      </c>
      <c r="B121" s="3549"/>
      <c r="C121" s="3550"/>
      <c r="D121" s="3514" t="str">
        <f>IF(D120=0,"零元整",NUMBERSTRING(INT(D120*10000),2)&amp;"元整")</f>
        <v>零元整</v>
      </c>
      <c r="E121" s="3516"/>
      <c r="F121" s="3516"/>
      <c r="G121" s="3516"/>
      <c r="H121" s="3516"/>
      <c r="I121" s="3515"/>
      <c r="AA121" s="720"/>
    </row>
    <row r="122" spans="1:27" ht="18.75" customHeight="1">
      <c r="A122" s="3518" t="str">
        <f>IF(项目基本情况!B9="房地产市场价值","",MID(E107,3,LEN(E107)-2))</f>
        <v>房地产抵押价值</v>
      </c>
      <c r="B122" s="3518"/>
      <c r="C122" s="3518"/>
      <c r="D122" s="3511">
        <f ca="1">H107</f>
        <v>150259</v>
      </c>
      <c r="E122" s="3512"/>
      <c r="F122" s="3512"/>
      <c r="G122" s="3512"/>
      <c r="H122" s="3512"/>
      <c r="I122" s="3513"/>
      <c r="AA122" s="720"/>
    </row>
    <row r="123" spans="1:27" ht="18.75" customHeight="1">
      <c r="A123" s="3510" t="s">
        <v>1894</v>
      </c>
      <c r="B123" s="3510"/>
      <c r="C123" s="3510"/>
      <c r="D123" s="3514" t="str">
        <f ca="1">NUMBERSTRING(INT(D122*10000),2)&amp;"元整"</f>
        <v>壹拾伍亿零贰佰伍拾玖万元整</v>
      </c>
      <c r="E123" s="3516"/>
      <c r="F123" s="3516"/>
      <c r="G123" s="3516"/>
      <c r="H123" s="3516"/>
      <c r="I123" s="3515"/>
      <c r="AA123" s="720"/>
    </row>
    <row r="124" spans="1:27" ht="18.75" customHeight="1">
      <c r="A124" s="3518" t="str">
        <f>IF(项目基本情况!B9="房地产市场价值","",MID(E109,3,LEN(E109)-2))</f>
        <v/>
      </c>
      <c r="B124" s="3518"/>
      <c r="C124" s="3518"/>
      <c r="D124" s="3511" t="str">
        <f>H109</f>
        <v>——</v>
      </c>
      <c r="E124" s="3512"/>
      <c r="F124" s="3512"/>
      <c r="G124" s="3512"/>
      <c r="H124" s="3512"/>
      <c r="I124" s="3513"/>
      <c r="AA124" s="720"/>
    </row>
    <row r="125" spans="1:27" ht="18.75" customHeight="1">
      <c r="A125" s="3510" t="s">
        <v>1894</v>
      </c>
      <c r="B125" s="3510"/>
      <c r="C125" s="3510"/>
      <c r="D125" s="3514" t="e">
        <f>NUMBERSTRING(INT(D124*10000),2)&amp;"元整"</f>
        <v>#VALUE!</v>
      </c>
      <c r="E125" s="3516"/>
      <c r="F125" s="3516"/>
      <c r="G125" s="3516"/>
      <c r="H125" s="3516"/>
      <c r="I125" s="3515"/>
      <c r="AA125" s="720"/>
    </row>
    <row r="126" spans="1:27" ht="18.75" customHeight="1">
      <c r="A126" s="3518" t="str">
        <f>IF(项目基本情况!B9="房地产市场价值","",MID(E111,3,LEN(E111)-2))</f>
        <v/>
      </c>
      <c r="B126" s="3518"/>
      <c r="C126" s="3518"/>
      <c r="D126" s="3511" t="str">
        <f>H111</f>
        <v>——</v>
      </c>
      <c r="E126" s="3512"/>
      <c r="F126" s="3512"/>
      <c r="G126" s="3512"/>
      <c r="H126" s="3512"/>
      <c r="I126" s="3513"/>
      <c r="AA126" s="720"/>
    </row>
    <row r="127" spans="1:27" ht="18.75" customHeight="1">
      <c r="A127" s="3510" t="s">
        <v>1894</v>
      </c>
      <c r="B127" s="3510"/>
      <c r="C127" s="3510"/>
      <c r="D127" s="3514" t="e">
        <f>NUMBERSTRING(INT(D126*10000),2)&amp;"元整"</f>
        <v>#VALUE!</v>
      </c>
      <c r="E127" s="3516"/>
      <c r="F127" s="3516"/>
      <c r="G127" s="3516"/>
      <c r="H127" s="3516"/>
      <c r="I127" s="3515"/>
      <c r="AA127" s="720"/>
    </row>
    <row r="128" spans="1:27" ht="21.75" customHeight="1">
      <c r="A128" s="3517" t="s">
        <v>1895</v>
      </c>
      <c r="B128" s="3517"/>
      <c r="C128" s="3517"/>
      <c r="D128" s="3517"/>
      <c r="E128" s="3517"/>
      <c r="F128" s="3517"/>
      <c r="G128" s="3517"/>
      <c r="H128" s="3517"/>
      <c r="I128" s="3517"/>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
  <cols>
    <col min="1" max="1" width="10.453125" style="353" customWidth="1"/>
    <col min="2" max="2" width="15.90625" style="353" customWidth="1"/>
    <col min="3" max="3" width="15.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2263</v>
      </c>
      <c r="C1" s="1323" t="s">
        <v>2107</v>
      </c>
      <c r="D1" s="1324" t="s">
        <v>3332</v>
      </c>
      <c r="E1" s="1333"/>
      <c r="F1" s="1993" t="s">
        <v>3590</v>
      </c>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f>IF(C2="——",ROUND(C50*D3/10000,0),ROUND(C50*D3/10000,0)-D2)</f>
        <v>0</v>
      </c>
      <c r="C2" s="1995" t="s">
        <v>70</v>
      </c>
      <c r="D2" s="1207" t="e">
        <f ca="1">SUMIF(INDIRECT("'"&amp;F2&amp;"'"&amp;"!A:A"),"承租人权益价值",INDIRECT("'"&amp;F2&amp;"'"&amp;"!c:c"))</f>
        <v>#REF!</v>
      </c>
      <c r="E2" s="1996" t="s">
        <v>1905</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f>IF(C2="——",C50,ROUND(B2*10000/D3,0))</f>
        <v>25280</v>
      </c>
      <c r="C3" s="350" t="s">
        <v>2221</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c r="A4" s="351" t="s">
        <v>2222</v>
      </c>
      <c r="B4" s="352"/>
      <c r="C4" s="3605" t="s">
        <v>2223</v>
      </c>
      <c r="D4" s="3606"/>
      <c r="E4" s="3607" t="s">
        <v>2224</v>
      </c>
      <c r="F4" s="3608"/>
      <c r="G4" s="3605" t="s">
        <v>2225</v>
      </c>
      <c r="H4" s="3606"/>
      <c r="I4" s="3605" t="s">
        <v>2226</v>
      </c>
      <c r="J4" s="3606"/>
      <c r="K4" s="557" t="s">
        <v>2227</v>
      </c>
      <c r="L4" s="2866"/>
      <c r="M4" s="2867"/>
      <c r="N4" s="2867"/>
      <c r="O4" s="2867"/>
      <c r="P4" s="3675" t="s">
        <v>2228</v>
      </c>
      <c r="Q4" s="3676"/>
      <c r="R4" s="3667" t="s">
        <v>2224</v>
      </c>
      <c r="S4" s="3668"/>
      <c r="T4" s="3667" t="s">
        <v>2225</v>
      </c>
      <c r="U4" s="3668"/>
      <c r="V4" s="3679" t="s">
        <v>2226</v>
      </c>
      <c r="W4" s="3679"/>
      <c r="X4" s="2072"/>
      <c r="Y4" s="3667" t="s">
        <v>2228</v>
      </c>
      <c r="Z4" s="3668"/>
      <c r="AA4" s="3666" t="s">
        <v>2224</v>
      </c>
      <c r="AB4" s="3666" t="s">
        <v>2225</v>
      </c>
      <c r="AC4" s="3672" t="s">
        <v>2226</v>
      </c>
    </row>
    <row r="5" spans="1:29">
      <c r="A5" s="354"/>
      <c r="B5" s="355"/>
      <c r="C5" s="3598" t="s">
        <v>2119</v>
      </c>
      <c r="D5" s="3599"/>
      <c r="E5" s="3669" t="s">
        <v>3620</v>
      </c>
      <c r="F5" s="3597"/>
      <c r="G5" s="3670" t="s">
        <v>3637</v>
      </c>
      <c r="H5" s="3671"/>
      <c r="I5" s="3670" t="s">
        <v>3637</v>
      </c>
      <c r="J5" s="3671"/>
      <c r="K5" s="557"/>
      <c r="L5" s="2866"/>
      <c r="M5" s="2867"/>
      <c r="N5" s="2867"/>
      <c r="O5" s="2867"/>
      <c r="P5" s="3677"/>
      <c r="Q5" s="3612"/>
      <c r="R5" s="3594"/>
      <c r="S5" s="3595"/>
      <c r="T5" s="3594"/>
      <c r="U5" s="3595"/>
      <c r="V5" s="3617"/>
      <c r="W5" s="3617"/>
      <c r="X5" s="1468"/>
      <c r="Y5" s="3594"/>
      <c r="Z5" s="3595"/>
      <c r="AA5" s="3588"/>
      <c r="AB5" s="3588"/>
      <c r="AC5" s="3673"/>
    </row>
    <row r="6" spans="1:29" ht="15" thickBot="1">
      <c r="A6" s="356"/>
      <c r="B6" s="357"/>
      <c r="C6" s="3600" t="s">
        <v>2123</v>
      </c>
      <c r="D6" s="3601"/>
      <c r="E6" s="3602" t="s">
        <v>2123</v>
      </c>
      <c r="F6" s="3603"/>
      <c r="G6" s="3600" t="s">
        <v>2123</v>
      </c>
      <c r="H6" s="3601"/>
      <c r="I6" s="3600" t="s">
        <v>2123</v>
      </c>
      <c r="J6" s="3601"/>
      <c r="K6" s="557" t="s">
        <v>2124</v>
      </c>
      <c r="L6" s="2866"/>
      <c r="M6" s="2867"/>
      <c r="N6" s="2867"/>
      <c r="O6" s="2867"/>
      <c r="P6" s="3678"/>
      <c r="Q6" s="3614"/>
      <c r="R6" s="3594"/>
      <c r="S6" s="3595"/>
      <c r="T6" s="3615"/>
      <c r="U6" s="3616"/>
      <c r="V6" s="3617"/>
      <c r="W6" s="3617"/>
      <c r="X6" s="1468"/>
      <c r="Y6" s="3615"/>
      <c r="Z6" s="3616"/>
      <c r="AA6" s="3589"/>
      <c r="AB6" s="3589"/>
      <c r="AC6" s="3674"/>
    </row>
    <row r="7" spans="1:29" s="110" customFormat="1" ht="14.5" thickBot="1">
      <c r="A7" s="358" t="s">
        <v>2125</v>
      </c>
      <c r="B7" s="359"/>
      <c r="C7" s="360">
        <f>'数据-取费表'!B2</f>
        <v>44693</v>
      </c>
      <c r="D7" s="361">
        <v>100</v>
      </c>
      <c r="E7" s="362">
        <v>44682</v>
      </c>
      <c r="F7" s="363">
        <f>SUMIF(59:59,YEAR(E7)&amp;"-"&amp;MONTH(E7),60:60)</f>
        <v>100</v>
      </c>
      <c r="G7" s="362">
        <v>44652</v>
      </c>
      <c r="H7" s="361">
        <f>SUMIF(59:59,YEAR(G7)&amp;"-"&amp;MONTH(G7),60:60)</f>
        <v>100</v>
      </c>
      <c r="I7" s="362">
        <v>44682</v>
      </c>
      <c r="J7" s="361">
        <f>SUMIF(59:59,YEAR(I7)&amp;"-"&amp;MONTH(I7),60:60)</f>
        <v>100</v>
      </c>
      <c r="K7" s="558"/>
      <c r="L7" s="2868"/>
      <c r="M7" s="2869"/>
      <c r="N7" s="2869"/>
      <c r="O7" s="2869"/>
      <c r="P7" s="3680" t="s">
        <v>2126</v>
      </c>
      <c r="Q7" s="3618"/>
      <c r="R7" s="696" t="s">
        <v>17</v>
      </c>
      <c r="S7" s="697">
        <f t="shared" ref="S7:S15" si="0">F7</f>
        <v>100</v>
      </c>
      <c r="T7" s="696" t="s">
        <v>17</v>
      </c>
      <c r="U7" s="697">
        <f t="shared" ref="U7:U15" si="1">H7</f>
        <v>100</v>
      </c>
      <c r="V7" s="696" t="s">
        <v>17</v>
      </c>
      <c r="W7" s="697">
        <f t="shared" ref="W7:W15" si="2">J7</f>
        <v>100</v>
      </c>
      <c r="X7" s="698"/>
      <c r="Y7" s="3590" t="s">
        <v>2126</v>
      </c>
      <c r="Z7" s="3591"/>
      <c r="AA7" s="699">
        <f>D7/F7</f>
        <v>1</v>
      </c>
      <c r="AB7" s="699">
        <f>D7/H7</f>
        <v>1</v>
      </c>
      <c r="AC7" s="2073">
        <f>D7/J7</f>
        <v>1</v>
      </c>
    </row>
    <row r="8" spans="1:29" s="110" customFormat="1" ht="14.5" thickBot="1">
      <c r="A8" s="358" t="s">
        <v>2127</v>
      </c>
      <c r="B8" s="359"/>
      <c r="C8" s="364" t="s">
        <v>2229</v>
      </c>
      <c r="D8" s="361">
        <v>100</v>
      </c>
      <c r="E8" s="364" t="s">
        <v>3631</v>
      </c>
      <c r="F8" s="363">
        <f>SUMIF(62:62,E8,63:63)-SUMIF(62:62,C8,63:63)+100</f>
        <v>100</v>
      </c>
      <c r="G8" s="364" t="s">
        <v>3631</v>
      </c>
      <c r="H8" s="361">
        <f>SUMIF(62:62,G8,63:63)-SUMIF(62:62,C8,63:63)+100</f>
        <v>100</v>
      </c>
      <c r="I8" s="364" t="s">
        <v>3631</v>
      </c>
      <c r="J8" s="361">
        <f>SUMIF(62:62,I8,63:63)-SUMIF(62:62,C8,63:63)+100</f>
        <v>100</v>
      </c>
      <c r="K8" s="558"/>
      <c r="L8" s="2868"/>
      <c r="M8" s="2869"/>
      <c r="N8" s="2869"/>
      <c r="O8" s="2869"/>
      <c r="P8" s="3680" t="s">
        <v>2129</v>
      </c>
      <c r="Q8" s="3591"/>
      <c r="R8" s="696" t="s">
        <v>17</v>
      </c>
      <c r="S8" s="697">
        <f t="shared" si="0"/>
        <v>100</v>
      </c>
      <c r="T8" s="696" t="s">
        <v>17</v>
      </c>
      <c r="U8" s="697">
        <f t="shared" si="1"/>
        <v>100</v>
      </c>
      <c r="V8" s="696" t="s">
        <v>17</v>
      </c>
      <c r="W8" s="697">
        <f t="shared" si="2"/>
        <v>100</v>
      </c>
      <c r="X8" s="698"/>
      <c r="Y8" s="3590" t="s">
        <v>2129</v>
      </c>
      <c r="Z8" s="3591"/>
      <c r="AA8" s="699">
        <f t="shared" ref="AA8:AA47" si="3">D8/F8</f>
        <v>1</v>
      </c>
      <c r="AB8" s="699">
        <f t="shared" ref="AB8:AB47" si="4">D8/H8</f>
        <v>1</v>
      </c>
      <c r="AC8" s="2073">
        <f t="shared" ref="AC8:AC47" si="5">D8/J8</f>
        <v>1</v>
      </c>
    </row>
    <row r="9" spans="1:29" s="110" customFormat="1">
      <c r="A9" s="365" t="s">
        <v>2130</v>
      </c>
      <c r="B9" s="67" t="s">
        <v>2131</v>
      </c>
      <c r="C9" s="3343" t="s">
        <v>3591</v>
      </c>
      <c r="D9" s="121">
        <v>100</v>
      </c>
      <c r="E9" s="369" t="s">
        <v>27</v>
      </c>
      <c r="F9" s="121">
        <f>SUMIF(64:64,E9,65:65)-SUMIF(64:64,C9,65:65)+100</f>
        <v>100</v>
      </c>
      <c r="G9" s="369" t="s">
        <v>27</v>
      </c>
      <c r="H9" s="121">
        <f>SUMIF(64:64,G9,65:65)-SUMIF(64:64,C9,65:65)+100</f>
        <v>100</v>
      </c>
      <c r="I9" s="369" t="s">
        <v>27</v>
      </c>
      <c r="J9" s="121">
        <f>SUMIF(64:64,I9,65:65)-SUMIF(64:64,C9,65:65)+100</f>
        <v>100</v>
      </c>
      <c r="K9" s="558"/>
      <c r="L9" s="2868"/>
      <c r="M9" s="2869"/>
      <c r="N9" s="2869"/>
      <c r="O9" s="2869"/>
      <c r="P9" s="3628" t="s">
        <v>2132</v>
      </c>
      <c r="Q9" s="1456" t="str">
        <f t="shared" ref="Q9:Q15" si="6">B9</f>
        <v>用途</v>
      </c>
      <c r="R9" s="696" t="s">
        <v>17</v>
      </c>
      <c r="S9" s="697">
        <f t="shared" si="0"/>
        <v>100</v>
      </c>
      <c r="T9" s="696" t="s">
        <v>17</v>
      </c>
      <c r="U9" s="697">
        <f t="shared" si="1"/>
        <v>100</v>
      </c>
      <c r="V9" s="696" t="s">
        <v>17</v>
      </c>
      <c r="W9" s="697">
        <f t="shared" si="2"/>
        <v>100</v>
      </c>
      <c r="X9" s="698"/>
      <c r="Y9" s="3563" t="s">
        <v>2133</v>
      </c>
      <c r="Z9" s="55" t="str">
        <f t="shared" ref="Z9:Z15" si="7">Q9</f>
        <v>用途</v>
      </c>
      <c r="AA9" s="699">
        <f t="shared" si="3"/>
        <v>1</v>
      </c>
      <c r="AB9" s="699">
        <f t="shared" si="4"/>
        <v>1</v>
      </c>
      <c r="AC9" s="2073">
        <f t="shared" si="5"/>
        <v>1</v>
      </c>
    </row>
    <row r="10" spans="1:29" s="376" customFormat="1" ht="28">
      <c r="A10" s="370"/>
      <c r="B10" s="371" t="s">
        <v>2134</v>
      </c>
      <c r="C10" s="372" t="s">
        <v>3592</v>
      </c>
      <c r="D10" s="122">
        <v>100</v>
      </c>
      <c r="E10" s="372" t="s">
        <v>3634</v>
      </c>
      <c r="F10" s="122">
        <f>SUMIF(66:66,E10,67:67)-SUMIF(66:66,C10,67:67)+100</f>
        <v>99</v>
      </c>
      <c r="G10" s="372" t="s">
        <v>3634</v>
      </c>
      <c r="H10" s="122">
        <f>SUMIF(66:66,G10,67:67)-SUMIF(66:66,C10,67:67)+100</f>
        <v>99</v>
      </c>
      <c r="I10" s="372" t="s">
        <v>3634</v>
      </c>
      <c r="J10" s="122">
        <f>SUMIF(66:66,I10,67:67)-SUMIF(66:66,C10,67:67)+100</f>
        <v>99</v>
      </c>
      <c r="K10" s="559">
        <v>1</v>
      </c>
      <c r="L10" s="2870"/>
      <c r="M10" s="2871"/>
      <c r="N10" s="2871"/>
      <c r="O10" s="2871"/>
      <c r="P10" s="3628"/>
      <c r="Q10" s="1456" t="str">
        <f t="shared" si="6"/>
        <v>土地使用年限（年）</v>
      </c>
      <c r="R10" s="696" t="s">
        <v>17</v>
      </c>
      <c r="S10" s="697">
        <f t="shared" si="0"/>
        <v>99</v>
      </c>
      <c r="T10" s="696" t="s">
        <v>17</v>
      </c>
      <c r="U10" s="697">
        <f t="shared" si="1"/>
        <v>99</v>
      </c>
      <c r="V10" s="696" t="s">
        <v>17</v>
      </c>
      <c r="W10" s="697">
        <f t="shared" si="2"/>
        <v>99</v>
      </c>
      <c r="X10" s="698"/>
      <c r="Y10" s="3563"/>
      <c r="Z10" s="55" t="str">
        <f t="shared" si="7"/>
        <v>土地使用年限（年）</v>
      </c>
      <c r="AA10" s="699">
        <f t="shared" si="3"/>
        <v>1.0101010101010102</v>
      </c>
      <c r="AB10" s="699">
        <f t="shared" si="4"/>
        <v>1.0101010101010102</v>
      </c>
      <c r="AC10" s="2073">
        <f t="shared" si="5"/>
        <v>1.0101010101010102</v>
      </c>
    </row>
    <row r="11" spans="1:29" ht="15.5">
      <c r="A11" s="377"/>
      <c r="B11" s="371" t="s">
        <v>2135</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628"/>
      <c r="Q11" s="1456" t="str">
        <f t="shared" si="6"/>
        <v>容积率</v>
      </c>
      <c r="R11" s="696" t="s">
        <v>17</v>
      </c>
      <c r="S11" s="697">
        <f t="shared" si="0"/>
        <v>100</v>
      </c>
      <c r="T11" s="696" t="s">
        <v>17</v>
      </c>
      <c r="U11" s="697">
        <f t="shared" si="1"/>
        <v>100</v>
      </c>
      <c r="V11" s="696" t="s">
        <v>17</v>
      </c>
      <c r="W11" s="697">
        <f t="shared" si="2"/>
        <v>100</v>
      </c>
      <c r="X11" s="698"/>
      <c r="Y11" s="3563"/>
      <c r="Z11" s="55" t="str">
        <f t="shared" si="7"/>
        <v>容积率</v>
      </c>
      <c r="AA11" s="699">
        <f t="shared" si="3"/>
        <v>1</v>
      </c>
      <c r="AB11" s="699">
        <f t="shared" si="4"/>
        <v>1</v>
      </c>
      <c r="AC11" s="2073">
        <f t="shared" si="5"/>
        <v>1</v>
      </c>
    </row>
    <row r="12" spans="1:29" s="110" customFormat="1" ht="15.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628"/>
      <c r="Q12" s="1456">
        <f t="shared" si="6"/>
        <v>111</v>
      </c>
      <c r="R12" s="696" t="s">
        <v>17</v>
      </c>
      <c r="S12" s="697">
        <f t="shared" si="0"/>
        <v>100</v>
      </c>
      <c r="T12" s="696" t="s">
        <v>17</v>
      </c>
      <c r="U12" s="697">
        <f t="shared" si="1"/>
        <v>100</v>
      </c>
      <c r="V12" s="696" t="s">
        <v>17</v>
      </c>
      <c r="W12" s="697">
        <f t="shared" si="2"/>
        <v>100</v>
      </c>
      <c r="X12" s="698"/>
      <c r="Y12" s="3563"/>
      <c r="Z12" s="55">
        <f t="shared" si="7"/>
        <v>111</v>
      </c>
      <c r="AA12" s="699">
        <f>D12/F12</f>
        <v>1</v>
      </c>
      <c r="AB12" s="699">
        <f>D12/H12</f>
        <v>1</v>
      </c>
      <c r="AC12" s="2073">
        <f>D12/J12</f>
        <v>1</v>
      </c>
    </row>
    <row r="13" spans="1:29" ht="15.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628"/>
      <c r="Q13" s="1456">
        <f t="shared" si="6"/>
        <v>111</v>
      </c>
      <c r="R13" s="696" t="s">
        <v>17</v>
      </c>
      <c r="S13" s="697">
        <f t="shared" si="0"/>
        <v>100</v>
      </c>
      <c r="T13" s="696" t="s">
        <v>17</v>
      </c>
      <c r="U13" s="697">
        <f t="shared" si="1"/>
        <v>100</v>
      </c>
      <c r="V13" s="696" t="s">
        <v>17</v>
      </c>
      <c r="W13" s="697">
        <f t="shared" si="2"/>
        <v>100</v>
      </c>
      <c r="X13" s="698"/>
      <c r="Y13" s="3563"/>
      <c r="Z13" s="55">
        <f t="shared" si="7"/>
        <v>111</v>
      </c>
      <c r="AA13" s="699">
        <f t="shared" si="3"/>
        <v>1</v>
      </c>
      <c r="AB13" s="699">
        <f t="shared" si="4"/>
        <v>1</v>
      </c>
      <c r="AC13" s="2073">
        <f t="shared" si="5"/>
        <v>1</v>
      </c>
    </row>
    <row r="14" spans="1:29" ht="16"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628"/>
      <c r="Q14" s="1456">
        <f t="shared" si="6"/>
        <v>111</v>
      </c>
      <c r="R14" s="696" t="s">
        <v>17</v>
      </c>
      <c r="S14" s="697">
        <f t="shared" si="0"/>
        <v>100</v>
      </c>
      <c r="T14" s="696" t="s">
        <v>17</v>
      </c>
      <c r="U14" s="697">
        <f t="shared" si="1"/>
        <v>100</v>
      </c>
      <c r="V14" s="696" t="s">
        <v>17</v>
      </c>
      <c r="W14" s="697">
        <f t="shared" si="2"/>
        <v>100</v>
      </c>
      <c r="X14" s="698"/>
      <c r="Y14" s="3563"/>
      <c r="Z14" s="55">
        <f t="shared" si="7"/>
        <v>111</v>
      </c>
      <c r="AA14" s="699">
        <f t="shared" si="3"/>
        <v>1</v>
      </c>
      <c r="AB14" s="699">
        <f t="shared" si="4"/>
        <v>1</v>
      </c>
      <c r="AC14" s="2073">
        <f t="shared" si="5"/>
        <v>1</v>
      </c>
    </row>
    <row r="15" spans="1:29" ht="84">
      <c r="A15" s="389" t="s">
        <v>2136</v>
      </c>
      <c r="B15" s="575" t="s">
        <v>2264</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64" t="s">
        <v>2137</v>
      </c>
      <c r="Q15" s="1465" t="str">
        <f t="shared" si="6"/>
        <v>办公集聚程度</v>
      </c>
      <c r="R15" s="700" t="s">
        <v>17</v>
      </c>
      <c r="S15" s="701">
        <f t="shared" si="0"/>
        <v>100</v>
      </c>
      <c r="T15" s="700" t="s">
        <v>17</v>
      </c>
      <c r="U15" s="701">
        <f t="shared" si="1"/>
        <v>102</v>
      </c>
      <c r="V15" s="700" t="s">
        <v>17</v>
      </c>
      <c r="W15" s="701">
        <f t="shared" si="2"/>
        <v>102</v>
      </c>
      <c r="X15" s="1468"/>
      <c r="Y15" s="3619" t="s">
        <v>2137</v>
      </c>
      <c r="Z15" s="1469" t="str">
        <f t="shared" si="7"/>
        <v>办公集聚程度</v>
      </c>
      <c r="AA15" s="1466">
        <f t="shared" si="3"/>
        <v>1</v>
      </c>
      <c r="AB15" s="1466">
        <f t="shared" si="4"/>
        <v>0.98039215686274506</v>
      </c>
      <c r="AC15" s="2076">
        <f t="shared" si="5"/>
        <v>0.98039215686274506</v>
      </c>
    </row>
    <row r="16" spans="1:29" ht="15.5">
      <c r="A16" s="377"/>
      <c r="B16" s="576"/>
      <c r="C16" s="2018" t="s">
        <v>3262</v>
      </c>
      <c r="D16" s="397"/>
      <c r="E16" s="2018" t="s">
        <v>3262</v>
      </c>
      <c r="F16" s="397"/>
      <c r="G16" s="2018" t="s">
        <v>3261</v>
      </c>
      <c r="H16" s="399"/>
      <c r="I16" s="2018" t="s">
        <v>3261</v>
      </c>
      <c r="J16" s="397"/>
      <c r="K16" s="562"/>
      <c r="L16" s="2873"/>
      <c r="M16" s="2867"/>
      <c r="N16" s="2867"/>
      <c r="O16" s="2867"/>
      <c r="P16" s="3665"/>
      <c r="Q16" s="1465"/>
      <c r="R16" s="700"/>
      <c r="S16" s="701"/>
      <c r="T16" s="700"/>
      <c r="U16" s="701"/>
      <c r="V16" s="700"/>
      <c r="W16" s="701"/>
      <c r="X16" s="1468"/>
      <c r="Y16" s="3620"/>
      <c r="Z16" s="1469"/>
      <c r="AA16" s="1466">
        <v>1</v>
      </c>
      <c r="AB16" s="1466">
        <v>1</v>
      </c>
      <c r="AC16" s="2076">
        <v>1</v>
      </c>
    </row>
    <row r="17" spans="1:29" ht="126">
      <c r="A17" s="377"/>
      <c r="B17" s="577" t="s">
        <v>1701</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103</v>
      </c>
      <c r="G17" s="401"/>
      <c r="H17" s="404">
        <f>SUMIF(79:79,G18,80:80)-SUMIF(79:79,C18,80:80)+100</f>
        <v>103</v>
      </c>
      <c r="I17" s="401"/>
      <c r="J17" s="404">
        <f>SUMIF(79:79,I18,80:80)-SUMIF(79:79,C18,80:80)+100</f>
        <v>103</v>
      </c>
      <c r="K17" s="561">
        <f>'土地比较法-住宅、综合'!K21</f>
        <v>3</v>
      </c>
      <c r="L17" s="2873"/>
      <c r="M17" s="2867"/>
      <c r="N17" s="2867"/>
      <c r="O17" s="2867"/>
      <c r="P17" s="3665"/>
      <c r="Q17" s="1465" t="str">
        <f>B17</f>
        <v>交通便捷度</v>
      </c>
      <c r="R17" s="700" t="s">
        <v>17</v>
      </c>
      <c r="S17" s="701">
        <f>F17</f>
        <v>103</v>
      </c>
      <c r="T17" s="700" t="s">
        <v>17</v>
      </c>
      <c r="U17" s="701">
        <f>H17</f>
        <v>103</v>
      </c>
      <c r="V17" s="700" t="s">
        <v>17</v>
      </c>
      <c r="W17" s="701">
        <f>J17</f>
        <v>103</v>
      </c>
      <c r="X17" s="1468"/>
      <c r="Y17" s="3620"/>
      <c r="Z17" s="1469" t="str">
        <f>Q17</f>
        <v>交通便捷度</v>
      </c>
      <c r="AA17" s="1466">
        <f t="shared" si="3"/>
        <v>0.970873786407767</v>
      </c>
      <c r="AB17" s="1466">
        <f t="shared" si="4"/>
        <v>0.970873786407767</v>
      </c>
      <c r="AC17" s="2076">
        <f t="shared" si="5"/>
        <v>0.970873786407767</v>
      </c>
    </row>
    <row r="18" spans="1:29" ht="15.5">
      <c r="A18" s="377"/>
      <c r="B18" s="578"/>
      <c r="C18" s="2078" t="s">
        <v>3262</v>
      </c>
      <c r="D18" s="399"/>
      <c r="E18" s="2016" t="s">
        <v>3261</v>
      </c>
      <c r="F18" s="399"/>
      <c r="G18" s="2017" t="s">
        <v>3261</v>
      </c>
      <c r="H18" s="397"/>
      <c r="I18" s="2017" t="s">
        <v>3261</v>
      </c>
      <c r="J18" s="397"/>
      <c r="K18" s="562"/>
      <c r="L18" s="2873"/>
      <c r="M18" s="2867"/>
      <c r="N18" s="2867"/>
      <c r="O18" s="2867"/>
      <c r="P18" s="3665"/>
      <c r="Q18" s="1465"/>
      <c r="R18" s="700"/>
      <c r="S18" s="701"/>
      <c r="T18" s="700"/>
      <c r="U18" s="701"/>
      <c r="V18" s="700"/>
      <c r="W18" s="701"/>
      <c r="X18" s="1468"/>
      <c r="Y18" s="3620"/>
      <c r="Z18" s="1469"/>
      <c r="AA18" s="1466">
        <v>1</v>
      </c>
      <c r="AB18" s="1466">
        <v>1</v>
      </c>
      <c r="AC18" s="2076">
        <v>1</v>
      </c>
    </row>
    <row r="19" spans="1:29" ht="42">
      <c r="A19" s="377"/>
      <c r="B19" s="577" t="s">
        <v>2265</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65"/>
      <c r="Q19" s="1465" t="str">
        <f>B19</f>
        <v>公共配套设施</v>
      </c>
      <c r="R19" s="700" t="s">
        <v>17</v>
      </c>
      <c r="S19" s="701">
        <f>F19</f>
        <v>100</v>
      </c>
      <c r="T19" s="700" t="s">
        <v>17</v>
      </c>
      <c r="U19" s="701">
        <f>H19</f>
        <v>100</v>
      </c>
      <c r="V19" s="700" t="s">
        <v>17</v>
      </c>
      <c r="W19" s="701">
        <f>J19</f>
        <v>100</v>
      </c>
      <c r="X19" s="1468"/>
      <c r="Y19" s="3620"/>
      <c r="Z19" s="1469" t="str">
        <f>Q19</f>
        <v>公共配套设施</v>
      </c>
      <c r="AA19" s="1466">
        <f t="shared" si="3"/>
        <v>1</v>
      </c>
      <c r="AB19" s="1466">
        <f t="shared" si="4"/>
        <v>1</v>
      </c>
      <c r="AC19" s="2076">
        <f t="shared" si="5"/>
        <v>1</v>
      </c>
    </row>
    <row r="20" spans="1:29" ht="15.5">
      <c r="A20" s="377"/>
      <c r="B20" s="578"/>
      <c r="C20" s="2018" t="s">
        <v>3262</v>
      </c>
      <c r="D20" s="397"/>
      <c r="E20" s="2018" t="s">
        <v>3262</v>
      </c>
      <c r="F20" s="397"/>
      <c r="G20" s="2018" t="s">
        <v>3262</v>
      </c>
      <c r="H20" s="397"/>
      <c r="I20" s="2018" t="s">
        <v>3262</v>
      </c>
      <c r="J20" s="397"/>
      <c r="K20" s="562"/>
      <c r="L20" s="2873"/>
      <c r="M20" s="2867"/>
      <c r="N20" s="2867"/>
      <c r="O20" s="2867"/>
      <c r="P20" s="3665"/>
      <c r="Q20" s="1465"/>
      <c r="R20" s="700"/>
      <c r="S20" s="701"/>
      <c r="T20" s="700"/>
      <c r="U20" s="701"/>
      <c r="V20" s="700"/>
      <c r="W20" s="701"/>
      <c r="X20" s="1468"/>
      <c r="Y20" s="3620"/>
      <c r="Z20" s="1469"/>
      <c r="AA20" s="1466">
        <v>1</v>
      </c>
      <c r="AB20" s="1466">
        <v>1</v>
      </c>
      <c r="AC20" s="2076">
        <v>1</v>
      </c>
    </row>
    <row r="21" spans="1:29" ht="15.5">
      <c r="A21" s="377"/>
      <c r="B21" s="579" t="s">
        <v>2266</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65"/>
      <c r="Q21" s="1465" t="str">
        <f>B21</f>
        <v>基础设施水平</v>
      </c>
      <c r="R21" s="700" t="s">
        <v>17</v>
      </c>
      <c r="S21" s="701">
        <f>F21</f>
        <v>100</v>
      </c>
      <c r="T21" s="700" t="s">
        <v>17</v>
      </c>
      <c r="U21" s="701">
        <f>H21</f>
        <v>100</v>
      </c>
      <c r="V21" s="700" t="s">
        <v>17</v>
      </c>
      <c r="W21" s="701">
        <f>J21</f>
        <v>100</v>
      </c>
      <c r="X21" s="1468"/>
      <c r="Y21" s="3620"/>
      <c r="Z21" s="1469" t="str">
        <f>Q21</f>
        <v>基础设施水平</v>
      </c>
      <c r="AA21" s="1466">
        <f t="shared" ref="AA21" si="8">D21/F21</f>
        <v>1</v>
      </c>
      <c r="AB21" s="1466">
        <f t="shared" ref="AB21" si="9">D21/H21</f>
        <v>1</v>
      </c>
      <c r="AC21" s="2076">
        <f t="shared" ref="AC21" si="10">D21/J21</f>
        <v>1</v>
      </c>
    </row>
    <row r="22" spans="1:29" ht="15.5">
      <c r="A22" s="377"/>
      <c r="B22" s="579"/>
      <c r="C22" s="2078" t="s">
        <v>3255</v>
      </c>
      <c r="D22" s="397"/>
      <c r="E22" s="2078" t="s">
        <v>3255</v>
      </c>
      <c r="F22" s="397"/>
      <c r="G22" s="2078" t="s">
        <v>3255</v>
      </c>
      <c r="H22" s="397"/>
      <c r="I22" s="2078" t="s">
        <v>3255</v>
      </c>
      <c r="J22" s="397"/>
      <c r="K22" s="1224"/>
      <c r="L22" s="2873"/>
      <c r="M22" s="2867"/>
      <c r="N22" s="2867"/>
      <c r="O22" s="2867"/>
      <c r="P22" s="3665"/>
      <c r="Q22" s="1465"/>
      <c r="R22" s="700"/>
      <c r="S22" s="701"/>
      <c r="T22" s="700"/>
      <c r="U22" s="701"/>
      <c r="V22" s="700"/>
      <c r="W22" s="701"/>
      <c r="X22" s="1468"/>
      <c r="Y22" s="3620"/>
      <c r="Z22" s="1469"/>
      <c r="AA22" s="1466">
        <v>1</v>
      </c>
      <c r="AB22" s="1466">
        <v>1</v>
      </c>
      <c r="AC22" s="2076">
        <v>1</v>
      </c>
    </row>
    <row r="23" spans="1:29" ht="98">
      <c r="A23" s="377"/>
      <c r="B23" s="577" t="s">
        <v>2267</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3</v>
      </c>
      <c r="L23" s="2873"/>
      <c r="M23" s="2867"/>
      <c r="N23" s="2867"/>
      <c r="O23" s="2867"/>
      <c r="P23" s="3665"/>
      <c r="Q23" s="1465" t="str">
        <f>B23</f>
        <v>环境质量</v>
      </c>
      <c r="R23" s="700" t="s">
        <v>17</v>
      </c>
      <c r="S23" s="701">
        <f>F23</f>
        <v>100</v>
      </c>
      <c r="T23" s="700" t="s">
        <v>17</v>
      </c>
      <c r="U23" s="701">
        <f>H23</f>
        <v>100</v>
      </c>
      <c r="V23" s="700" t="s">
        <v>17</v>
      </c>
      <c r="W23" s="701">
        <f>J23</f>
        <v>100</v>
      </c>
      <c r="X23" s="1468"/>
      <c r="Y23" s="3620"/>
      <c r="Z23" s="1469" t="str">
        <f>Q23</f>
        <v>环境质量</v>
      </c>
      <c r="AA23" s="1466">
        <f t="shared" si="3"/>
        <v>1</v>
      </c>
      <c r="AB23" s="1466">
        <f t="shared" si="4"/>
        <v>1</v>
      </c>
      <c r="AC23" s="2076">
        <f t="shared" si="5"/>
        <v>1</v>
      </c>
    </row>
    <row r="24" spans="1:29" ht="15.5">
      <c r="A24" s="377"/>
      <c r="B24" s="579"/>
      <c r="C24" s="2018" t="s">
        <v>3261</v>
      </c>
      <c r="D24" s="397"/>
      <c r="E24" s="2018" t="s">
        <v>3261</v>
      </c>
      <c r="F24" s="397"/>
      <c r="G24" s="2012" t="s">
        <v>3261</v>
      </c>
      <c r="H24" s="397"/>
      <c r="I24" s="2012" t="s">
        <v>3261</v>
      </c>
      <c r="J24" s="397"/>
      <c r="K24" s="562"/>
      <c r="L24" s="2873"/>
      <c r="M24" s="2867"/>
      <c r="N24" s="2867"/>
      <c r="O24" s="2867"/>
      <c r="P24" s="3665"/>
      <c r="Q24" s="1465"/>
      <c r="R24" s="700"/>
      <c r="S24" s="701"/>
      <c r="T24" s="700"/>
      <c r="U24" s="701"/>
      <c r="V24" s="700"/>
      <c r="W24" s="701"/>
      <c r="X24" s="1468"/>
      <c r="Y24" s="3620"/>
      <c r="Z24" s="1469"/>
      <c r="AA24" s="1466">
        <v>1</v>
      </c>
      <c r="AB24" s="1466">
        <v>1</v>
      </c>
      <c r="AC24" s="2076">
        <v>1</v>
      </c>
    </row>
    <row r="25" spans="1:29" ht="28">
      <c r="A25" s="354"/>
      <c r="B25" s="577" t="s">
        <v>2268</v>
      </c>
      <c r="C25" s="3349" t="s">
        <v>3636</v>
      </c>
      <c r="D25" s="384">
        <v>100</v>
      </c>
      <c r="E25" s="3349" t="s">
        <v>3636</v>
      </c>
      <c r="F25" s="384">
        <f>SUMIF(87:87,E26,88:88)-SUMIF(87:87,C26,88:88)+100</f>
        <v>100</v>
      </c>
      <c r="G25" s="3348" t="s">
        <v>3635</v>
      </c>
      <c r="H25" s="384">
        <f>SUMIF(87:87,G26,88:88)-SUMIF(87:87,C26,88:88)+100</f>
        <v>99</v>
      </c>
      <c r="I25" s="3348" t="s">
        <v>3635</v>
      </c>
      <c r="J25" s="384">
        <f>SUMIF(87:87,I26,88:88)-SUMIF(87:87,C26,88:88)+100</f>
        <v>99</v>
      </c>
      <c r="K25" s="561">
        <f>'土地比较法-住宅、综合'!K32</f>
        <v>1</v>
      </c>
      <c r="L25" s="2873"/>
      <c r="M25" s="2867"/>
      <c r="N25" s="2867"/>
      <c r="O25" s="2867"/>
      <c r="P25" s="3665"/>
      <c r="Q25" s="1465" t="str">
        <f>B25</f>
        <v>毗邻道路的类型与等级</v>
      </c>
      <c r="R25" s="700" t="s">
        <v>17</v>
      </c>
      <c r="S25" s="701">
        <f>F25</f>
        <v>100</v>
      </c>
      <c r="T25" s="700" t="s">
        <v>17</v>
      </c>
      <c r="U25" s="701">
        <f>H25</f>
        <v>99</v>
      </c>
      <c r="V25" s="700" t="s">
        <v>17</v>
      </c>
      <c r="W25" s="701">
        <f>J25</f>
        <v>99</v>
      </c>
      <c r="X25" s="1468"/>
      <c r="Y25" s="3620"/>
      <c r="Z25" s="1469" t="str">
        <f>Q25</f>
        <v>毗邻道路的类型与等级</v>
      </c>
      <c r="AA25" s="1466">
        <f t="shared" si="3"/>
        <v>1</v>
      </c>
      <c r="AB25" s="1466">
        <f t="shared" si="4"/>
        <v>1.0101010101010102</v>
      </c>
      <c r="AC25" s="2076">
        <f t="shared" si="5"/>
        <v>1.0101010101010102</v>
      </c>
    </row>
    <row r="26" spans="1:29" ht="15.5">
      <c r="A26" s="354"/>
      <c r="B26" s="578"/>
      <c r="C26" s="580" t="s">
        <v>3621</v>
      </c>
      <c r="D26" s="384"/>
      <c r="E26" s="580" t="s">
        <v>3621</v>
      </c>
      <c r="F26" s="384"/>
      <c r="G26" s="563" t="s">
        <v>3632</v>
      </c>
      <c r="H26" s="384"/>
      <c r="I26" s="563" t="s">
        <v>3632</v>
      </c>
      <c r="J26" s="384"/>
      <c r="K26" s="562"/>
      <c r="L26" s="2873"/>
      <c r="M26" s="2867"/>
      <c r="N26" s="2867"/>
      <c r="O26" s="2867"/>
      <c r="P26" s="3665"/>
      <c r="Q26" s="1465"/>
      <c r="R26" s="700"/>
      <c r="S26" s="701"/>
      <c r="T26" s="700"/>
      <c r="U26" s="701"/>
      <c r="V26" s="700"/>
      <c r="W26" s="701"/>
      <c r="X26" s="1468"/>
      <c r="Y26" s="3620"/>
      <c r="Z26" s="1469"/>
      <c r="AA26" s="1466">
        <v>1</v>
      </c>
      <c r="AB26" s="1466">
        <v>1</v>
      </c>
      <c r="AC26" s="2076">
        <v>1</v>
      </c>
    </row>
    <row r="27" spans="1:29" ht="15.5">
      <c r="A27" s="377"/>
      <c r="B27" s="578" t="s">
        <v>2236</v>
      </c>
      <c r="C27" s="580" t="s">
        <v>3622</v>
      </c>
      <c r="D27" s="384">
        <v>100</v>
      </c>
      <c r="E27" s="563" t="s">
        <v>3623</v>
      </c>
      <c r="F27" s="384">
        <f>SUMIF(89:89,E27,90:90)-SUMIF(89:89,C27,90:90)+100</f>
        <v>103</v>
      </c>
      <c r="G27" s="580" t="s">
        <v>3623</v>
      </c>
      <c r="H27" s="384">
        <f>SUMIF(89:89,G27,90:90)-SUMIF(89:89,C27,90:90)+100</f>
        <v>103</v>
      </c>
      <c r="I27" s="563" t="s">
        <v>3623</v>
      </c>
      <c r="J27" s="384">
        <f>SUMIF(89:89,I27,90:90)-SUMIF(89:89,C27,90:90)+100</f>
        <v>103</v>
      </c>
      <c r="K27" s="559">
        <v>3</v>
      </c>
      <c r="L27" s="2873"/>
      <c r="M27" s="2867"/>
      <c r="N27" s="2867"/>
      <c r="O27" s="2867"/>
      <c r="P27" s="3665"/>
      <c r="Q27" s="1465" t="str">
        <f t="shared" ref="Q27:Q47" si="11">B27</f>
        <v>楼层</v>
      </c>
      <c r="R27" s="700" t="s">
        <v>17</v>
      </c>
      <c r="S27" s="701">
        <f>F27</f>
        <v>103</v>
      </c>
      <c r="T27" s="700" t="s">
        <v>17</v>
      </c>
      <c r="U27" s="701">
        <f>H27</f>
        <v>103</v>
      </c>
      <c r="V27" s="700" t="s">
        <v>17</v>
      </c>
      <c r="W27" s="701">
        <f>J27</f>
        <v>103</v>
      </c>
      <c r="X27" s="1468"/>
      <c r="Y27" s="3620"/>
      <c r="Z27" s="1469" t="str">
        <f>Q27</f>
        <v>楼层</v>
      </c>
      <c r="AA27" s="1466">
        <f t="shared" si="3"/>
        <v>0.970873786407767</v>
      </c>
      <c r="AB27" s="1466">
        <f t="shared" si="4"/>
        <v>0.970873786407767</v>
      </c>
      <c r="AC27" s="2076">
        <f t="shared" si="5"/>
        <v>0.970873786407767</v>
      </c>
    </row>
    <row r="28" spans="1:29" s="110" customFormat="1" ht="15.5">
      <c r="A28" s="380"/>
      <c r="B28" s="577" t="s">
        <v>2269</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65"/>
      <c r="Q28" s="1456" t="str">
        <f t="shared" si="11"/>
        <v>朝向</v>
      </c>
      <c r="R28" s="696" t="s">
        <v>17</v>
      </c>
      <c r="S28" s="697">
        <f>F28</f>
        <v>100</v>
      </c>
      <c r="T28" s="696" t="s">
        <v>17</v>
      </c>
      <c r="U28" s="697">
        <f>H28</f>
        <v>100</v>
      </c>
      <c r="V28" s="696" t="s">
        <v>17</v>
      </c>
      <c r="W28" s="697">
        <f>J28</f>
        <v>100</v>
      </c>
      <c r="X28" s="698"/>
      <c r="Y28" s="3620"/>
      <c r="Z28" s="55" t="str">
        <f>Q28</f>
        <v>朝向</v>
      </c>
      <c r="AA28" s="1466">
        <f>D28/F28</f>
        <v>1</v>
      </c>
      <c r="AB28" s="1466">
        <f>D28/H28</f>
        <v>1</v>
      </c>
      <c r="AC28" s="2076">
        <f>D28/J28</f>
        <v>1</v>
      </c>
    </row>
    <row r="29" spans="1:29" ht="15.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65"/>
      <c r="Q29" s="1465">
        <f t="shared" si="11"/>
        <v>111</v>
      </c>
      <c r="R29" s="700" t="s">
        <v>17</v>
      </c>
      <c r="S29" s="701">
        <f t="shared" ref="S29:S47" si="12">F29</f>
        <v>100</v>
      </c>
      <c r="T29" s="700" t="s">
        <v>17</v>
      </c>
      <c r="U29" s="701">
        <f t="shared" ref="U29:U47" si="13">H29</f>
        <v>100</v>
      </c>
      <c r="V29" s="700" t="s">
        <v>17</v>
      </c>
      <c r="W29" s="701">
        <f t="shared" ref="W29:W47" si="14">J29</f>
        <v>100</v>
      </c>
      <c r="X29" s="1468"/>
      <c r="Y29" s="3620"/>
      <c r="Z29" s="1469">
        <f t="shared" ref="Z29:Z47" si="15">Q29</f>
        <v>111</v>
      </c>
      <c r="AA29" s="1466">
        <f t="shared" si="3"/>
        <v>1</v>
      </c>
      <c r="AB29" s="1466">
        <f t="shared" si="4"/>
        <v>1</v>
      </c>
      <c r="AC29" s="2076">
        <f t="shared" si="5"/>
        <v>1</v>
      </c>
    </row>
    <row r="30" spans="1:29" ht="15.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65"/>
      <c r="Q30" s="1465">
        <f t="shared" si="11"/>
        <v>111</v>
      </c>
      <c r="R30" s="700" t="s">
        <v>17</v>
      </c>
      <c r="S30" s="701">
        <f t="shared" si="12"/>
        <v>100</v>
      </c>
      <c r="T30" s="700" t="s">
        <v>17</v>
      </c>
      <c r="U30" s="701">
        <f t="shared" si="13"/>
        <v>100</v>
      </c>
      <c r="V30" s="700" t="s">
        <v>17</v>
      </c>
      <c r="W30" s="701">
        <f t="shared" si="14"/>
        <v>100</v>
      </c>
      <c r="X30" s="1468"/>
      <c r="Y30" s="3620"/>
      <c r="Z30" s="1469">
        <f t="shared" si="15"/>
        <v>111</v>
      </c>
      <c r="AA30" s="1466">
        <f t="shared" si="3"/>
        <v>1</v>
      </c>
      <c r="AB30" s="1466">
        <f t="shared" si="4"/>
        <v>1</v>
      </c>
      <c r="AC30" s="2076">
        <f t="shared" si="5"/>
        <v>1</v>
      </c>
    </row>
    <row r="31" spans="1:29" ht="15.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65"/>
      <c r="Q31" s="1465">
        <f t="shared" si="11"/>
        <v>111</v>
      </c>
      <c r="R31" s="700" t="s">
        <v>17</v>
      </c>
      <c r="S31" s="701">
        <f t="shared" si="12"/>
        <v>100</v>
      </c>
      <c r="T31" s="700" t="s">
        <v>17</v>
      </c>
      <c r="U31" s="701">
        <f t="shared" si="13"/>
        <v>100</v>
      </c>
      <c r="V31" s="700" t="s">
        <v>17</v>
      </c>
      <c r="W31" s="701">
        <f t="shared" si="14"/>
        <v>100</v>
      </c>
      <c r="X31" s="1468"/>
      <c r="Y31" s="3620"/>
      <c r="Z31" s="1469">
        <f t="shared" si="15"/>
        <v>111</v>
      </c>
      <c r="AA31" s="1466">
        <f t="shared" si="3"/>
        <v>1</v>
      </c>
      <c r="AB31" s="1466">
        <f t="shared" si="4"/>
        <v>1</v>
      </c>
      <c r="AC31" s="2076">
        <f t="shared" si="5"/>
        <v>1</v>
      </c>
    </row>
    <row r="32" spans="1:29" ht="16"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65"/>
      <c r="Q32" s="1465">
        <f t="shared" si="11"/>
        <v>111</v>
      </c>
      <c r="R32" s="700" t="s">
        <v>17</v>
      </c>
      <c r="S32" s="701">
        <f t="shared" si="12"/>
        <v>100</v>
      </c>
      <c r="T32" s="700" t="s">
        <v>17</v>
      </c>
      <c r="U32" s="701">
        <f t="shared" si="13"/>
        <v>100</v>
      </c>
      <c r="V32" s="700" t="s">
        <v>17</v>
      </c>
      <c r="W32" s="701">
        <f t="shared" si="14"/>
        <v>100</v>
      </c>
      <c r="X32" s="1468"/>
      <c r="Y32" s="3620"/>
      <c r="Z32" s="1469">
        <f t="shared" si="15"/>
        <v>111</v>
      </c>
      <c r="AA32" s="1466">
        <f t="shared" si="3"/>
        <v>1</v>
      </c>
      <c r="AB32" s="1466">
        <f t="shared" si="4"/>
        <v>1</v>
      </c>
      <c r="AC32" s="2076">
        <f t="shared" si="5"/>
        <v>1</v>
      </c>
    </row>
    <row r="33" spans="1:29" ht="15.5">
      <c r="A33" s="389" t="s">
        <v>2140</v>
      </c>
      <c r="B33" s="67" t="s">
        <v>2270</v>
      </c>
      <c r="C33" s="2081" t="s">
        <v>3624</v>
      </c>
      <c r="D33" s="416">
        <v>100</v>
      </c>
      <c r="E33" s="2081" t="s">
        <v>3624</v>
      </c>
      <c r="F33" s="410">
        <f>SUMIF(101:101,E33,102:102)-SUMIF(101:101,C33,102:102)+100</f>
        <v>100</v>
      </c>
      <c r="G33" s="2081" t="s">
        <v>3624</v>
      </c>
      <c r="H33" s="384">
        <f>SUMIF(101:101,G33,102:102)-SUMIF(101:101,C33,102:102)+100</f>
        <v>100</v>
      </c>
      <c r="I33" s="2081" t="s">
        <v>3624</v>
      </c>
      <c r="J33" s="416">
        <f>SUMIF(101:101,I33,102:102)-SUMIF(101:101,C33,102:102)+100</f>
        <v>100</v>
      </c>
      <c r="K33" s="559">
        <v>2</v>
      </c>
      <c r="L33" s="2873"/>
      <c r="M33" s="2867"/>
      <c r="N33" s="2867"/>
      <c r="O33" s="2867"/>
      <c r="P33" s="3660" t="s">
        <v>2142</v>
      </c>
      <c r="Q33" s="1465" t="str">
        <f t="shared" si="11"/>
        <v>建筑类型</v>
      </c>
      <c r="R33" s="700" t="s">
        <v>17</v>
      </c>
      <c r="S33" s="701">
        <f t="shared" si="12"/>
        <v>100</v>
      </c>
      <c r="T33" s="700" t="s">
        <v>17</v>
      </c>
      <c r="U33" s="701">
        <f t="shared" si="13"/>
        <v>100</v>
      </c>
      <c r="V33" s="700" t="s">
        <v>17</v>
      </c>
      <c r="W33" s="701">
        <f t="shared" si="14"/>
        <v>100</v>
      </c>
      <c r="X33" s="1468"/>
      <c r="Y33" s="3622" t="s">
        <v>2142</v>
      </c>
      <c r="Z33" s="1469" t="str">
        <f t="shared" si="15"/>
        <v>建筑类型</v>
      </c>
      <c r="AA33" s="1466">
        <f t="shared" si="3"/>
        <v>1</v>
      </c>
      <c r="AB33" s="1466">
        <f t="shared" si="4"/>
        <v>1</v>
      </c>
      <c r="AC33" s="2076">
        <f t="shared" si="5"/>
        <v>1</v>
      </c>
    </row>
    <row r="34" spans="1:29" s="420" customFormat="1" ht="15.5">
      <c r="A34" s="417"/>
      <c r="B34" s="371" t="s">
        <v>2143</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61"/>
      <c r="Q34" s="702" t="str">
        <f t="shared" si="11"/>
        <v>项目建筑规模</v>
      </c>
      <c r="R34" s="703" t="s">
        <v>17</v>
      </c>
      <c r="S34" s="704">
        <f t="shared" si="12"/>
        <v>100</v>
      </c>
      <c r="T34" s="703" t="s">
        <v>17</v>
      </c>
      <c r="U34" s="704">
        <f t="shared" si="13"/>
        <v>100</v>
      </c>
      <c r="V34" s="703" t="s">
        <v>17</v>
      </c>
      <c r="W34" s="704">
        <f t="shared" si="14"/>
        <v>100</v>
      </c>
      <c r="X34" s="705"/>
      <c r="Y34" s="3622"/>
      <c r="Z34" s="706" t="str">
        <f t="shared" si="15"/>
        <v>项目建筑规模</v>
      </c>
      <c r="AA34" s="1466">
        <f t="shared" si="3"/>
        <v>1</v>
      </c>
      <c r="AB34" s="1466">
        <f t="shared" si="4"/>
        <v>1</v>
      </c>
      <c r="AC34" s="2076">
        <f t="shared" si="5"/>
        <v>1</v>
      </c>
    </row>
    <row r="35" spans="1:29" ht="15.5">
      <c r="A35" s="421"/>
      <c r="B35" s="371" t="s">
        <v>2144</v>
      </c>
      <c r="C35" s="409" t="s">
        <v>3271</v>
      </c>
      <c r="D35" s="384">
        <v>100</v>
      </c>
      <c r="E35" s="409" t="s">
        <v>3271</v>
      </c>
      <c r="F35" s="410">
        <f>SUMIF(106:106,E35,107:107)-SUMIF(106:106,C35,107:107)+100</f>
        <v>100</v>
      </c>
      <c r="G35" s="409" t="s">
        <v>3271</v>
      </c>
      <c r="H35" s="384">
        <f>SUMIF(106:106,G35,107:107)-SUMIF(106:106,C35,107:107)+100</f>
        <v>100</v>
      </c>
      <c r="I35" s="409" t="s">
        <v>3271</v>
      </c>
      <c r="J35" s="384">
        <f>SUMIF(106:106,I35,107:107)-SUMIF(106:106,C35,107:107)+100</f>
        <v>100</v>
      </c>
      <c r="K35" s="559">
        <v>2</v>
      </c>
      <c r="L35" s="2873"/>
      <c r="M35" s="2867"/>
      <c r="N35" s="2867"/>
      <c r="O35" s="2867"/>
      <c r="P35" s="3661"/>
      <c r="Q35" s="1465" t="str">
        <f t="shared" si="11"/>
        <v>建筑结构</v>
      </c>
      <c r="R35" s="700" t="s">
        <v>17</v>
      </c>
      <c r="S35" s="701">
        <f t="shared" si="12"/>
        <v>100</v>
      </c>
      <c r="T35" s="700" t="s">
        <v>17</v>
      </c>
      <c r="U35" s="701">
        <f t="shared" si="13"/>
        <v>100</v>
      </c>
      <c r="V35" s="700" t="s">
        <v>17</v>
      </c>
      <c r="W35" s="701">
        <f t="shared" si="14"/>
        <v>100</v>
      </c>
      <c r="X35" s="1468"/>
      <c r="Y35" s="3622"/>
      <c r="Z35" s="1469" t="str">
        <f t="shared" si="15"/>
        <v>建筑结构</v>
      </c>
      <c r="AA35" s="1466">
        <f t="shared" si="3"/>
        <v>1</v>
      </c>
      <c r="AB35" s="1466">
        <f t="shared" si="4"/>
        <v>1</v>
      </c>
      <c r="AC35" s="2076">
        <f t="shared" si="5"/>
        <v>1</v>
      </c>
    </row>
    <row r="36" spans="1:29" ht="15.5">
      <c r="A36" s="421"/>
      <c r="B36" s="371" t="s">
        <v>2238</v>
      </c>
      <c r="C36" s="409" t="s">
        <v>3625</v>
      </c>
      <c r="D36" s="384">
        <v>100</v>
      </c>
      <c r="E36" s="409" t="s">
        <v>3625</v>
      </c>
      <c r="F36" s="410">
        <f>SUMIF(108:108,E36,109:109)-SUMIF(108:108,C36,109:109)+100</f>
        <v>100</v>
      </c>
      <c r="G36" s="409" t="s">
        <v>3625</v>
      </c>
      <c r="H36" s="384">
        <f>SUMIF(108:108,G36,109:109)-SUMIF(108:108,C36,109:109)+100</f>
        <v>100</v>
      </c>
      <c r="I36" s="409" t="s">
        <v>3625</v>
      </c>
      <c r="J36" s="384">
        <f>SUMIF(108:108,I36,109:109)-SUMIF(108:108,C36,109:109)+100</f>
        <v>100</v>
      </c>
      <c r="K36" s="559">
        <v>2</v>
      </c>
      <c r="L36" s="2873"/>
      <c r="M36" s="2867"/>
      <c r="N36" s="2867"/>
      <c r="O36" s="2867"/>
      <c r="P36" s="3661"/>
      <c r="Q36" s="1465" t="str">
        <f t="shared" si="11"/>
        <v>公共部分装修</v>
      </c>
      <c r="R36" s="700" t="s">
        <v>17</v>
      </c>
      <c r="S36" s="701">
        <f t="shared" si="12"/>
        <v>100</v>
      </c>
      <c r="T36" s="700" t="s">
        <v>17</v>
      </c>
      <c r="U36" s="701">
        <f t="shared" si="13"/>
        <v>100</v>
      </c>
      <c r="V36" s="700" t="s">
        <v>17</v>
      </c>
      <c r="W36" s="701">
        <f t="shared" si="14"/>
        <v>100</v>
      </c>
      <c r="X36" s="1468"/>
      <c r="Y36" s="3622"/>
      <c r="Z36" s="1469" t="str">
        <f t="shared" si="15"/>
        <v>公共部分装修</v>
      </c>
      <c r="AA36" s="1466">
        <f t="shared" si="3"/>
        <v>1</v>
      </c>
      <c r="AB36" s="1466">
        <f t="shared" si="4"/>
        <v>1</v>
      </c>
      <c r="AC36" s="2076">
        <f t="shared" si="5"/>
        <v>1</v>
      </c>
    </row>
    <row r="37" spans="1:29" ht="15.5">
      <c r="A37" s="421"/>
      <c r="B37" s="371" t="s">
        <v>2239</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61"/>
      <c r="Q37" s="1465" t="str">
        <f t="shared" si="11"/>
        <v>成新度</v>
      </c>
      <c r="R37" s="700" t="s">
        <v>17</v>
      </c>
      <c r="S37" s="701">
        <f t="shared" si="12"/>
        <v>99</v>
      </c>
      <c r="T37" s="700" t="s">
        <v>17</v>
      </c>
      <c r="U37" s="701">
        <f t="shared" si="13"/>
        <v>100</v>
      </c>
      <c r="V37" s="700" t="s">
        <v>17</v>
      </c>
      <c r="W37" s="701">
        <f t="shared" si="14"/>
        <v>99</v>
      </c>
      <c r="X37" s="1468"/>
      <c r="Y37" s="3622"/>
      <c r="Z37" s="1469" t="str">
        <f t="shared" si="15"/>
        <v>成新度</v>
      </c>
      <c r="AA37" s="1466">
        <f t="shared" si="3"/>
        <v>1.0101010101010102</v>
      </c>
      <c r="AB37" s="1466">
        <f t="shared" si="4"/>
        <v>1</v>
      </c>
      <c r="AC37" s="2076">
        <f t="shared" si="5"/>
        <v>1.0101010101010102</v>
      </c>
    </row>
    <row r="38" spans="1:29" s="110" customFormat="1" ht="15.5">
      <c r="A38" s="422"/>
      <c r="B38" s="371" t="s">
        <v>2271</v>
      </c>
      <c r="C38" s="409" t="s">
        <v>3626</v>
      </c>
      <c r="D38" s="122">
        <v>100</v>
      </c>
      <c r="E38" s="409" t="s">
        <v>3626</v>
      </c>
      <c r="F38" s="410">
        <f>SUMIF(113:113,E38,114:114)-SUMIF(113:113,C38,114:114)+100</f>
        <v>100</v>
      </c>
      <c r="G38" s="409" t="s">
        <v>3626</v>
      </c>
      <c r="H38" s="384">
        <f>SUMIF(113:113,G38,114:114)-SUMIF(113:113,C38,114:114)+100</f>
        <v>100</v>
      </c>
      <c r="I38" s="409" t="s">
        <v>3626</v>
      </c>
      <c r="J38" s="384">
        <f>SUMIF(113:113,I38,114:114)-SUMIF(113:113,C38,114:114)+100</f>
        <v>100</v>
      </c>
      <c r="K38" s="559">
        <v>2</v>
      </c>
      <c r="L38" s="2868"/>
      <c r="M38" s="2869"/>
      <c r="N38" s="2869"/>
      <c r="O38" s="2869"/>
      <c r="P38" s="3661"/>
      <c r="Q38" s="1456" t="str">
        <f t="shared" si="11"/>
        <v>写字楼等级</v>
      </c>
      <c r="R38" s="696" t="s">
        <v>17</v>
      </c>
      <c r="S38" s="697">
        <f t="shared" si="12"/>
        <v>100</v>
      </c>
      <c r="T38" s="696" t="s">
        <v>17</v>
      </c>
      <c r="U38" s="697">
        <f t="shared" si="13"/>
        <v>100</v>
      </c>
      <c r="V38" s="696" t="s">
        <v>17</v>
      </c>
      <c r="W38" s="697">
        <f t="shared" si="14"/>
        <v>100</v>
      </c>
      <c r="X38" s="698"/>
      <c r="Y38" s="3622"/>
      <c r="Z38" s="55" t="str">
        <f t="shared" si="15"/>
        <v>写字楼等级</v>
      </c>
      <c r="AA38" s="699">
        <f t="shared" si="3"/>
        <v>1</v>
      </c>
      <c r="AB38" s="699">
        <f t="shared" si="4"/>
        <v>1</v>
      </c>
      <c r="AC38" s="2073">
        <f t="shared" si="5"/>
        <v>1</v>
      </c>
    </row>
    <row r="39" spans="1:29" ht="15.5">
      <c r="A39" s="421"/>
      <c r="B39" s="371" t="s">
        <v>2272</v>
      </c>
      <c r="C39" s="409" t="s">
        <v>3627</v>
      </c>
      <c r="D39" s="384">
        <v>100</v>
      </c>
      <c r="E39" s="409" t="s">
        <v>3627</v>
      </c>
      <c r="F39" s="410">
        <f>SUMIF(115:115,E39,116:116)-SUMIF(115:115,C39,116:116)+100</f>
        <v>100</v>
      </c>
      <c r="G39" s="409" t="s">
        <v>3627</v>
      </c>
      <c r="H39" s="384">
        <f>SUMIF(115:115,G39,116:116)-SUMIF(115:115,C39,116:116)+100</f>
        <v>100</v>
      </c>
      <c r="I39" s="409" t="s">
        <v>3627</v>
      </c>
      <c r="J39" s="384">
        <f>SUMIF(115:115,I39,116:116)-SUMIF(115:115,C39,116:116)+100</f>
        <v>100</v>
      </c>
      <c r="K39" s="559">
        <v>2</v>
      </c>
      <c r="L39" s="2873"/>
      <c r="M39" s="2867"/>
      <c r="N39" s="2867"/>
      <c r="O39" s="2867"/>
      <c r="P39" s="3661" t="s">
        <v>2142</v>
      </c>
      <c r="Q39" s="1465" t="str">
        <f t="shared" si="11"/>
        <v>物业管理</v>
      </c>
      <c r="R39" s="700" t="s">
        <v>17</v>
      </c>
      <c r="S39" s="701">
        <f t="shared" si="12"/>
        <v>100</v>
      </c>
      <c r="T39" s="700" t="s">
        <v>17</v>
      </c>
      <c r="U39" s="701">
        <f t="shared" si="13"/>
        <v>100</v>
      </c>
      <c r="V39" s="700" t="s">
        <v>17</v>
      </c>
      <c r="W39" s="701">
        <f t="shared" si="14"/>
        <v>100</v>
      </c>
      <c r="X39" s="1468"/>
      <c r="Y39" s="3622" t="s">
        <v>2142</v>
      </c>
      <c r="Z39" s="1469" t="str">
        <f t="shared" si="15"/>
        <v>物业管理</v>
      </c>
      <c r="AA39" s="1466">
        <f t="shared" si="3"/>
        <v>1</v>
      </c>
      <c r="AB39" s="1466">
        <f t="shared" si="4"/>
        <v>1</v>
      </c>
      <c r="AC39" s="2076">
        <f t="shared" si="5"/>
        <v>1</v>
      </c>
    </row>
    <row r="40" spans="1:29" ht="15.5">
      <c r="A40" s="421"/>
      <c r="B40" s="371" t="s">
        <v>2240</v>
      </c>
      <c r="C40" s="409" t="s">
        <v>3257</v>
      </c>
      <c r="D40" s="384">
        <v>100</v>
      </c>
      <c r="E40" s="409" t="s">
        <v>3257</v>
      </c>
      <c r="F40" s="410">
        <f>SUMIF(117:117,E40,118:118)-SUMIF(117:117,C40,118:118)+100</f>
        <v>100</v>
      </c>
      <c r="G40" s="409" t="s">
        <v>3257</v>
      </c>
      <c r="H40" s="384">
        <f>SUMIF(117:117,G40,118:118)-SUMIF(117:117,C40,118:118)+100</f>
        <v>100</v>
      </c>
      <c r="I40" s="409" t="s">
        <v>3257</v>
      </c>
      <c r="J40" s="384">
        <f>SUMIF(117:117,I40,118:118)-SUMIF(117:117,C40,118:118)+100</f>
        <v>100</v>
      </c>
      <c r="K40" s="559">
        <v>1</v>
      </c>
      <c r="L40" s="2873"/>
      <c r="M40" s="2867"/>
      <c r="N40" s="2867"/>
      <c r="O40" s="2867"/>
      <c r="P40" s="3661"/>
      <c r="Q40" s="1465" t="str">
        <f t="shared" si="11"/>
        <v>市政基础设施</v>
      </c>
      <c r="R40" s="700" t="s">
        <v>17</v>
      </c>
      <c r="S40" s="701">
        <f t="shared" si="12"/>
        <v>100</v>
      </c>
      <c r="T40" s="700" t="s">
        <v>17</v>
      </c>
      <c r="U40" s="701">
        <f t="shared" si="13"/>
        <v>100</v>
      </c>
      <c r="V40" s="700" t="s">
        <v>17</v>
      </c>
      <c r="W40" s="701">
        <f t="shared" si="14"/>
        <v>100</v>
      </c>
      <c r="X40" s="1468"/>
      <c r="Y40" s="3622"/>
      <c r="Z40" s="1469" t="str">
        <f t="shared" si="15"/>
        <v>市政基础设施</v>
      </c>
      <c r="AA40" s="1466">
        <f t="shared" si="3"/>
        <v>1</v>
      </c>
      <c r="AB40" s="1466">
        <f t="shared" si="4"/>
        <v>1</v>
      </c>
      <c r="AC40" s="2076">
        <f t="shared" si="5"/>
        <v>1</v>
      </c>
    </row>
    <row r="41" spans="1:29" ht="15.5">
      <c r="A41" s="421"/>
      <c r="B41" s="371" t="s">
        <v>2242</v>
      </c>
      <c r="C41" s="563" t="s">
        <v>3628</v>
      </c>
      <c r="D41" s="384">
        <v>100</v>
      </c>
      <c r="E41" s="563" t="s">
        <v>3628</v>
      </c>
      <c r="F41" s="410">
        <f>SUMIF(119:119,E41,120:120)-SUMIF(119:119,C41,120:120)+100</f>
        <v>100</v>
      </c>
      <c r="G41" s="563" t="s">
        <v>3628</v>
      </c>
      <c r="H41" s="384">
        <f>SUMIF(119:119,G41,120:120)-SUMIF(119:119,C41,120:120)+100</f>
        <v>100</v>
      </c>
      <c r="I41" s="563" t="s">
        <v>3628</v>
      </c>
      <c r="J41" s="384">
        <f>SUMIF(119:119,I41,120:120)-SUMIF(119:119,C41,120:120)+100</f>
        <v>100</v>
      </c>
      <c r="K41" s="559">
        <v>2</v>
      </c>
      <c r="L41" s="2873"/>
      <c r="M41" s="2867"/>
      <c r="N41" s="2867"/>
      <c r="O41" s="2867"/>
      <c r="P41" s="3661"/>
      <c r="Q41" s="1465" t="str">
        <f t="shared" si="11"/>
        <v>层高</v>
      </c>
      <c r="R41" s="700" t="s">
        <v>17</v>
      </c>
      <c r="S41" s="701">
        <f t="shared" si="12"/>
        <v>100</v>
      </c>
      <c r="T41" s="700" t="s">
        <v>17</v>
      </c>
      <c r="U41" s="701">
        <f t="shared" si="13"/>
        <v>100</v>
      </c>
      <c r="V41" s="700" t="s">
        <v>17</v>
      </c>
      <c r="W41" s="701">
        <f t="shared" si="14"/>
        <v>100</v>
      </c>
      <c r="X41" s="1468"/>
      <c r="Y41" s="3622"/>
      <c r="Z41" s="1469" t="str">
        <f t="shared" si="15"/>
        <v>层高</v>
      </c>
      <c r="AA41" s="1466">
        <f t="shared" si="3"/>
        <v>1</v>
      </c>
      <c r="AB41" s="1466">
        <f t="shared" si="4"/>
        <v>1</v>
      </c>
      <c r="AC41" s="2076">
        <f t="shared" si="5"/>
        <v>1</v>
      </c>
    </row>
    <row r="42" spans="1:29" s="420" customFormat="1" ht="15.5">
      <c r="A42" s="417"/>
      <c r="B42" s="1467" t="s">
        <v>2273</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61"/>
      <c r="Q42" s="702" t="str">
        <f t="shared" si="11"/>
        <v>单套建筑面积</v>
      </c>
      <c r="R42" s="703" t="s">
        <v>17</v>
      </c>
      <c r="S42" s="704">
        <f t="shared" si="12"/>
        <v>100</v>
      </c>
      <c r="T42" s="703" t="s">
        <v>17</v>
      </c>
      <c r="U42" s="704">
        <f t="shared" si="13"/>
        <v>100</v>
      </c>
      <c r="V42" s="703" t="s">
        <v>17</v>
      </c>
      <c r="W42" s="704">
        <f t="shared" si="14"/>
        <v>100</v>
      </c>
      <c r="X42" s="705"/>
      <c r="Y42" s="3622"/>
      <c r="Z42" s="706" t="str">
        <f t="shared" si="15"/>
        <v>单套建筑面积</v>
      </c>
      <c r="AA42" s="1466">
        <f t="shared" si="3"/>
        <v>1</v>
      </c>
      <c r="AB42" s="1466">
        <f t="shared" si="4"/>
        <v>1</v>
      </c>
      <c r="AC42" s="2076">
        <f t="shared" si="5"/>
        <v>1</v>
      </c>
    </row>
    <row r="43" spans="1:29" ht="15.5">
      <c r="A43" s="421"/>
      <c r="B43" s="371" t="s">
        <v>2245</v>
      </c>
      <c r="C43" s="409" t="s">
        <v>3629</v>
      </c>
      <c r="D43" s="384">
        <v>100</v>
      </c>
      <c r="E43" s="409" t="s">
        <v>3630</v>
      </c>
      <c r="F43" s="410">
        <f>SUMIF(123:123,E43,124:124)-SUMIF(123:123,C43,124:124)+100</f>
        <v>103</v>
      </c>
      <c r="G43" s="409" t="s">
        <v>3629</v>
      </c>
      <c r="H43" s="384">
        <f>SUMIF(123:123,G43,124:124)-SUMIF(123:123,C43,124:124)+100</f>
        <v>100</v>
      </c>
      <c r="I43" s="409" t="s">
        <v>3629</v>
      </c>
      <c r="J43" s="384">
        <f>SUMIF(123:123,I43,124:124)-SUMIF(123:123,C43,124:124)+100</f>
        <v>100</v>
      </c>
      <c r="K43" s="559">
        <v>1.5</v>
      </c>
      <c r="L43" s="2873"/>
      <c r="M43" s="2867"/>
      <c r="N43" s="2867"/>
      <c r="O43" s="2867"/>
      <c r="P43" s="3661"/>
      <c r="Q43" s="1465" t="str">
        <f t="shared" si="11"/>
        <v>内部装修</v>
      </c>
      <c r="R43" s="700" t="s">
        <v>17</v>
      </c>
      <c r="S43" s="701">
        <f t="shared" si="12"/>
        <v>103</v>
      </c>
      <c r="T43" s="700" t="s">
        <v>17</v>
      </c>
      <c r="U43" s="701">
        <f t="shared" si="13"/>
        <v>100</v>
      </c>
      <c r="V43" s="700" t="s">
        <v>17</v>
      </c>
      <c r="W43" s="701">
        <f t="shared" si="14"/>
        <v>100</v>
      </c>
      <c r="X43" s="1468"/>
      <c r="Y43" s="3622"/>
      <c r="Z43" s="1469" t="str">
        <f t="shared" si="15"/>
        <v>内部装修</v>
      </c>
      <c r="AA43" s="1466">
        <f t="shared" si="3"/>
        <v>0.970873786407767</v>
      </c>
      <c r="AB43" s="1466">
        <f t="shared" si="4"/>
        <v>1</v>
      </c>
      <c r="AC43" s="2076">
        <f t="shared" si="5"/>
        <v>1</v>
      </c>
    </row>
    <row r="44" spans="1:29" ht="28">
      <c r="A44" s="421"/>
      <c r="B44" s="371" t="s">
        <v>2153</v>
      </c>
      <c r="C44" s="409" t="s">
        <v>3261</v>
      </c>
      <c r="D44" s="384">
        <v>100</v>
      </c>
      <c r="E44" s="409" t="s">
        <v>3261</v>
      </c>
      <c r="F44" s="410">
        <f>SUMIF(125:125,E44,126:126)-SUMIF(125:125,C44,126:126)+100</f>
        <v>100</v>
      </c>
      <c r="G44" s="409" t="s">
        <v>3261</v>
      </c>
      <c r="H44" s="384">
        <f>SUMIF(125:125,G44,126:126)-SUMIF(125:125,C44,126:126)+100</f>
        <v>100</v>
      </c>
      <c r="I44" s="409" t="s">
        <v>3261</v>
      </c>
      <c r="J44" s="384">
        <f>SUMIF(125:125,I44,126:126)-SUMIF(125:125,C44,126:126)+100</f>
        <v>100</v>
      </c>
      <c r="K44" s="559">
        <v>2</v>
      </c>
      <c r="L44" s="2873"/>
      <c r="M44" s="2867"/>
      <c r="N44" s="2867"/>
      <c r="O44" s="2867"/>
      <c r="P44" s="3661"/>
      <c r="Q44" s="1465" t="str">
        <f t="shared" si="11"/>
        <v>内部装修维护情况</v>
      </c>
      <c r="R44" s="700" t="s">
        <v>17</v>
      </c>
      <c r="S44" s="701">
        <f t="shared" si="12"/>
        <v>100</v>
      </c>
      <c r="T44" s="700" t="s">
        <v>17</v>
      </c>
      <c r="U44" s="701">
        <f t="shared" si="13"/>
        <v>100</v>
      </c>
      <c r="V44" s="700" t="s">
        <v>17</v>
      </c>
      <c r="W44" s="701">
        <f t="shared" si="14"/>
        <v>100</v>
      </c>
      <c r="X44" s="1468"/>
      <c r="Y44" s="3622"/>
      <c r="Z44" s="1469" t="str">
        <f t="shared" si="15"/>
        <v>内部装修维护情况</v>
      </c>
      <c r="AA44" s="1466">
        <f t="shared" si="3"/>
        <v>1</v>
      </c>
      <c r="AB44" s="1466">
        <f t="shared" si="4"/>
        <v>1</v>
      </c>
      <c r="AC44" s="2076">
        <f t="shared" si="5"/>
        <v>1</v>
      </c>
    </row>
    <row r="45" spans="1:29" s="110" customFormat="1" ht="15.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61"/>
      <c r="Q45" s="1456">
        <f t="shared" si="11"/>
        <v>111</v>
      </c>
      <c r="R45" s="696" t="s">
        <v>17</v>
      </c>
      <c r="S45" s="697">
        <f t="shared" si="12"/>
        <v>100</v>
      </c>
      <c r="T45" s="696" t="s">
        <v>17</v>
      </c>
      <c r="U45" s="697">
        <f t="shared" si="13"/>
        <v>100</v>
      </c>
      <c r="V45" s="696" t="s">
        <v>17</v>
      </c>
      <c r="W45" s="697">
        <f t="shared" si="14"/>
        <v>100</v>
      </c>
      <c r="X45" s="698"/>
      <c r="Y45" s="3622"/>
      <c r="Z45" s="55">
        <f t="shared" si="15"/>
        <v>111</v>
      </c>
      <c r="AA45" s="699">
        <f t="shared" si="3"/>
        <v>1</v>
      </c>
      <c r="AB45" s="699">
        <f t="shared" si="4"/>
        <v>1</v>
      </c>
      <c r="AC45" s="2073">
        <f t="shared" si="5"/>
        <v>1</v>
      </c>
    </row>
    <row r="46" spans="1:29" ht="15.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61"/>
      <c r="Q46" s="1465">
        <f t="shared" si="11"/>
        <v>111</v>
      </c>
      <c r="R46" s="700" t="s">
        <v>17</v>
      </c>
      <c r="S46" s="701">
        <f t="shared" si="12"/>
        <v>100</v>
      </c>
      <c r="T46" s="700" t="s">
        <v>17</v>
      </c>
      <c r="U46" s="701">
        <f t="shared" si="13"/>
        <v>100</v>
      </c>
      <c r="V46" s="700" t="s">
        <v>17</v>
      </c>
      <c r="W46" s="701">
        <f t="shared" si="14"/>
        <v>100</v>
      </c>
      <c r="X46" s="1468"/>
      <c r="Y46" s="3622"/>
      <c r="Z46" s="1469">
        <f t="shared" si="15"/>
        <v>111</v>
      </c>
      <c r="AA46" s="1466">
        <f t="shared" si="3"/>
        <v>1</v>
      </c>
      <c r="AB46" s="1466">
        <f t="shared" si="4"/>
        <v>1</v>
      </c>
      <c r="AC46" s="2076">
        <f t="shared" si="5"/>
        <v>1</v>
      </c>
    </row>
    <row r="47" spans="1:29" ht="16"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62"/>
      <c r="Q47" s="1465">
        <f t="shared" si="11"/>
        <v>111</v>
      </c>
      <c r="R47" s="700" t="s">
        <v>17</v>
      </c>
      <c r="S47" s="701">
        <f t="shared" si="12"/>
        <v>100</v>
      </c>
      <c r="T47" s="700" t="s">
        <v>17</v>
      </c>
      <c r="U47" s="701">
        <f t="shared" si="13"/>
        <v>100</v>
      </c>
      <c r="V47" s="700" t="s">
        <v>17</v>
      </c>
      <c r="W47" s="701">
        <f t="shared" si="14"/>
        <v>100</v>
      </c>
      <c r="X47" s="1468"/>
      <c r="Y47" s="3663"/>
      <c r="Z47" s="1469">
        <f t="shared" si="15"/>
        <v>111</v>
      </c>
      <c r="AA47" s="1466">
        <f t="shared" si="3"/>
        <v>1</v>
      </c>
      <c r="AB47" s="1466">
        <f t="shared" si="4"/>
        <v>1</v>
      </c>
      <c r="AC47" s="2076">
        <f t="shared" si="5"/>
        <v>1</v>
      </c>
    </row>
    <row r="48" spans="1:29">
      <c r="A48" s="428" t="s">
        <v>2154</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628" t="str">
        <f>A48</f>
        <v>成交单价（元/平方米）</v>
      </c>
      <c r="Q48" s="3604"/>
      <c r="R48" s="3659">
        <f>E48</f>
        <v>25480</v>
      </c>
      <c r="S48" s="3659"/>
      <c r="T48" s="3659">
        <f>G48</f>
        <v>25505</v>
      </c>
      <c r="U48" s="3659"/>
      <c r="V48" s="3659">
        <f>I48</f>
        <v>29400</v>
      </c>
      <c r="W48" s="3659"/>
      <c r="X48" s="395"/>
      <c r="Y48" s="707"/>
      <c r="Z48" s="395"/>
      <c r="AA48" s="395"/>
      <c r="AB48" s="395"/>
      <c r="AC48" s="576"/>
    </row>
    <row r="49" spans="1:29" ht="14.5" thickBot="1">
      <c r="A49" s="435" t="s">
        <v>2246</v>
      </c>
      <c r="B49" s="436"/>
      <c r="C49" s="1254">
        <f>R50</f>
        <v>25280</v>
      </c>
      <c r="D49" s="2466" t="s">
        <v>2634</v>
      </c>
      <c r="E49" s="1255">
        <f>R49</f>
        <v>23791</v>
      </c>
      <c r="F49" s="2467"/>
      <c r="G49" s="1254">
        <f>T49</f>
        <v>24048</v>
      </c>
      <c r="H49" s="2467"/>
      <c r="I49" s="1255">
        <f>V49</f>
        <v>28001</v>
      </c>
      <c r="J49" s="2467"/>
      <c r="K49" s="2469">
        <f>F49+H49+J49</f>
        <v>0</v>
      </c>
      <c r="L49" s="2875"/>
      <c r="M49" s="2867"/>
      <c r="N49" s="2867"/>
      <c r="O49" s="2867"/>
      <c r="P49" s="3628" t="str">
        <f>A49</f>
        <v>比较价值（元/平方米）</v>
      </c>
      <c r="Q49" s="3604"/>
      <c r="R49" s="3659">
        <f>IF(F1="售价",ROUND(PRODUCT(R48,AA7:AA47),0),ROUND(PRODUCT(R48,AA7:AA47),1))</f>
        <v>23791</v>
      </c>
      <c r="S49" s="3659"/>
      <c r="T49" s="3659">
        <f>IF(F1="售价",ROUND(PRODUCT(T48,AB7:AB47),0),ROUND(PRODUCT(T48,AB7:AB47),1))</f>
        <v>24048</v>
      </c>
      <c r="U49" s="3659"/>
      <c r="V49" s="3659">
        <f>IF(F1="售价",ROUND(PRODUCT(V48,AC7:AC47),0),ROUND(PRODUCT(V48,AC7:AC47),1))</f>
        <v>28001</v>
      </c>
      <c r="W49" s="3659"/>
      <c r="X49" s="395"/>
      <c r="Y49" s="395"/>
      <c r="Z49" s="395"/>
      <c r="AA49" s="395"/>
      <c r="AB49" s="395"/>
      <c r="AC49" s="576"/>
    </row>
    <row r="50" spans="1:29" ht="14.5" thickBot="1">
      <c r="A50" s="439" t="s">
        <v>2247</v>
      </c>
      <c r="B50" s="440"/>
      <c r="C50" s="1257">
        <f>R50</f>
        <v>25280</v>
      </c>
      <c r="D50" s="1257"/>
      <c r="E50" s="1257"/>
      <c r="F50" s="1257"/>
      <c r="G50" s="1257"/>
      <c r="H50" s="1257"/>
      <c r="I50" s="1257"/>
      <c r="J50" s="441"/>
      <c r="K50" s="710"/>
      <c r="L50" s="2875"/>
      <c r="M50" s="2867"/>
      <c r="N50" s="2867"/>
      <c r="O50" s="2867"/>
      <c r="P50" s="3681" t="str">
        <f>A50</f>
        <v>估价对象XX用房的比较价值（楼面单价，元/平方米）</v>
      </c>
      <c r="Q50" s="3682"/>
      <c r="R50" s="3683">
        <f>IF(F1="售价",ROUND(IF(D49="简单平均",AVERAGE(R49:V49),R49*F49+T49*H49+V49*J49),0),ROUND(IF(D49="简单平均",AVERAGE(R49:V49),R49*F49+T49*H49+V49*J49),1))</f>
        <v>25280</v>
      </c>
      <c r="S50" s="3683"/>
      <c r="T50" s="3683"/>
      <c r="U50" s="3683"/>
      <c r="V50" s="3683"/>
      <c r="W50" s="3683"/>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2248</v>
      </c>
      <c r="D53" s="445"/>
      <c r="E53" s="446">
        <f>IF(E48&lt;E49,E49/E48-1,E48/E49-1)</f>
        <v>7.0993232735067968E-2</v>
      </c>
      <c r="F53" s="447" t="str">
        <f>IF(OR(E53&gt;=0.3,E53&lt;=-0.3),"超过30%","")</f>
        <v/>
      </c>
      <c r="G53" s="446">
        <f>IF(G48&lt;G49,G49/G48-1,G48/G49-1)</f>
        <v>6.058715901530265E-2</v>
      </c>
      <c r="H53" s="447" t="str">
        <f>IF(OR(G53&gt;=0.3,G53&lt;=-0.3),"超过30%","")</f>
        <v/>
      </c>
      <c r="I53" s="446">
        <f>IF(I48&lt;I49,I49/I48-1,I48/I49-1)</f>
        <v>4.9962501339237964E-2</v>
      </c>
      <c r="J53" s="447" t="str">
        <f>IF(OR(I53&gt;=0.3,I53&lt;=-0.3),"超过30%","")</f>
        <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2249</v>
      </c>
      <c r="D54" s="448"/>
      <c r="E54" s="446">
        <f>IF(E49&lt;G49,G49/E49-1,E49/G49-1)</f>
        <v>1.080240427052237E-2</v>
      </c>
      <c r="F54" s="447" t="str">
        <f>IF(OR(E54&gt;=0.2,E54&lt;=-0.2),"超过20%","")</f>
        <v/>
      </c>
      <c r="G54" s="446">
        <f>IF(G49&lt;I49,I49/G49-1,G49/I49-1)</f>
        <v>0.16437957418496341</v>
      </c>
      <c r="H54" s="447" t="str">
        <f>IF(OR(G54&gt;=0.2,G54&lt;=-0.2),"超过20%","")</f>
        <v/>
      </c>
      <c r="I54" s="446">
        <f>IF(I49&lt;E49,E49/I49-1,I49/E49-1)</f>
        <v>0.17695767306964827</v>
      </c>
      <c r="J54" s="447" t="str">
        <f>IF(OR(I54&gt;=0.2,I54&lt;=-0.2),"超过20%","")</f>
        <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2250</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5" thickBot="1">
      <c r="A58" s="689" t="s">
        <v>2251</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c r="A59" s="452" t="s">
        <v>2125</v>
      </c>
      <c r="B59" s="453"/>
      <c r="C59" s="1277" t="str">
        <f>YEAR(C7)&amp;"-"&amp;MONTH(C7)</f>
        <v>2022-5</v>
      </c>
      <c r="D59" s="1278">
        <f>EDATE(C59,-1)</f>
        <v>44652</v>
      </c>
      <c r="E59" s="1278">
        <f>EDATE(D59,-1)</f>
        <v>44621</v>
      </c>
      <c r="F59" s="1278">
        <f t="shared" ref="F59:O59" si="16">EDATE(E59,-1)</f>
        <v>44593</v>
      </c>
      <c r="G59" s="1278">
        <f t="shared" si="16"/>
        <v>44562</v>
      </c>
      <c r="H59" s="1278">
        <f t="shared" si="16"/>
        <v>44531</v>
      </c>
      <c r="I59" s="1278">
        <f t="shared" si="16"/>
        <v>44501</v>
      </c>
      <c r="J59" s="1278">
        <f t="shared" si="16"/>
        <v>44470</v>
      </c>
      <c r="K59" s="1278">
        <f t="shared" si="16"/>
        <v>44440</v>
      </c>
      <c r="L59" s="1278">
        <f t="shared" si="16"/>
        <v>44409</v>
      </c>
      <c r="M59" s="1278">
        <f t="shared" si="16"/>
        <v>44378</v>
      </c>
      <c r="N59" s="1278">
        <f t="shared" si="16"/>
        <v>44348</v>
      </c>
      <c r="O59" s="1278">
        <f t="shared" si="16"/>
        <v>44317</v>
      </c>
      <c r="P59" s="2910"/>
      <c r="Q59" s="2892"/>
      <c r="R59" s="2892"/>
      <c r="S59" s="2892"/>
      <c r="T59" s="2892"/>
      <c r="U59" s="2892"/>
      <c r="V59" s="2892"/>
      <c r="W59" s="2892"/>
      <c r="X59" s="2892"/>
      <c r="Y59" s="2892"/>
      <c r="Z59" s="2892"/>
      <c r="AA59" s="2892"/>
      <c r="AB59" s="2892"/>
      <c r="AC59" s="2892"/>
    </row>
    <row r="60" spans="1:29" s="110" customFormat="1">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4.5" thickBot="1">
      <c r="A61" s="462" t="s">
        <v>2162</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c r="A62" s="468" t="s">
        <v>2127</v>
      </c>
      <c r="B62" s="457"/>
      <c r="C62" s="469" t="s">
        <v>2229</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4.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2165</v>
      </c>
      <c r="B64" s="475" t="s">
        <v>2131</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4.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8.5" thickTop="1">
      <c r="A66" s="481"/>
      <c r="B66" s="485" t="s">
        <v>2134</v>
      </c>
      <c r="C66" s="486" t="s">
        <v>2166</v>
      </c>
      <c r="D66" s="486" t="s">
        <v>2167</v>
      </c>
      <c r="E66" s="486" t="s">
        <v>2168</v>
      </c>
      <c r="F66" s="486" t="s">
        <v>2169</v>
      </c>
      <c r="G66" s="486" t="s">
        <v>2170</v>
      </c>
      <c r="H66" s="486" t="s">
        <v>2171</v>
      </c>
      <c r="I66" s="486" t="s">
        <v>2172</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4.5" thickBot="1">
      <c r="A67" s="481"/>
      <c r="B67" s="490"/>
      <c r="C67" s="491" t="s">
        <v>24</v>
      </c>
      <c r="D67" s="491" t="s">
        <v>25</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4.5" thickTop="1">
      <c r="A68" s="481"/>
      <c r="B68" s="493" t="s">
        <v>2135</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4.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4.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4.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4.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4.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4.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2136</v>
      </c>
      <c r="B77" s="475" t="s">
        <v>2274</v>
      </c>
      <c r="C77" s="520" t="s">
        <v>2174</v>
      </c>
      <c r="D77" s="520" t="s">
        <v>2175</v>
      </c>
      <c r="E77" s="520" t="s">
        <v>2176</v>
      </c>
      <c r="F77" s="520" t="s">
        <v>2177</v>
      </c>
      <c r="G77" s="520" t="s">
        <v>2178</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4.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4.5" thickTop="1">
      <c r="A79" s="481"/>
      <c r="B79" s="485" t="s">
        <v>2179</v>
      </c>
      <c r="C79" s="525" t="s">
        <v>2174</v>
      </c>
      <c r="D79" s="525" t="s">
        <v>2175</v>
      </c>
      <c r="E79" s="525" t="s">
        <v>2176</v>
      </c>
      <c r="F79" s="525" t="s">
        <v>2177</v>
      </c>
      <c r="G79" s="525" t="s">
        <v>2178</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C80-$K17</f>
        <v>97</v>
      </c>
      <c r="E80" s="491">
        <f>D80-$K17</f>
        <v>94</v>
      </c>
      <c r="F80" s="491">
        <f>E80-$K17</f>
        <v>91</v>
      </c>
      <c r="G80" s="491">
        <f>F80-$K17</f>
        <v>88</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4.5" thickTop="1">
      <c r="A81" s="481"/>
      <c r="B81" s="485" t="s">
        <v>2180</v>
      </c>
      <c r="C81" s="525" t="s">
        <v>2174</v>
      </c>
      <c r="D81" s="525" t="s">
        <v>2175</v>
      </c>
      <c r="E81" s="525" t="s">
        <v>2176</v>
      </c>
      <c r="F81" s="525" t="s">
        <v>2177</v>
      </c>
      <c r="G81" s="525" t="s">
        <v>2178</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4.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4.5" thickTop="1">
      <c r="A83" s="481"/>
      <c r="B83" s="493" t="s">
        <v>2266</v>
      </c>
      <c r="C83" s="606" t="s">
        <v>2252</v>
      </c>
      <c r="D83" s="606" t="s">
        <v>2253</v>
      </c>
      <c r="E83" s="606" t="s">
        <v>2254</v>
      </c>
      <c r="F83" s="606" t="s">
        <v>2255</v>
      </c>
      <c r="G83" s="606" t="s">
        <v>2256</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4.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4.5" thickTop="1">
      <c r="A85" s="481"/>
      <c r="B85" s="485" t="s">
        <v>2275</v>
      </c>
      <c r="C85" s="525" t="s">
        <v>2174</v>
      </c>
      <c r="D85" s="525" t="s">
        <v>2175</v>
      </c>
      <c r="E85" s="525" t="s">
        <v>2176</v>
      </c>
      <c r="F85" s="525" t="s">
        <v>2177</v>
      </c>
      <c r="G85" s="525" t="s">
        <v>2178</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4.5" thickBot="1">
      <c r="A86" s="481"/>
      <c r="B86" s="490"/>
      <c r="C86" s="491">
        <v>100</v>
      </c>
      <c r="D86" s="491">
        <f>C86-$K23</f>
        <v>97</v>
      </c>
      <c r="E86" s="491">
        <f>D86-$K23</f>
        <v>94</v>
      </c>
      <c r="F86" s="491">
        <f>E86-$K23</f>
        <v>91</v>
      </c>
      <c r="G86" s="491">
        <f>F86-$K23</f>
        <v>88</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8.5" thickTop="1">
      <c r="A87" s="526"/>
      <c r="B87" s="485" t="s">
        <v>2276</v>
      </c>
      <c r="C87" s="3344" t="s">
        <v>3593</v>
      </c>
      <c r="D87" s="3344" t="s">
        <v>3594</v>
      </c>
      <c r="E87" s="3344" t="s">
        <v>3595</v>
      </c>
      <c r="F87" s="3344" t="s">
        <v>3596</v>
      </c>
      <c r="G87" s="3344" t="s">
        <v>3597</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4.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4.5" thickTop="1">
      <c r="A89" s="526"/>
      <c r="B89" s="485" t="str">
        <f>B27</f>
        <v>楼层</v>
      </c>
      <c r="C89" s="3344" t="s">
        <v>3598</v>
      </c>
      <c r="D89" s="3344" t="s">
        <v>3599</v>
      </c>
      <c r="E89" s="3344" t="s">
        <v>3600</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4.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4.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4.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4.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4.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4.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4.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4.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2140</v>
      </c>
      <c r="B101" s="475" t="s">
        <v>2189</v>
      </c>
      <c r="C101" s="3345" t="s">
        <v>3601</v>
      </c>
      <c r="D101" s="3345" t="s">
        <v>3602</v>
      </c>
      <c r="E101" s="3345" t="s">
        <v>3603</v>
      </c>
      <c r="F101" s="3345" t="s">
        <v>3604</v>
      </c>
      <c r="G101" s="3345" t="s">
        <v>3605</v>
      </c>
      <c r="H101" s="3345" t="s">
        <v>3606</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8.5" thickTop="1">
      <c r="A103" s="481"/>
      <c r="B103" s="485" t="s">
        <v>2190</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4.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4.5" thickTop="1">
      <c r="A106" s="546"/>
      <c r="B106" s="485" t="s">
        <v>2191</v>
      </c>
      <c r="C106" s="3344" t="s">
        <v>3607</v>
      </c>
      <c r="D106" s="3347" t="s">
        <v>3608</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4.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4.5" thickTop="1">
      <c r="A108" s="546"/>
      <c r="B108" s="485" t="s">
        <v>2193</v>
      </c>
      <c r="C108" s="3344" t="s">
        <v>3609</v>
      </c>
      <c r="D108" s="3344" t="s">
        <v>3610</v>
      </c>
      <c r="E108" s="3344" t="s">
        <v>3611</v>
      </c>
      <c r="F108" s="3347" t="s">
        <v>3612</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4.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4.5" thickTop="1">
      <c r="A110" s="546"/>
      <c r="B110" s="485" t="s">
        <v>1632</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4.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4.5" thickTop="1">
      <c r="A113" s="540"/>
      <c r="B113" s="485" t="s">
        <v>2277</v>
      </c>
      <c r="C113" s="3344" t="s">
        <v>3613</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4.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4.5" thickTop="1">
      <c r="A115" s="546"/>
      <c r="B115" s="485" t="s">
        <v>2194</v>
      </c>
      <c r="C115" s="3344" t="s">
        <v>3614</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4.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4.5" thickTop="1">
      <c r="A117" s="546"/>
      <c r="B117" s="485" t="s">
        <v>2195</v>
      </c>
      <c r="C117" s="3344" t="s">
        <v>3269</v>
      </c>
      <c r="D117" s="3344" t="s">
        <v>3615</v>
      </c>
      <c r="E117" s="3344" t="s">
        <v>3616</v>
      </c>
      <c r="F117" s="3344" t="s">
        <v>3617</v>
      </c>
      <c r="G117" s="3344" t="s">
        <v>3618</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4.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4.5" thickTop="1">
      <c r="A119" s="546"/>
      <c r="B119" s="582" t="s">
        <v>2278</v>
      </c>
      <c r="C119" s="3347" t="s">
        <v>3619</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4.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4.5" thickTop="1">
      <c r="A121" s="540"/>
      <c r="B121" s="485" t="s">
        <v>2261</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4.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4.5" thickTop="1">
      <c r="A123" s="546"/>
      <c r="B123" s="485" t="s">
        <v>2197</v>
      </c>
      <c r="C123" s="3344" t="s">
        <v>3609</v>
      </c>
      <c r="D123" s="3344" t="s">
        <v>3610</v>
      </c>
      <c r="E123" s="3344" t="s">
        <v>3611</v>
      </c>
      <c r="F123" s="3347" t="s">
        <v>3612</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4.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28.5" thickTop="1">
      <c r="A125" s="546"/>
      <c r="B125" s="485" t="s">
        <v>2198</v>
      </c>
      <c r="C125" s="525" t="s">
        <v>2174</v>
      </c>
      <c r="D125" s="525" t="s">
        <v>2175</v>
      </c>
      <c r="E125" s="525" t="s">
        <v>2176</v>
      </c>
      <c r="F125" s="525" t="s">
        <v>2177</v>
      </c>
      <c r="G125" s="525" t="s">
        <v>2178</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4.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4.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4.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4.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4.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4.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4.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2279</v>
      </c>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IF(C2="——",ROUND(C43*D3/10000,0),ROUND(C43*D3/10000,0)-D2)</f>
        <v>#DIV/0!</v>
      </c>
      <c r="C2" s="1995"/>
      <c r="D2" s="999" t="e">
        <f ca="1">SUMIF(INDIRECT("'"&amp;F2&amp;"'"&amp;"!A:A"),"承租人权益价值",INDIRECT("'"&amp;F2&amp;"'"&amp;"!c:c"))</f>
        <v>#REF!</v>
      </c>
      <c r="E2" s="1996" t="s">
        <v>1905</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1906</v>
      </c>
      <c r="B3" s="556" t="e">
        <f ca="1">IF(C2="——",C43,ROUND(B2*10000/D3,0))</f>
        <v>#DIV/0!</v>
      </c>
      <c r="C3" s="350" t="s">
        <v>2221</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c r="A4" s="351" t="s">
        <v>2222</v>
      </c>
      <c r="B4" s="352"/>
      <c r="C4" s="3605" t="s">
        <v>2223</v>
      </c>
      <c r="D4" s="3606"/>
      <c r="E4" s="3607" t="s">
        <v>2224</v>
      </c>
      <c r="F4" s="3608"/>
      <c r="G4" s="3605" t="s">
        <v>2225</v>
      </c>
      <c r="H4" s="3606"/>
      <c r="I4" s="3605" t="s">
        <v>2226</v>
      </c>
      <c r="J4" s="3606"/>
      <c r="K4" s="557" t="s">
        <v>2227</v>
      </c>
      <c r="L4" s="1005"/>
      <c r="M4" s="1006"/>
      <c r="N4" s="1006"/>
      <c r="O4" s="1006"/>
      <c r="P4" s="3609" t="s">
        <v>2228</v>
      </c>
      <c r="Q4" s="3610"/>
      <c r="R4" s="3592" t="s">
        <v>2224</v>
      </c>
      <c r="S4" s="3593"/>
      <c r="T4" s="3592" t="s">
        <v>2225</v>
      </c>
      <c r="U4" s="3593"/>
      <c r="V4" s="3617" t="s">
        <v>2226</v>
      </c>
      <c r="W4" s="3617"/>
      <c r="X4" s="1468"/>
      <c r="Y4" s="3592" t="s">
        <v>2228</v>
      </c>
      <c r="Z4" s="3593"/>
      <c r="AA4" s="3587" t="s">
        <v>2224</v>
      </c>
      <c r="AB4" s="3588" t="s">
        <v>2225</v>
      </c>
      <c r="AC4" s="3587" t="s">
        <v>2226</v>
      </c>
    </row>
    <row r="5" spans="1:29">
      <c r="A5" s="354"/>
      <c r="B5" s="355"/>
      <c r="C5" s="3598" t="s">
        <v>2119</v>
      </c>
      <c r="D5" s="3599"/>
      <c r="E5" s="3596" t="s">
        <v>2120</v>
      </c>
      <c r="F5" s="3597"/>
      <c r="G5" s="3598" t="s">
        <v>2121</v>
      </c>
      <c r="H5" s="3599"/>
      <c r="I5" s="3598" t="s">
        <v>2122</v>
      </c>
      <c r="J5" s="3599"/>
      <c r="K5" s="557"/>
      <c r="L5" s="1005"/>
      <c r="M5" s="1006"/>
      <c r="N5" s="1006"/>
      <c r="O5" s="1006"/>
      <c r="P5" s="3611"/>
      <c r="Q5" s="3612"/>
      <c r="R5" s="3594"/>
      <c r="S5" s="3595"/>
      <c r="T5" s="3594"/>
      <c r="U5" s="3595"/>
      <c r="V5" s="3617"/>
      <c r="W5" s="3617"/>
      <c r="X5" s="1468"/>
      <c r="Y5" s="3594"/>
      <c r="Z5" s="3595"/>
      <c r="AA5" s="3588"/>
      <c r="AB5" s="3588"/>
      <c r="AC5" s="3588"/>
    </row>
    <row r="6" spans="1:29" ht="15" thickBot="1">
      <c r="A6" s="356"/>
      <c r="B6" s="357"/>
      <c r="C6" s="3600" t="s">
        <v>2123</v>
      </c>
      <c r="D6" s="3601"/>
      <c r="E6" s="3602" t="s">
        <v>2123</v>
      </c>
      <c r="F6" s="3603"/>
      <c r="G6" s="3600" t="s">
        <v>2123</v>
      </c>
      <c r="H6" s="3601"/>
      <c r="I6" s="3600" t="s">
        <v>2123</v>
      </c>
      <c r="J6" s="3601"/>
      <c r="K6" s="557" t="s">
        <v>2124</v>
      </c>
      <c r="L6" s="1005"/>
      <c r="M6" s="1006"/>
      <c r="N6" s="1006"/>
      <c r="O6" s="1006"/>
      <c r="P6" s="3613"/>
      <c r="Q6" s="3614"/>
      <c r="R6" s="3594"/>
      <c r="S6" s="3595"/>
      <c r="T6" s="3615"/>
      <c r="U6" s="3616"/>
      <c r="V6" s="3617"/>
      <c r="W6" s="3617"/>
      <c r="X6" s="1468"/>
      <c r="Y6" s="3615"/>
      <c r="Z6" s="3616"/>
      <c r="AA6" s="3589"/>
      <c r="AB6" s="3589"/>
      <c r="AC6" s="3589"/>
    </row>
    <row r="7" spans="1:29" s="110" customFormat="1" ht="14.5" thickBot="1">
      <c r="A7" s="358" t="s">
        <v>2125</v>
      </c>
      <c r="B7" s="359"/>
      <c r="C7" s="360">
        <f>'数据-取费表'!B2</f>
        <v>44693</v>
      </c>
      <c r="D7" s="361">
        <v>100</v>
      </c>
      <c r="E7" s="362"/>
      <c r="F7" s="363">
        <f>SUMIF(52:52,YEAR(E7)&amp;"-"&amp;MONTH(E7),53:53)</f>
        <v>0</v>
      </c>
      <c r="G7" s="362"/>
      <c r="H7" s="361">
        <f>SUMIF(52:52,YEAR(G7)&amp;"-"&amp;MONTH(G7),53:53)</f>
        <v>0</v>
      </c>
      <c r="I7" s="362"/>
      <c r="J7" s="361">
        <f>SUMIF(52:52,YEAR(I7)&amp;"-"&amp;MONTH(I7),53:53)</f>
        <v>0</v>
      </c>
      <c r="K7" s="558"/>
      <c r="L7" s="1007"/>
      <c r="M7" s="1008"/>
      <c r="N7" s="1008"/>
      <c r="O7" s="1008"/>
      <c r="P7" s="3590" t="s">
        <v>2126</v>
      </c>
      <c r="Q7" s="3618"/>
      <c r="R7" s="696" t="s">
        <v>17</v>
      </c>
      <c r="S7" s="697">
        <f t="shared" ref="S7:S15" si="0">F7</f>
        <v>0</v>
      </c>
      <c r="T7" s="696" t="s">
        <v>17</v>
      </c>
      <c r="U7" s="697">
        <f t="shared" ref="U7:U15" si="1">H7</f>
        <v>0</v>
      </c>
      <c r="V7" s="696" t="s">
        <v>17</v>
      </c>
      <c r="W7" s="697">
        <f t="shared" ref="W7:W15" si="2">J7</f>
        <v>0</v>
      </c>
      <c r="X7" s="698"/>
      <c r="Y7" s="3590" t="s">
        <v>2126</v>
      </c>
      <c r="Z7" s="3591"/>
      <c r="AA7" s="699" t="e">
        <f>D7/F7</f>
        <v>#DIV/0!</v>
      </c>
      <c r="AB7" s="699" t="e">
        <f>D7/H7</f>
        <v>#DIV/0!</v>
      </c>
      <c r="AC7" s="699" t="e">
        <f>D7/J7</f>
        <v>#DIV/0!</v>
      </c>
    </row>
    <row r="8" spans="1:29" s="110" customFormat="1" ht="14.5" thickBot="1">
      <c r="A8" s="358" t="s">
        <v>2127</v>
      </c>
      <c r="B8" s="359"/>
      <c r="C8" s="364" t="s">
        <v>2128</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590" t="s">
        <v>2129</v>
      </c>
      <c r="Q8" s="3591"/>
      <c r="R8" s="696" t="s">
        <v>17</v>
      </c>
      <c r="S8" s="697">
        <f t="shared" si="0"/>
        <v>0</v>
      </c>
      <c r="T8" s="696" t="s">
        <v>17</v>
      </c>
      <c r="U8" s="697">
        <f t="shared" si="1"/>
        <v>0</v>
      </c>
      <c r="V8" s="696" t="s">
        <v>17</v>
      </c>
      <c r="W8" s="697">
        <f t="shared" si="2"/>
        <v>0</v>
      </c>
      <c r="X8" s="698"/>
      <c r="Y8" s="3590" t="s">
        <v>2129</v>
      </c>
      <c r="Z8" s="3591"/>
      <c r="AA8" s="699" t="e">
        <f t="shared" ref="AA8:AA40" si="3">D8/F8</f>
        <v>#DIV/0!</v>
      </c>
      <c r="AB8" s="699" t="e">
        <f t="shared" ref="AB8:AB40" si="4">D8/H8</f>
        <v>#DIV/0!</v>
      </c>
      <c r="AC8" s="699" t="e">
        <f t="shared" ref="AC8:AC40" si="5">D8/J8</f>
        <v>#DIV/0!</v>
      </c>
    </row>
    <row r="9" spans="1:29" s="110" customFormat="1">
      <c r="A9" s="365" t="s">
        <v>2130</v>
      </c>
      <c r="B9" s="67" t="s">
        <v>2131</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604" t="s">
        <v>2132</v>
      </c>
      <c r="Q9" s="1456" t="str">
        <f t="shared" ref="Q9:Q15" si="6">B9</f>
        <v>用途</v>
      </c>
      <c r="R9" s="696" t="s">
        <v>17</v>
      </c>
      <c r="S9" s="697">
        <f t="shared" si="0"/>
        <v>100</v>
      </c>
      <c r="T9" s="696" t="s">
        <v>17</v>
      </c>
      <c r="U9" s="697">
        <f t="shared" si="1"/>
        <v>100</v>
      </c>
      <c r="V9" s="696" t="s">
        <v>17</v>
      </c>
      <c r="W9" s="697">
        <f t="shared" si="2"/>
        <v>100</v>
      </c>
      <c r="X9" s="698"/>
      <c r="Y9" s="3563"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604"/>
      <c r="Q10" s="1456" t="str">
        <f t="shared" si="6"/>
        <v>土地使用年限（年）</v>
      </c>
      <c r="R10" s="696" t="s">
        <v>17</v>
      </c>
      <c r="S10" s="697">
        <f t="shared" si="0"/>
        <v>100</v>
      </c>
      <c r="T10" s="696" t="s">
        <v>17</v>
      </c>
      <c r="U10" s="697">
        <f t="shared" si="1"/>
        <v>100</v>
      </c>
      <c r="V10" s="696" t="s">
        <v>17</v>
      </c>
      <c r="W10" s="697">
        <f t="shared" si="2"/>
        <v>100</v>
      </c>
      <c r="X10" s="698"/>
      <c r="Y10" s="3563"/>
      <c r="Z10" s="55" t="str">
        <f t="shared" si="7"/>
        <v>土地使用年限（年）</v>
      </c>
      <c r="AA10" s="699">
        <f t="shared" si="3"/>
        <v>1</v>
      </c>
      <c r="AB10" s="699">
        <f t="shared" si="4"/>
        <v>1</v>
      </c>
      <c r="AC10" s="699">
        <f t="shared" si="5"/>
        <v>1</v>
      </c>
    </row>
    <row r="11" spans="1:29" ht="15.5">
      <c r="A11" s="377"/>
      <c r="B11" s="371" t="s">
        <v>2135</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604"/>
      <c r="Q11" s="1456" t="str">
        <f t="shared" si="6"/>
        <v>容积率</v>
      </c>
      <c r="R11" s="696" t="s">
        <v>17</v>
      </c>
      <c r="S11" s="697" t="e">
        <f t="shared" si="0"/>
        <v>#N/A</v>
      </c>
      <c r="T11" s="696" t="s">
        <v>17</v>
      </c>
      <c r="U11" s="697" t="e">
        <f t="shared" si="1"/>
        <v>#N/A</v>
      </c>
      <c r="V11" s="696" t="s">
        <v>17</v>
      </c>
      <c r="W11" s="697" t="e">
        <f t="shared" si="2"/>
        <v>#N/A</v>
      </c>
      <c r="X11" s="698"/>
      <c r="Y11" s="3563"/>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604"/>
      <c r="Q12" s="1456">
        <f t="shared" si="6"/>
        <v>111</v>
      </c>
      <c r="R12" s="696" t="s">
        <v>17</v>
      </c>
      <c r="S12" s="697">
        <f t="shared" si="0"/>
        <v>100</v>
      </c>
      <c r="T12" s="696" t="s">
        <v>17</v>
      </c>
      <c r="U12" s="697">
        <f t="shared" si="1"/>
        <v>100</v>
      </c>
      <c r="V12" s="696" t="s">
        <v>17</v>
      </c>
      <c r="W12" s="697">
        <f t="shared" si="2"/>
        <v>100</v>
      </c>
      <c r="X12" s="698"/>
      <c r="Y12" s="3563"/>
      <c r="Z12" s="55">
        <f t="shared" si="7"/>
        <v>111</v>
      </c>
      <c r="AA12" s="699">
        <f>D12/F12</f>
        <v>1</v>
      </c>
      <c r="AB12" s="699">
        <f>D12/H12</f>
        <v>1</v>
      </c>
      <c r="AC12" s="699">
        <f>D12/J12</f>
        <v>1</v>
      </c>
    </row>
    <row r="13" spans="1:29" ht="15.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604"/>
      <c r="Q13" s="1456">
        <f t="shared" si="6"/>
        <v>111</v>
      </c>
      <c r="R13" s="696" t="s">
        <v>17</v>
      </c>
      <c r="S13" s="697">
        <f t="shared" si="0"/>
        <v>100</v>
      </c>
      <c r="T13" s="696" t="s">
        <v>17</v>
      </c>
      <c r="U13" s="697">
        <f t="shared" si="1"/>
        <v>100</v>
      </c>
      <c r="V13" s="696" t="s">
        <v>17</v>
      </c>
      <c r="W13" s="697">
        <f t="shared" si="2"/>
        <v>100</v>
      </c>
      <c r="X13" s="698"/>
      <c r="Y13" s="3563"/>
      <c r="Z13" s="55">
        <f t="shared" si="7"/>
        <v>111</v>
      </c>
      <c r="AA13" s="699">
        <f t="shared" si="3"/>
        <v>1</v>
      </c>
      <c r="AB13" s="699">
        <f t="shared" si="4"/>
        <v>1</v>
      </c>
      <c r="AC13" s="699">
        <f t="shared" si="5"/>
        <v>1</v>
      </c>
    </row>
    <row r="14" spans="1:29" ht="16"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604"/>
      <c r="Q14" s="1456">
        <f t="shared" si="6"/>
        <v>111</v>
      </c>
      <c r="R14" s="696" t="s">
        <v>17</v>
      </c>
      <c r="S14" s="697">
        <f t="shared" si="0"/>
        <v>100</v>
      </c>
      <c r="T14" s="696" t="s">
        <v>17</v>
      </c>
      <c r="U14" s="697">
        <f t="shared" si="1"/>
        <v>100</v>
      </c>
      <c r="V14" s="696" t="s">
        <v>17</v>
      </c>
      <c r="W14" s="697">
        <f t="shared" si="2"/>
        <v>100</v>
      </c>
      <c r="X14" s="698"/>
      <c r="Y14" s="3563"/>
      <c r="Z14" s="55">
        <f t="shared" si="7"/>
        <v>111</v>
      </c>
      <c r="AA14" s="699">
        <f t="shared" si="3"/>
        <v>1</v>
      </c>
      <c r="AB14" s="699">
        <f t="shared" si="4"/>
        <v>1</v>
      </c>
      <c r="AC14" s="699">
        <f t="shared" si="5"/>
        <v>1</v>
      </c>
    </row>
    <row r="15" spans="1:29" ht="70">
      <c r="A15" s="389" t="s">
        <v>2136</v>
      </c>
      <c r="B15" s="65" t="s">
        <v>2280</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619" t="s">
        <v>2137</v>
      </c>
      <c r="Q15" s="1465" t="str">
        <f t="shared" si="6"/>
        <v>产业集聚程度</v>
      </c>
      <c r="R15" s="700" t="s">
        <v>17</v>
      </c>
      <c r="S15" s="701">
        <f t="shared" si="0"/>
        <v>100</v>
      </c>
      <c r="T15" s="700" t="s">
        <v>17</v>
      </c>
      <c r="U15" s="701">
        <f t="shared" si="1"/>
        <v>100</v>
      </c>
      <c r="V15" s="700" t="s">
        <v>17</v>
      </c>
      <c r="W15" s="701">
        <f t="shared" si="2"/>
        <v>100</v>
      </c>
      <c r="X15" s="1468"/>
      <c r="Y15" s="3619" t="s">
        <v>2137</v>
      </c>
      <c r="Z15" s="1469" t="str">
        <f t="shared" si="7"/>
        <v>产业集聚程度</v>
      </c>
      <c r="AA15" s="1466">
        <f t="shared" si="3"/>
        <v>1</v>
      </c>
      <c r="AB15" s="1466">
        <f t="shared" si="4"/>
        <v>1</v>
      </c>
      <c r="AC15" s="1466">
        <f t="shared" si="5"/>
        <v>1</v>
      </c>
    </row>
    <row r="16" spans="1:29" ht="15.5">
      <c r="A16" s="377"/>
      <c r="B16" s="395"/>
      <c r="C16" s="396"/>
      <c r="D16" s="397"/>
      <c r="E16" s="396"/>
      <c r="F16" s="398"/>
      <c r="G16" s="396"/>
      <c r="H16" s="399"/>
      <c r="I16" s="396"/>
      <c r="J16" s="397"/>
      <c r="K16" s="562"/>
      <c r="L16" s="1015"/>
      <c r="M16" s="1006"/>
      <c r="N16" s="1006"/>
      <c r="O16" s="1014"/>
      <c r="P16" s="3620"/>
      <c r="Q16" s="1465"/>
      <c r="R16" s="700"/>
      <c r="S16" s="701"/>
      <c r="T16" s="700"/>
      <c r="U16" s="701"/>
      <c r="V16" s="700"/>
      <c r="W16" s="701"/>
      <c r="X16" s="1468"/>
      <c r="Y16" s="3620"/>
      <c r="Z16" s="1469"/>
      <c r="AA16" s="1466">
        <v>1</v>
      </c>
      <c r="AB16" s="1466">
        <v>1</v>
      </c>
      <c r="AC16" s="1466">
        <v>1</v>
      </c>
    </row>
    <row r="17" spans="1:29" ht="98">
      <c r="A17" s="377"/>
      <c r="B17" s="400" t="s">
        <v>1701</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620"/>
      <c r="Q17" s="1465" t="str">
        <f>B17</f>
        <v>交通便捷度</v>
      </c>
      <c r="R17" s="700" t="s">
        <v>17</v>
      </c>
      <c r="S17" s="701">
        <f>F17</f>
        <v>100</v>
      </c>
      <c r="T17" s="700" t="s">
        <v>17</v>
      </c>
      <c r="U17" s="701">
        <f>H17</f>
        <v>100</v>
      </c>
      <c r="V17" s="700" t="s">
        <v>17</v>
      </c>
      <c r="W17" s="701">
        <f>J17</f>
        <v>100</v>
      </c>
      <c r="X17" s="1468"/>
      <c r="Y17" s="3620"/>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1015"/>
      <c r="M18" s="1006"/>
      <c r="N18" s="1006"/>
      <c r="O18" s="1014"/>
      <c r="P18" s="3620"/>
      <c r="Q18" s="1465"/>
      <c r="R18" s="700"/>
      <c r="S18" s="701"/>
      <c r="T18" s="700"/>
      <c r="U18" s="701"/>
      <c r="V18" s="700"/>
      <c r="W18" s="701"/>
      <c r="X18" s="1468"/>
      <c r="Y18" s="3620"/>
      <c r="Z18" s="1469"/>
      <c r="AA18" s="1466">
        <v>1</v>
      </c>
      <c r="AB18" s="1466">
        <v>1</v>
      </c>
      <c r="AC18" s="1466">
        <v>1</v>
      </c>
    </row>
    <row r="19" spans="1:29" ht="42">
      <c r="A19" s="377"/>
      <c r="B19" s="400" t="s">
        <v>2265</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620"/>
      <c r="Q19" s="1465" t="str">
        <f>B19</f>
        <v>公共配套设施</v>
      </c>
      <c r="R19" s="700" t="s">
        <v>17</v>
      </c>
      <c r="S19" s="701">
        <f>F19</f>
        <v>100</v>
      </c>
      <c r="T19" s="700" t="s">
        <v>17</v>
      </c>
      <c r="U19" s="701">
        <f>H19</f>
        <v>100</v>
      </c>
      <c r="V19" s="700" t="s">
        <v>17</v>
      </c>
      <c r="W19" s="701">
        <f>J19</f>
        <v>100</v>
      </c>
      <c r="X19" s="1468"/>
      <c r="Y19" s="3620"/>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1015"/>
      <c r="M20" s="1006"/>
      <c r="N20" s="1006"/>
      <c r="O20" s="1014"/>
      <c r="P20" s="3620"/>
      <c r="Q20" s="1465"/>
      <c r="R20" s="700"/>
      <c r="S20" s="701"/>
      <c r="T20" s="700"/>
      <c r="U20" s="701"/>
      <c r="V20" s="700"/>
      <c r="W20" s="701"/>
      <c r="X20" s="1468"/>
      <c r="Y20" s="3620"/>
      <c r="Z20" s="1469"/>
      <c r="AA20" s="1466">
        <v>1</v>
      </c>
      <c r="AB20" s="1466">
        <v>1</v>
      </c>
      <c r="AC20" s="1466">
        <v>1</v>
      </c>
    </row>
    <row r="21" spans="1:29" ht="42">
      <c r="A21" s="377"/>
      <c r="B21" s="1225" t="s">
        <v>2266</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620"/>
      <c r="Q21" s="1465" t="str">
        <f>B21</f>
        <v>基础设施水平</v>
      </c>
      <c r="R21" s="700" t="s">
        <v>17</v>
      </c>
      <c r="S21" s="701">
        <f>F21</f>
        <v>100</v>
      </c>
      <c r="T21" s="700" t="s">
        <v>17</v>
      </c>
      <c r="U21" s="701">
        <f>H21</f>
        <v>100</v>
      </c>
      <c r="V21" s="700" t="s">
        <v>17</v>
      </c>
      <c r="W21" s="701">
        <f>J21</f>
        <v>100</v>
      </c>
      <c r="X21" s="1468"/>
      <c r="Y21" s="3620"/>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1015"/>
      <c r="M22" s="1006"/>
      <c r="N22" s="1006"/>
      <c r="O22" s="1014"/>
      <c r="P22" s="3620"/>
      <c r="Q22" s="1465"/>
      <c r="R22" s="700"/>
      <c r="S22" s="701"/>
      <c r="T22" s="700"/>
      <c r="U22" s="701"/>
      <c r="V22" s="700"/>
      <c r="W22" s="701"/>
      <c r="X22" s="1468"/>
      <c r="Y22" s="3620"/>
      <c r="Z22" s="1469"/>
      <c r="AA22" s="1466">
        <v>1</v>
      </c>
      <c r="AB22" s="1466">
        <v>1</v>
      </c>
      <c r="AC22" s="1466">
        <v>1</v>
      </c>
    </row>
    <row r="23" spans="1:29" ht="84">
      <c r="A23" s="377"/>
      <c r="B23" s="400" t="s">
        <v>2267</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620"/>
      <c r="Q23" s="1465" t="str">
        <f>B23</f>
        <v>环境质量</v>
      </c>
      <c r="R23" s="700" t="s">
        <v>17</v>
      </c>
      <c r="S23" s="701">
        <f>F23</f>
        <v>100</v>
      </c>
      <c r="T23" s="700" t="s">
        <v>17</v>
      </c>
      <c r="U23" s="701">
        <f>H23</f>
        <v>100</v>
      </c>
      <c r="V23" s="700" t="s">
        <v>17</v>
      </c>
      <c r="W23" s="701">
        <f>J23</f>
        <v>100</v>
      </c>
      <c r="X23" s="1468"/>
      <c r="Y23" s="3620"/>
      <c r="Z23" s="1469" t="str">
        <f>Q23</f>
        <v>环境质量</v>
      </c>
      <c r="AA23" s="1466">
        <f t="shared" si="3"/>
        <v>1</v>
      </c>
      <c r="AB23" s="1466">
        <f t="shared" si="4"/>
        <v>1</v>
      </c>
      <c r="AC23" s="1466">
        <f t="shared" si="5"/>
        <v>1</v>
      </c>
    </row>
    <row r="24" spans="1:29" ht="15.5">
      <c r="A24" s="377"/>
      <c r="B24" s="1225"/>
      <c r="C24" s="396"/>
      <c r="D24" s="397"/>
      <c r="E24" s="2012"/>
      <c r="F24" s="398"/>
      <c r="G24" s="2011"/>
      <c r="H24" s="397"/>
      <c r="I24" s="2012"/>
      <c r="J24" s="397"/>
      <c r="K24" s="562"/>
      <c r="L24" s="1015"/>
      <c r="M24" s="1006"/>
      <c r="N24" s="1006"/>
      <c r="O24" s="1014"/>
      <c r="P24" s="3620"/>
      <c r="Q24" s="1465"/>
      <c r="R24" s="700"/>
      <c r="S24" s="701"/>
      <c r="T24" s="700"/>
      <c r="U24" s="701"/>
      <c r="V24" s="700"/>
      <c r="W24" s="701"/>
      <c r="X24" s="1468"/>
      <c r="Y24" s="3620"/>
      <c r="Z24" s="1469"/>
      <c r="AA24" s="1466">
        <v>1</v>
      </c>
      <c r="AB24" s="1466">
        <v>1</v>
      </c>
      <c r="AC24" s="1466">
        <v>1</v>
      </c>
    </row>
    <row r="25" spans="1:29" ht="15.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620"/>
      <c r="Q25" s="1465">
        <f>B25</f>
        <v>111</v>
      </c>
      <c r="R25" s="700" t="s">
        <v>17</v>
      </c>
      <c r="S25" s="701">
        <f>F25</f>
        <v>100</v>
      </c>
      <c r="T25" s="700" t="s">
        <v>17</v>
      </c>
      <c r="U25" s="701">
        <f>H25</f>
        <v>100</v>
      </c>
      <c r="V25" s="700" t="s">
        <v>17</v>
      </c>
      <c r="W25" s="701">
        <f>J25</f>
        <v>100</v>
      </c>
      <c r="X25" s="1468"/>
      <c r="Y25" s="3620"/>
      <c r="Z25" s="1469">
        <f>Q25</f>
        <v>111</v>
      </c>
      <c r="AA25" s="1466">
        <f t="shared" si="3"/>
        <v>1</v>
      </c>
      <c r="AB25" s="1466">
        <f t="shared" si="4"/>
        <v>1</v>
      </c>
      <c r="AC25" s="1466">
        <f t="shared" si="5"/>
        <v>1</v>
      </c>
    </row>
    <row r="26" spans="1:29" ht="15.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620"/>
      <c r="Q26" s="1465">
        <f t="shared" ref="Q26:Q40" si="11">B26</f>
        <v>111</v>
      </c>
      <c r="R26" s="700" t="s">
        <v>17</v>
      </c>
      <c r="S26" s="701">
        <f>F26</f>
        <v>100</v>
      </c>
      <c r="T26" s="700" t="s">
        <v>17</v>
      </c>
      <c r="U26" s="701">
        <f>H26</f>
        <v>100</v>
      </c>
      <c r="V26" s="700" t="s">
        <v>17</v>
      </c>
      <c r="W26" s="701">
        <f>J26</f>
        <v>100</v>
      </c>
      <c r="X26" s="1468"/>
      <c r="Y26" s="3620"/>
      <c r="Z26" s="1469">
        <f>Q26</f>
        <v>111</v>
      </c>
      <c r="AA26" s="1466">
        <f t="shared" si="3"/>
        <v>1</v>
      </c>
      <c r="AB26" s="1466">
        <f t="shared" si="4"/>
        <v>1</v>
      </c>
      <c r="AC26" s="1466">
        <f t="shared" si="5"/>
        <v>1</v>
      </c>
    </row>
    <row r="27" spans="1:29" s="110" customFormat="1" ht="15.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620"/>
      <c r="Q27" s="1456">
        <f t="shared" si="11"/>
        <v>111</v>
      </c>
      <c r="R27" s="696" t="s">
        <v>17</v>
      </c>
      <c r="S27" s="697">
        <f>F27</f>
        <v>100</v>
      </c>
      <c r="T27" s="696" t="s">
        <v>17</v>
      </c>
      <c r="U27" s="697">
        <f>H27</f>
        <v>100</v>
      </c>
      <c r="V27" s="696" t="s">
        <v>17</v>
      </c>
      <c r="W27" s="697">
        <f>J27</f>
        <v>100</v>
      </c>
      <c r="X27" s="698"/>
      <c r="Y27" s="3620"/>
      <c r="Z27" s="55">
        <f>Q27</f>
        <v>111</v>
      </c>
      <c r="AA27" s="1466">
        <f>D27/F27</f>
        <v>1</v>
      </c>
      <c r="AB27" s="1466">
        <f>D27/H27</f>
        <v>1</v>
      </c>
      <c r="AC27" s="1466">
        <f>D27/J27</f>
        <v>1</v>
      </c>
    </row>
    <row r="28" spans="1:29" ht="16"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620"/>
      <c r="Q28" s="1465">
        <f t="shared" si="11"/>
        <v>111</v>
      </c>
      <c r="R28" s="700" t="s">
        <v>17</v>
      </c>
      <c r="S28" s="701">
        <f t="shared" ref="S28:S40" si="12">F28</f>
        <v>100</v>
      </c>
      <c r="T28" s="700" t="s">
        <v>17</v>
      </c>
      <c r="U28" s="701">
        <f t="shared" ref="U28:U40" si="13">H28</f>
        <v>100</v>
      </c>
      <c r="V28" s="700" t="s">
        <v>17</v>
      </c>
      <c r="W28" s="701">
        <f t="shared" ref="W28:W40" si="14">J28</f>
        <v>100</v>
      </c>
      <c r="X28" s="1468"/>
      <c r="Y28" s="3620"/>
      <c r="Z28" s="1469">
        <f t="shared" ref="Z28:Z40" si="15">Q28</f>
        <v>111</v>
      </c>
      <c r="AA28" s="1466">
        <f t="shared" si="3"/>
        <v>1</v>
      </c>
      <c r="AB28" s="1466">
        <f t="shared" si="4"/>
        <v>1</v>
      </c>
      <c r="AC28" s="1466">
        <f t="shared" si="5"/>
        <v>1</v>
      </c>
    </row>
    <row r="29" spans="1:29" ht="29">
      <c r="A29" s="415" t="s">
        <v>2140</v>
      </c>
      <c r="B29" s="67" t="s">
        <v>2270</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621" t="s">
        <v>2142</v>
      </c>
      <c r="Q29" s="1465" t="str">
        <f t="shared" si="11"/>
        <v>建筑类型</v>
      </c>
      <c r="R29" s="700" t="s">
        <v>17</v>
      </c>
      <c r="S29" s="701">
        <f t="shared" si="12"/>
        <v>100</v>
      </c>
      <c r="T29" s="700" t="s">
        <v>17</v>
      </c>
      <c r="U29" s="701">
        <f t="shared" si="13"/>
        <v>100</v>
      </c>
      <c r="V29" s="700" t="s">
        <v>17</v>
      </c>
      <c r="W29" s="701">
        <f t="shared" si="14"/>
        <v>100</v>
      </c>
      <c r="X29" s="1468"/>
      <c r="Y29" s="3622" t="s">
        <v>2142</v>
      </c>
      <c r="Z29" s="1469" t="str">
        <f t="shared" si="15"/>
        <v>建筑类型</v>
      </c>
      <c r="AA29" s="1466">
        <f t="shared" si="3"/>
        <v>1</v>
      </c>
      <c r="AB29" s="1466">
        <f t="shared" si="4"/>
        <v>1</v>
      </c>
      <c r="AC29" s="1466">
        <f t="shared" si="5"/>
        <v>1</v>
      </c>
    </row>
    <row r="30" spans="1:29" s="420" customFormat="1" ht="15.5">
      <c r="A30" s="417"/>
      <c r="B30" s="371" t="s">
        <v>2143</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622"/>
      <c r="Q30" s="702" t="str">
        <f t="shared" si="11"/>
        <v>项目建筑规模</v>
      </c>
      <c r="R30" s="703" t="s">
        <v>17</v>
      </c>
      <c r="S30" s="704" t="e">
        <f t="shared" si="12"/>
        <v>#N/A</v>
      </c>
      <c r="T30" s="703" t="s">
        <v>17</v>
      </c>
      <c r="U30" s="704" t="e">
        <f t="shared" si="13"/>
        <v>#N/A</v>
      </c>
      <c r="V30" s="703" t="s">
        <v>17</v>
      </c>
      <c r="W30" s="704" t="e">
        <f t="shared" si="14"/>
        <v>#N/A</v>
      </c>
      <c r="X30" s="705"/>
      <c r="Y30" s="3622"/>
      <c r="Z30" s="706" t="str">
        <f t="shared" si="15"/>
        <v>项目建筑规模</v>
      </c>
      <c r="AA30" s="1466" t="e">
        <f t="shared" si="3"/>
        <v>#N/A</v>
      </c>
      <c r="AB30" s="1466" t="e">
        <f t="shared" si="4"/>
        <v>#N/A</v>
      </c>
      <c r="AC30" s="1466" t="e">
        <f t="shared" si="5"/>
        <v>#N/A</v>
      </c>
    </row>
    <row r="31" spans="1:29" ht="15.5">
      <c r="A31" s="421"/>
      <c r="B31" s="371" t="s">
        <v>2144</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622"/>
      <c r="Q31" s="1465" t="str">
        <f t="shared" si="11"/>
        <v>建筑结构</v>
      </c>
      <c r="R31" s="700" t="s">
        <v>17</v>
      </c>
      <c r="S31" s="701">
        <f t="shared" si="12"/>
        <v>100</v>
      </c>
      <c r="T31" s="700" t="s">
        <v>17</v>
      </c>
      <c r="U31" s="701">
        <f t="shared" si="13"/>
        <v>100</v>
      </c>
      <c r="V31" s="700" t="s">
        <v>17</v>
      </c>
      <c r="W31" s="701">
        <f t="shared" si="14"/>
        <v>100</v>
      </c>
      <c r="X31" s="1468"/>
      <c r="Y31" s="3622"/>
      <c r="Z31" s="1469" t="str">
        <f t="shared" si="15"/>
        <v>建筑结构</v>
      </c>
      <c r="AA31" s="1466">
        <f t="shared" si="3"/>
        <v>1</v>
      </c>
      <c r="AB31" s="1466">
        <f t="shared" si="4"/>
        <v>1</v>
      </c>
      <c r="AC31" s="1466">
        <f t="shared" si="5"/>
        <v>1</v>
      </c>
    </row>
    <row r="32" spans="1:29" ht="15.5">
      <c r="A32" s="421"/>
      <c r="B32" s="371" t="s">
        <v>2238</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622"/>
      <c r="Q32" s="1465" t="str">
        <f t="shared" si="11"/>
        <v>公共部分装修</v>
      </c>
      <c r="R32" s="700" t="s">
        <v>17</v>
      </c>
      <c r="S32" s="701">
        <f t="shared" si="12"/>
        <v>100</v>
      </c>
      <c r="T32" s="700" t="s">
        <v>17</v>
      </c>
      <c r="U32" s="701">
        <f t="shared" si="13"/>
        <v>100</v>
      </c>
      <c r="V32" s="700" t="s">
        <v>17</v>
      </c>
      <c r="W32" s="701">
        <f t="shared" si="14"/>
        <v>100</v>
      </c>
      <c r="X32" s="1468"/>
      <c r="Y32" s="3622"/>
      <c r="Z32" s="1469" t="str">
        <f t="shared" si="15"/>
        <v>公共部分装修</v>
      </c>
      <c r="AA32" s="1466">
        <f t="shared" si="3"/>
        <v>1</v>
      </c>
      <c r="AB32" s="1466">
        <f t="shared" si="4"/>
        <v>1</v>
      </c>
      <c r="AC32" s="1466">
        <f t="shared" si="5"/>
        <v>1</v>
      </c>
    </row>
    <row r="33" spans="1:29" ht="15.5">
      <c r="A33" s="421"/>
      <c r="B33" s="371" t="s">
        <v>2239</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622"/>
      <c r="Q33" s="1465" t="str">
        <f t="shared" si="11"/>
        <v>成新度</v>
      </c>
      <c r="R33" s="700" t="s">
        <v>17</v>
      </c>
      <c r="S33" s="701" t="e">
        <f t="shared" si="12"/>
        <v>#N/A</v>
      </c>
      <c r="T33" s="700" t="s">
        <v>17</v>
      </c>
      <c r="U33" s="701" t="e">
        <f t="shared" si="13"/>
        <v>#N/A</v>
      </c>
      <c r="V33" s="700" t="s">
        <v>17</v>
      </c>
      <c r="W33" s="701" t="e">
        <f t="shared" si="14"/>
        <v>#N/A</v>
      </c>
      <c r="X33" s="1468"/>
      <c r="Y33" s="3622"/>
      <c r="Z33" s="1469" t="str">
        <f t="shared" si="15"/>
        <v>成新度</v>
      </c>
      <c r="AA33" s="1466" t="e">
        <f t="shared" si="3"/>
        <v>#N/A</v>
      </c>
      <c r="AB33" s="1466" t="e">
        <f t="shared" si="4"/>
        <v>#N/A</v>
      </c>
      <c r="AC33" s="1466" t="e">
        <f t="shared" si="5"/>
        <v>#N/A</v>
      </c>
    </row>
    <row r="34" spans="1:29" s="110" customFormat="1" ht="15.5">
      <c r="A34" s="422"/>
      <c r="B34" s="371" t="s">
        <v>2272</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622"/>
      <c r="Q34" s="1456" t="str">
        <f t="shared" si="11"/>
        <v>物业管理</v>
      </c>
      <c r="R34" s="696" t="s">
        <v>17</v>
      </c>
      <c r="S34" s="697">
        <f t="shared" si="12"/>
        <v>100</v>
      </c>
      <c r="T34" s="696" t="s">
        <v>17</v>
      </c>
      <c r="U34" s="697">
        <f t="shared" si="13"/>
        <v>100</v>
      </c>
      <c r="V34" s="696" t="s">
        <v>17</v>
      </c>
      <c r="W34" s="697">
        <f t="shared" si="14"/>
        <v>100</v>
      </c>
      <c r="X34" s="698"/>
      <c r="Y34" s="3622"/>
      <c r="Z34" s="55" t="str">
        <f t="shared" si="15"/>
        <v>物业管理</v>
      </c>
      <c r="AA34" s="699">
        <f t="shared" si="3"/>
        <v>1</v>
      </c>
      <c r="AB34" s="699">
        <f t="shared" si="4"/>
        <v>1</v>
      </c>
      <c r="AC34" s="699">
        <f t="shared" si="5"/>
        <v>1</v>
      </c>
    </row>
    <row r="35" spans="1:29" ht="15.5">
      <c r="A35" s="421"/>
      <c r="B35" s="371" t="s">
        <v>2240</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622" t="s">
        <v>2142</v>
      </c>
      <c r="Q35" s="1465" t="str">
        <f t="shared" si="11"/>
        <v>市政基础设施</v>
      </c>
      <c r="R35" s="700" t="s">
        <v>17</v>
      </c>
      <c r="S35" s="701">
        <f t="shared" si="12"/>
        <v>100</v>
      </c>
      <c r="T35" s="700" t="s">
        <v>17</v>
      </c>
      <c r="U35" s="701">
        <f t="shared" si="13"/>
        <v>100</v>
      </c>
      <c r="V35" s="700" t="s">
        <v>17</v>
      </c>
      <c r="W35" s="701">
        <f t="shared" si="14"/>
        <v>100</v>
      </c>
      <c r="X35" s="1468"/>
      <c r="Y35" s="3622" t="s">
        <v>2142</v>
      </c>
      <c r="Z35" s="1469" t="str">
        <f t="shared" si="15"/>
        <v>市政基础设施</v>
      </c>
      <c r="AA35" s="1466">
        <f t="shared" si="3"/>
        <v>1</v>
      </c>
      <c r="AB35" s="1466">
        <f t="shared" si="4"/>
        <v>1</v>
      </c>
      <c r="AC35" s="1466">
        <f t="shared" si="5"/>
        <v>1</v>
      </c>
    </row>
    <row r="36" spans="1:29" ht="15.5">
      <c r="A36" s="421"/>
      <c r="B36" s="371" t="s">
        <v>2245</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622"/>
      <c r="Q36" s="1465" t="str">
        <f t="shared" si="11"/>
        <v>内部装修</v>
      </c>
      <c r="R36" s="700" t="s">
        <v>17</v>
      </c>
      <c r="S36" s="701">
        <f t="shared" si="12"/>
        <v>100</v>
      </c>
      <c r="T36" s="700" t="s">
        <v>17</v>
      </c>
      <c r="U36" s="701">
        <f t="shared" si="13"/>
        <v>100</v>
      </c>
      <c r="V36" s="700" t="s">
        <v>17</v>
      </c>
      <c r="W36" s="701">
        <f t="shared" si="14"/>
        <v>100</v>
      </c>
      <c r="X36" s="1468"/>
      <c r="Y36" s="3622"/>
      <c r="Z36" s="1469" t="str">
        <f t="shared" si="15"/>
        <v>内部装修</v>
      </c>
      <c r="AA36" s="1466">
        <f t="shared" si="3"/>
        <v>1</v>
      </c>
      <c r="AB36" s="1466">
        <f t="shared" si="4"/>
        <v>1</v>
      </c>
      <c r="AC36" s="1466">
        <f t="shared" si="5"/>
        <v>1</v>
      </c>
    </row>
    <row r="37" spans="1:29" ht="15.5">
      <c r="A37" s="421"/>
      <c r="B37" s="371" t="s">
        <v>2281</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622"/>
      <c r="Q37" s="1465" t="str">
        <f t="shared" si="11"/>
        <v>内部装修状况</v>
      </c>
      <c r="R37" s="700" t="s">
        <v>17</v>
      </c>
      <c r="S37" s="701">
        <f t="shared" si="12"/>
        <v>100</v>
      </c>
      <c r="T37" s="700" t="s">
        <v>17</v>
      </c>
      <c r="U37" s="701">
        <f t="shared" si="13"/>
        <v>100</v>
      </c>
      <c r="V37" s="700" t="s">
        <v>17</v>
      </c>
      <c r="W37" s="701">
        <f t="shared" si="14"/>
        <v>100</v>
      </c>
      <c r="X37" s="1468"/>
      <c r="Y37" s="3622"/>
      <c r="Z37" s="1469" t="str">
        <f t="shared" si="15"/>
        <v>内部装修状况</v>
      </c>
      <c r="AA37" s="1466">
        <f t="shared" si="3"/>
        <v>1</v>
      </c>
      <c r="AB37" s="1466">
        <f t="shared" si="4"/>
        <v>1</v>
      </c>
      <c r="AC37" s="1466">
        <f t="shared" si="5"/>
        <v>1</v>
      </c>
    </row>
    <row r="38" spans="1:29" s="420" customFormat="1" ht="15.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622"/>
      <c r="Q38" s="702">
        <f t="shared" si="11"/>
        <v>111</v>
      </c>
      <c r="R38" s="703" t="s">
        <v>17</v>
      </c>
      <c r="S38" s="704">
        <f t="shared" si="12"/>
        <v>100</v>
      </c>
      <c r="T38" s="703" t="s">
        <v>17</v>
      </c>
      <c r="U38" s="704">
        <f t="shared" si="13"/>
        <v>100</v>
      </c>
      <c r="V38" s="703" t="s">
        <v>17</v>
      </c>
      <c r="W38" s="704">
        <f t="shared" si="14"/>
        <v>100</v>
      </c>
      <c r="X38" s="705"/>
      <c r="Y38" s="3622"/>
      <c r="Z38" s="706">
        <f t="shared" si="15"/>
        <v>111</v>
      </c>
      <c r="AA38" s="1466">
        <f t="shared" si="3"/>
        <v>1</v>
      </c>
      <c r="AB38" s="1466">
        <f t="shared" si="4"/>
        <v>1</v>
      </c>
      <c r="AC38" s="1466">
        <f t="shared" si="5"/>
        <v>1</v>
      </c>
    </row>
    <row r="39" spans="1:29" ht="15.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622"/>
      <c r="Q39" s="1465">
        <f t="shared" si="11"/>
        <v>111</v>
      </c>
      <c r="R39" s="700" t="s">
        <v>17</v>
      </c>
      <c r="S39" s="701">
        <f t="shared" si="12"/>
        <v>100</v>
      </c>
      <c r="T39" s="700" t="s">
        <v>17</v>
      </c>
      <c r="U39" s="701">
        <f t="shared" si="13"/>
        <v>100</v>
      </c>
      <c r="V39" s="700" t="s">
        <v>17</v>
      </c>
      <c r="W39" s="701">
        <f t="shared" si="14"/>
        <v>100</v>
      </c>
      <c r="X39" s="1468"/>
      <c r="Y39" s="3622"/>
      <c r="Z39" s="1469">
        <f t="shared" si="15"/>
        <v>111</v>
      </c>
      <c r="AA39" s="1466">
        <f t="shared" si="3"/>
        <v>1</v>
      </c>
      <c r="AB39" s="1466">
        <f t="shared" si="4"/>
        <v>1</v>
      </c>
      <c r="AC39" s="1466">
        <f t="shared" si="5"/>
        <v>1</v>
      </c>
    </row>
    <row r="40" spans="1:29" ht="16"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63"/>
      <c r="Q40" s="1465">
        <f t="shared" si="11"/>
        <v>111</v>
      </c>
      <c r="R40" s="700" t="s">
        <v>17</v>
      </c>
      <c r="S40" s="701">
        <f t="shared" si="12"/>
        <v>100</v>
      </c>
      <c r="T40" s="700" t="s">
        <v>17</v>
      </c>
      <c r="U40" s="701">
        <f t="shared" si="13"/>
        <v>100</v>
      </c>
      <c r="V40" s="700" t="s">
        <v>17</v>
      </c>
      <c r="W40" s="701">
        <f t="shared" si="14"/>
        <v>100</v>
      </c>
      <c r="X40" s="1468"/>
      <c r="Y40" s="3663"/>
      <c r="Z40" s="1469">
        <f t="shared" si="15"/>
        <v>111</v>
      </c>
      <c r="AA40" s="1466">
        <f t="shared" si="3"/>
        <v>1</v>
      </c>
      <c r="AB40" s="1466">
        <f t="shared" si="4"/>
        <v>1</v>
      </c>
      <c r="AC40" s="1466">
        <f t="shared" si="5"/>
        <v>1</v>
      </c>
    </row>
    <row r="41" spans="1:29">
      <c r="A41" s="428" t="s">
        <v>2154</v>
      </c>
      <c r="B41" s="429"/>
      <c r="C41" s="1248" t="s">
        <v>1</v>
      </c>
      <c r="D41" s="1249"/>
      <c r="E41" s="1250"/>
      <c r="F41" s="1251"/>
      <c r="G41" s="1252"/>
      <c r="H41" s="1253"/>
      <c r="I41" s="1250"/>
      <c r="J41" s="1253"/>
      <c r="K41" s="709"/>
      <c r="L41" s="1018"/>
      <c r="M41" s="1019"/>
      <c r="N41" s="1006"/>
      <c r="O41" s="1019"/>
      <c r="P41" s="3604" t="str">
        <f>A41</f>
        <v>成交单价（元/平方米）</v>
      </c>
      <c r="Q41" s="3604"/>
      <c r="R41" s="3659">
        <f>E41</f>
        <v>0</v>
      </c>
      <c r="S41" s="3659"/>
      <c r="T41" s="3659">
        <f>G41</f>
        <v>0</v>
      </c>
      <c r="U41" s="3659"/>
      <c r="V41" s="3659">
        <f>I41</f>
        <v>0</v>
      </c>
      <c r="W41" s="3659"/>
      <c r="X41" s="685"/>
      <c r="Y41" s="707"/>
      <c r="Z41" s="685"/>
      <c r="AA41" s="685"/>
      <c r="AB41" s="685"/>
      <c r="AC41" s="685"/>
    </row>
    <row r="42" spans="1:29" ht="14.5" thickBot="1">
      <c r="A42" s="435" t="s">
        <v>2246</v>
      </c>
      <c r="B42" s="436"/>
      <c r="C42" s="1254" t="e">
        <f>R43</f>
        <v>#DIV/0!</v>
      </c>
      <c r="D42" s="2466" t="s">
        <v>2634</v>
      </c>
      <c r="E42" s="1255" t="e">
        <f>R42</f>
        <v>#DIV/0!</v>
      </c>
      <c r="F42" s="2467"/>
      <c r="G42" s="1254" t="e">
        <f>T42</f>
        <v>#DIV/0!</v>
      </c>
      <c r="H42" s="2467"/>
      <c r="I42" s="1255" t="e">
        <f>V42</f>
        <v>#DIV/0!</v>
      </c>
      <c r="J42" s="2467"/>
      <c r="K42" s="2469">
        <f>F42+H42+J42</f>
        <v>0</v>
      </c>
      <c r="L42" s="1018"/>
      <c r="M42" s="1019"/>
      <c r="N42" s="1006"/>
      <c r="O42" s="1019"/>
      <c r="P42" s="3604" t="str">
        <f>A42</f>
        <v>比较价值（元/平方米）</v>
      </c>
      <c r="Q42" s="3604"/>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85"/>
      <c r="Y42" s="685"/>
      <c r="Z42" s="685"/>
      <c r="AA42" s="685"/>
      <c r="AB42" s="685"/>
      <c r="AC42" s="685"/>
    </row>
    <row r="43" spans="1:29" ht="14.5" thickBot="1">
      <c r="A43" s="439" t="s">
        <v>2247</v>
      </c>
      <c r="B43" s="440"/>
      <c r="C43" s="1257" t="e">
        <f>R43</f>
        <v>#DIV/0!</v>
      </c>
      <c r="D43" s="1257"/>
      <c r="E43" s="1257"/>
      <c r="F43" s="1257"/>
      <c r="G43" s="1257"/>
      <c r="H43" s="1257"/>
      <c r="I43" s="1257"/>
      <c r="J43" s="1257"/>
      <c r="K43" s="710"/>
      <c r="L43" s="1018"/>
      <c r="M43" s="1019"/>
      <c r="N43" s="1019"/>
      <c r="O43" s="1019"/>
      <c r="P43" s="3624" t="str">
        <f>A43</f>
        <v>估价对象XX用房的比较价值（楼面单价，元/平方米）</v>
      </c>
      <c r="Q43" s="3625"/>
      <c r="R43" s="3658" t="e">
        <f>IF(F1="售价",ROUND(IF(D42="简单平均",AVERAGE(R42:V42),R42*F42+T42*H42+V42*J42),0),ROUND(IF(D42="简单平均",AVERAGE(R42:V42),R42*F42+T42*H42+V42*J42),1))</f>
        <v>#DIV/0!</v>
      </c>
      <c r="S43" s="3658"/>
      <c r="T43" s="3658"/>
      <c r="U43" s="3658"/>
      <c r="V43" s="3658"/>
      <c r="W43" s="3658"/>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5" thickBot="1">
      <c r="A51" s="689" t="s">
        <v>2251</v>
      </c>
      <c r="B51" s="685"/>
      <c r="C51" s="690"/>
      <c r="D51" s="690"/>
      <c r="E51" s="690"/>
      <c r="F51" s="691"/>
      <c r="G51" s="691"/>
      <c r="H51" s="690"/>
      <c r="I51" s="690"/>
      <c r="J51" s="690"/>
      <c r="K51" s="1033"/>
      <c r="L51" s="1034"/>
      <c r="M51" s="1032"/>
      <c r="N51" s="1032"/>
      <c r="O51" s="1032"/>
      <c r="P51" s="450"/>
      <c r="Q51" s="451"/>
    </row>
    <row r="52" spans="1:17" s="455" customFormat="1">
      <c r="A52" s="452" t="s">
        <v>2125</v>
      </c>
      <c r="B52" s="453"/>
      <c r="C52" s="1277" t="str">
        <f>YEAR(C7)&amp;"-"&amp;MONTH(C7)</f>
        <v>2022-5</v>
      </c>
      <c r="D52" s="1278">
        <f>EDATE(C52,-1)</f>
        <v>44652</v>
      </c>
      <c r="E52" s="1278">
        <f t="shared" ref="E52:O52" si="16">EDATE(D52,-1)</f>
        <v>44621</v>
      </c>
      <c r="F52" s="1278">
        <f t="shared" si="16"/>
        <v>44593</v>
      </c>
      <c r="G52" s="1278">
        <f t="shared" si="16"/>
        <v>44562</v>
      </c>
      <c r="H52" s="1278">
        <f t="shared" si="16"/>
        <v>44531</v>
      </c>
      <c r="I52" s="1278">
        <f t="shared" si="16"/>
        <v>44501</v>
      </c>
      <c r="J52" s="1278">
        <f t="shared" si="16"/>
        <v>44470</v>
      </c>
      <c r="K52" s="1278">
        <f t="shared" si="16"/>
        <v>44440</v>
      </c>
      <c r="L52" s="1278">
        <f t="shared" si="16"/>
        <v>44409</v>
      </c>
      <c r="M52" s="1278">
        <f t="shared" si="16"/>
        <v>44378</v>
      </c>
      <c r="N52" s="1278">
        <f t="shared" si="16"/>
        <v>44348</v>
      </c>
      <c r="O52" s="1278">
        <f t="shared" si="16"/>
        <v>44317</v>
      </c>
      <c r="P52" s="454"/>
    </row>
    <row r="53" spans="1:17" s="110" customFormat="1">
      <c r="A53" s="456"/>
      <c r="B53" s="457"/>
      <c r="C53" s="1276">
        <v>100</v>
      </c>
      <c r="D53" s="459"/>
      <c r="E53" s="459"/>
      <c r="F53" s="459"/>
      <c r="G53" s="459"/>
      <c r="H53" s="459"/>
      <c r="I53" s="459"/>
      <c r="J53" s="459"/>
      <c r="K53" s="459"/>
      <c r="L53" s="459"/>
      <c r="M53" s="460"/>
      <c r="N53" s="459"/>
      <c r="O53" s="461"/>
      <c r="P53" s="451"/>
    </row>
    <row r="54" spans="1:17" s="110" customFormat="1" ht="14.5" thickBot="1">
      <c r="A54" s="462" t="s">
        <v>2162</v>
      </c>
      <c r="B54" s="463"/>
      <c r="C54" s="464"/>
      <c r="D54" s="465"/>
      <c r="E54" s="465"/>
      <c r="F54" s="465"/>
      <c r="G54" s="465"/>
      <c r="H54" s="465"/>
      <c r="I54" s="465"/>
      <c r="J54" s="465"/>
      <c r="K54" s="465"/>
      <c r="L54" s="465"/>
      <c r="M54" s="466"/>
      <c r="N54" s="2921"/>
      <c r="O54" s="2922"/>
      <c r="P54" s="451"/>
      <c r="Q54" s="451"/>
    </row>
    <row r="55" spans="1:17" s="110" customFormat="1">
      <c r="A55" s="468" t="s">
        <v>2127</v>
      </c>
      <c r="B55" s="457"/>
      <c r="C55" s="469" t="s">
        <v>2229</v>
      </c>
      <c r="D55" s="470"/>
      <c r="E55" s="470"/>
      <c r="F55" s="470"/>
      <c r="G55" s="470"/>
      <c r="H55" s="470"/>
      <c r="I55" s="470"/>
      <c r="J55" s="470"/>
      <c r="K55" s="470"/>
      <c r="L55" s="471"/>
      <c r="M55" s="472"/>
      <c r="N55" s="1024"/>
      <c r="O55" s="1024"/>
      <c r="P55" s="473"/>
      <c r="Q55" s="451"/>
    </row>
    <row r="56" spans="1:17" s="110" customFormat="1" ht="14.5" thickBot="1">
      <c r="A56" s="468"/>
      <c r="B56" s="457"/>
      <c r="C56" s="585">
        <v>100</v>
      </c>
      <c r="D56" s="459"/>
      <c r="E56" s="459"/>
      <c r="F56" s="459"/>
      <c r="G56" s="459"/>
      <c r="H56" s="459"/>
      <c r="I56" s="459"/>
      <c r="J56" s="459"/>
      <c r="K56" s="459"/>
      <c r="L56" s="459"/>
      <c r="M56" s="461"/>
      <c r="N56" s="1024"/>
      <c r="O56" s="1024"/>
      <c r="P56" s="451"/>
      <c r="Q56" s="451"/>
    </row>
    <row r="57" spans="1:17">
      <c r="A57" s="474" t="s">
        <v>2165</v>
      </c>
      <c r="B57" s="475" t="s">
        <v>2131</v>
      </c>
      <c r="C57" s="476">
        <f>C9</f>
        <v>0</v>
      </c>
      <c r="D57" s="477"/>
      <c r="E57" s="477"/>
      <c r="F57" s="477"/>
      <c r="G57" s="477"/>
      <c r="H57" s="477"/>
      <c r="I57" s="477"/>
      <c r="J57" s="477"/>
      <c r="K57" s="478"/>
      <c r="L57" s="479"/>
      <c r="M57" s="480"/>
      <c r="N57" s="1025"/>
      <c r="O57" s="1025"/>
      <c r="P57" s="45"/>
      <c r="Q57" s="451"/>
    </row>
    <row r="58" spans="1:17" ht="14.5" thickBot="1">
      <c r="A58" s="481"/>
      <c r="B58" s="482"/>
      <c r="C58" s="483">
        <v>100</v>
      </c>
      <c r="D58" s="483"/>
      <c r="E58" s="483"/>
      <c r="F58" s="483"/>
      <c r="G58" s="483"/>
      <c r="H58" s="483"/>
      <c r="I58" s="483"/>
      <c r="J58" s="483"/>
      <c r="K58" s="483"/>
      <c r="L58" s="483"/>
      <c r="M58" s="484"/>
      <c r="N58" s="1026"/>
      <c r="O58" s="1026"/>
      <c r="P58" s="45"/>
      <c r="Q58" s="451"/>
    </row>
    <row r="59" spans="1:17" ht="28.5" thickTop="1">
      <c r="A59" s="481"/>
      <c r="B59" s="485" t="s">
        <v>2134</v>
      </c>
      <c r="C59" s="486" t="s">
        <v>2166</v>
      </c>
      <c r="D59" s="486" t="s">
        <v>2167</v>
      </c>
      <c r="E59" s="486" t="s">
        <v>2168</v>
      </c>
      <c r="F59" s="486" t="s">
        <v>2169</v>
      </c>
      <c r="G59" s="486" t="s">
        <v>2170</v>
      </c>
      <c r="H59" s="486" t="s">
        <v>2171</v>
      </c>
      <c r="I59" s="486" t="s">
        <v>2172</v>
      </c>
      <c r="J59" s="486"/>
      <c r="K59" s="487"/>
      <c r="L59" s="488"/>
      <c r="M59" s="489"/>
      <c r="N59" s="1025"/>
      <c r="O59" s="1025"/>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26"/>
      <c r="O60" s="1026"/>
      <c r="P60" s="45"/>
      <c r="Q60" s="451"/>
    </row>
    <row r="61" spans="1:17" ht="14.5" thickTop="1">
      <c r="A61" s="481"/>
      <c r="B61" s="493" t="s">
        <v>2135</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c r="A62" s="481"/>
      <c r="B62" s="495"/>
      <c r="C62" s="496"/>
      <c r="D62" s="496"/>
      <c r="E62" s="496"/>
      <c r="F62" s="496"/>
      <c r="G62" s="496"/>
      <c r="H62" s="496"/>
      <c r="I62" s="496"/>
      <c r="J62" s="496"/>
      <c r="K62" s="497"/>
      <c r="L62" s="498"/>
      <c r="M62" s="499"/>
      <c r="N62" s="1025"/>
      <c r="O62" s="1025"/>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4.5" thickTop="1">
      <c r="A64" s="500"/>
      <c r="B64" s="485">
        <f>B12</f>
        <v>111</v>
      </c>
      <c r="C64" s="501"/>
      <c r="D64" s="501"/>
      <c r="E64" s="501"/>
      <c r="F64" s="501"/>
      <c r="G64" s="501"/>
      <c r="H64" s="502"/>
      <c r="I64" s="502"/>
      <c r="J64" s="502"/>
      <c r="K64" s="502"/>
      <c r="L64" s="503"/>
      <c r="M64" s="504"/>
      <c r="N64" s="1027"/>
      <c r="O64" s="1027"/>
      <c r="P64" s="505"/>
      <c r="Q64" s="506"/>
    </row>
    <row r="65" spans="1:17" s="420" customFormat="1" ht="14.5" thickBot="1">
      <c r="A65" s="500"/>
      <c r="B65" s="490"/>
      <c r="C65" s="507"/>
      <c r="D65" s="483"/>
      <c r="E65" s="483"/>
      <c r="F65" s="483"/>
      <c r="G65" s="483"/>
      <c r="H65" s="483"/>
      <c r="I65" s="483"/>
      <c r="J65" s="483"/>
      <c r="K65" s="483"/>
      <c r="L65" s="483"/>
      <c r="M65" s="484"/>
      <c r="N65" s="1026"/>
      <c r="O65" s="1026"/>
      <c r="P65" s="505"/>
      <c r="Q65" s="506"/>
    </row>
    <row r="66" spans="1:17" s="420" customFormat="1" ht="14.5" thickTop="1">
      <c r="A66" s="500"/>
      <c r="B66" s="485">
        <f>B13</f>
        <v>111</v>
      </c>
      <c r="C66" s="501"/>
      <c r="D66" s="501"/>
      <c r="E66" s="501"/>
      <c r="F66" s="501"/>
      <c r="G66" s="501"/>
      <c r="H66" s="502"/>
      <c r="I66" s="502"/>
      <c r="J66" s="502"/>
      <c r="K66" s="502"/>
      <c r="L66" s="503"/>
      <c r="M66" s="504"/>
      <c r="N66" s="1027"/>
      <c r="O66" s="1027"/>
      <c r="P66" s="419"/>
      <c r="Q66" s="508"/>
    </row>
    <row r="67" spans="1:17" s="420" customFormat="1" ht="14.5" thickBot="1">
      <c r="A67" s="500"/>
      <c r="B67" s="490"/>
      <c r="C67" s="507"/>
      <c r="D67" s="483"/>
      <c r="E67" s="483"/>
      <c r="F67" s="483"/>
      <c r="G67" s="507"/>
      <c r="H67" s="509"/>
      <c r="I67" s="509"/>
      <c r="J67" s="509"/>
      <c r="K67" s="509"/>
      <c r="L67" s="509"/>
      <c r="M67" s="510"/>
      <c r="N67" s="1027"/>
      <c r="O67" s="1027"/>
      <c r="P67" s="505"/>
      <c r="Q67" s="506"/>
    </row>
    <row r="68" spans="1:17" s="420" customFormat="1" ht="14.5" thickTop="1">
      <c r="A68" s="500"/>
      <c r="B68" s="493">
        <f>B14</f>
        <v>111</v>
      </c>
      <c r="C68" s="470"/>
      <c r="D68" s="470"/>
      <c r="E68" s="470"/>
      <c r="F68" s="470"/>
      <c r="G68" s="470"/>
      <c r="H68" s="511"/>
      <c r="I68" s="511"/>
      <c r="J68" s="511"/>
      <c r="K68" s="511"/>
      <c r="L68" s="512"/>
      <c r="M68" s="513"/>
      <c r="N68" s="1027"/>
      <c r="O68" s="1027"/>
      <c r="P68" s="514"/>
      <c r="Q68" s="506"/>
    </row>
    <row r="69" spans="1:17" s="420" customFormat="1" ht="14.5" thickBot="1">
      <c r="A69" s="515"/>
      <c r="B69" s="516"/>
      <c r="C69" s="517"/>
      <c r="D69" s="517"/>
      <c r="E69" s="517"/>
      <c r="F69" s="517"/>
      <c r="G69" s="517"/>
      <c r="H69" s="518"/>
      <c r="I69" s="518"/>
      <c r="J69" s="518"/>
      <c r="K69" s="518"/>
      <c r="L69" s="518"/>
      <c r="M69" s="519"/>
      <c r="N69" s="1027"/>
      <c r="O69" s="1027"/>
      <c r="P69" s="505"/>
      <c r="Q69" s="506"/>
    </row>
    <row r="70" spans="1:17">
      <c r="A70" s="474" t="s">
        <v>2136</v>
      </c>
      <c r="B70" s="475" t="s">
        <v>2282</v>
      </c>
      <c r="C70" s="520" t="s">
        <v>2174</v>
      </c>
      <c r="D70" s="520" t="s">
        <v>2175</v>
      </c>
      <c r="E70" s="520" t="s">
        <v>2176</v>
      </c>
      <c r="F70" s="520" t="s">
        <v>2177</v>
      </c>
      <c r="G70" s="520" t="s">
        <v>2178</v>
      </c>
      <c r="H70" s="476"/>
      <c r="I70" s="476"/>
      <c r="J70" s="476"/>
      <c r="K70" s="521"/>
      <c r="L70" s="522"/>
      <c r="M70" s="523"/>
      <c r="N70" s="1025"/>
      <c r="O70" s="1025"/>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4.5" thickTop="1">
      <c r="A72" s="481"/>
      <c r="B72" s="485" t="s">
        <v>2179</v>
      </c>
      <c r="C72" s="525" t="s">
        <v>2174</v>
      </c>
      <c r="D72" s="525" t="s">
        <v>2175</v>
      </c>
      <c r="E72" s="525" t="s">
        <v>2176</v>
      </c>
      <c r="F72" s="525" t="s">
        <v>2177</v>
      </c>
      <c r="G72" s="525" t="s">
        <v>2178</v>
      </c>
      <c r="H72" s="486"/>
      <c r="I72" s="486"/>
      <c r="J72" s="486"/>
      <c r="K72" s="487"/>
      <c r="L72" s="488"/>
      <c r="M72" s="489"/>
      <c r="N72" s="1025"/>
      <c r="O72" s="1025"/>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4.5" thickTop="1">
      <c r="A74" s="481"/>
      <c r="B74" s="485" t="s">
        <v>2180</v>
      </c>
      <c r="C74" s="525" t="s">
        <v>2174</v>
      </c>
      <c r="D74" s="525" t="s">
        <v>2175</v>
      </c>
      <c r="E74" s="525" t="s">
        <v>2176</v>
      </c>
      <c r="F74" s="525" t="s">
        <v>2177</v>
      </c>
      <c r="G74" s="525" t="s">
        <v>2178</v>
      </c>
      <c r="H74" s="486"/>
      <c r="I74" s="486"/>
      <c r="J74" s="486"/>
      <c r="K74" s="487"/>
      <c r="L74" s="488"/>
      <c r="M74" s="489"/>
      <c r="N74" s="1025"/>
      <c r="O74" s="1025"/>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4.5" thickTop="1">
      <c r="A76" s="481"/>
      <c r="B76" s="493" t="s">
        <v>2266</v>
      </c>
      <c r="C76" s="606" t="s">
        <v>2252</v>
      </c>
      <c r="D76" s="606" t="s">
        <v>2253</v>
      </c>
      <c r="E76" s="606" t="s">
        <v>2254</v>
      </c>
      <c r="F76" s="606" t="s">
        <v>2255</v>
      </c>
      <c r="G76" s="606" t="s">
        <v>2256</v>
      </c>
      <c r="H76" s="486"/>
      <c r="I76" s="486"/>
      <c r="J76" s="486"/>
      <c r="K76" s="486"/>
      <c r="L76" s="486"/>
      <c r="M76" s="1223"/>
      <c r="N76" s="1026"/>
      <c r="O76" s="1026"/>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4.5" thickTop="1">
      <c r="A78" s="481"/>
      <c r="B78" s="485" t="s">
        <v>2275</v>
      </c>
      <c r="C78" s="525" t="s">
        <v>2174</v>
      </c>
      <c r="D78" s="525" t="s">
        <v>2175</v>
      </c>
      <c r="E78" s="525" t="s">
        <v>2176</v>
      </c>
      <c r="F78" s="525" t="s">
        <v>2177</v>
      </c>
      <c r="G78" s="525" t="s">
        <v>2178</v>
      </c>
      <c r="H78" s="486"/>
      <c r="I78" s="486"/>
      <c r="J78" s="486"/>
      <c r="K78" s="487"/>
      <c r="L78" s="488"/>
      <c r="M78" s="489"/>
      <c r="N78" s="1025"/>
      <c r="O78" s="1025"/>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4.5" thickTop="1">
      <c r="A80" s="526"/>
      <c r="B80" s="485">
        <f>B25</f>
        <v>111</v>
      </c>
      <c r="C80" s="501"/>
      <c r="D80" s="501"/>
      <c r="E80" s="501"/>
      <c r="F80" s="501"/>
      <c r="G80" s="501"/>
      <c r="H80" s="501"/>
      <c r="I80" s="501"/>
      <c r="J80" s="501"/>
      <c r="K80" s="501"/>
      <c r="L80" s="527"/>
      <c r="M80" s="528"/>
      <c r="N80" s="1024"/>
      <c r="O80" s="1024"/>
      <c r="P80" s="45"/>
      <c r="Q80" s="451"/>
    </row>
    <row r="81" spans="1:17" s="110" customFormat="1" ht="14.5" thickBot="1">
      <c r="A81" s="526"/>
      <c r="B81" s="490"/>
      <c r="C81" s="507"/>
      <c r="D81" s="483"/>
      <c r="E81" s="483"/>
      <c r="F81" s="483"/>
      <c r="G81" s="483"/>
      <c r="H81" s="483"/>
      <c r="I81" s="483"/>
      <c r="J81" s="483"/>
      <c r="K81" s="483"/>
      <c r="L81" s="483"/>
      <c r="M81" s="484"/>
      <c r="N81" s="1026"/>
      <c r="O81" s="1026"/>
      <c r="P81" s="45"/>
      <c r="Q81" s="451"/>
    </row>
    <row r="82" spans="1:17" s="110" customFormat="1" ht="14.5" thickTop="1">
      <c r="A82" s="526"/>
      <c r="B82" s="485">
        <f>B26</f>
        <v>111</v>
      </c>
      <c r="C82" s="501"/>
      <c r="D82" s="501"/>
      <c r="E82" s="501"/>
      <c r="F82" s="501"/>
      <c r="G82" s="501"/>
      <c r="H82" s="501"/>
      <c r="I82" s="501"/>
      <c r="J82" s="501"/>
      <c r="K82" s="501"/>
      <c r="L82" s="527"/>
      <c r="M82" s="528"/>
      <c r="N82" s="1024"/>
      <c r="O82" s="1024"/>
      <c r="P82" s="45"/>
      <c r="Q82" s="451"/>
    </row>
    <row r="83" spans="1:17" s="110" customFormat="1" ht="14.5" thickBot="1">
      <c r="A83" s="526"/>
      <c r="B83" s="490"/>
      <c r="C83" s="507"/>
      <c r="D83" s="483"/>
      <c r="E83" s="483"/>
      <c r="F83" s="483"/>
      <c r="G83" s="483"/>
      <c r="H83" s="483"/>
      <c r="I83" s="483"/>
      <c r="J83" s="483"/>
      <c r="K83" s="483"/>
      <c r="L83" s="483"/>
      <c r="M83" s="484"/>
      <c r="N83" s="1026"/>
      <c r="O83" s="1026"/>
      <c r="P83" s="45"/>
      <c r="Q83" s="451"/>
    </row>
    <row r="84" spans="1:17" s="420" customFormat="1" ht="14.5" thickTop="1">
      <c r="A84" s="500"/>
      <c r="B84" s="485">
        <f>B27</f>
        <v>111</v>
      </c>
      <c r="C84" s="501"/>
      <c r="D84" s="501"/>
      <c r="E84" s="501"/>
      <c r="F84" s="501"/>
      <c r="G84" s="501"/>
      <c r="H84" s="501"/>
      <c r="I84" s="501"/>
      <c r="J84" s="501"/>
      <c r="K84" s="501"/>
      <c r="L84" s="527"/>
      <c r="M84" s="528"/>
      <c r="N84" s="1027"/>
      <c r="O84" s="1027"/>
      <c r="P84" s="505"/>
      <c r="Q84" s="506"/>
    </row>
    <row r="85" spans="1:17" s="420" customFormat="1" ht="14.5" thickBot="1">
      <c r="A85" s="500"/>
      <c r="B85" s="490"/>
      <c r="C85" s="507"/>
      <c r="D85" s="483"/>
      <c r="E85" s="483"/>
      <c r="F85" s="483"/>
      <c r="G85" s="483"/>
      <c r="H85" s="483"/>
      <c r="I85" s="483"/>
      <c r="J85" s="483"/>
      <c r="K85" s="483"/>
      <c r="L85" s="483"/>
      <c r="M85" s="484"/>
      <c r="N85" s="1027"/>
      <c r="O85" s="1027"/>
      <c r="P85" s="505"/>
      <c r="Q85" s="506"/>
    </row>
    <row r="86" spans="1:17" ht="14.5" thickTop="1">
      <c r="A86" s="481"/>
      <c r="B86" s="493">
        <f>B28</f>
        <v>111</v>
      </c>
      <c r="C86" s="470"/>
      <c r="D86" s="470"/>
      <c r="E86" s="470"/>
      <c r="F86" s="470"/>
      <c r="G86" s="534"/>
      <c r="H86" s="534"/>
      <c r="I86" s="534"/>
      <c r="J86" s="534"/>
      <c r="K86" s="535"/>
      <c r="L86" s="536"/>
      <c r="M86" s="537"/>
      <c r="N86" s="1025"/>
      <c r="O86" s="1025"/>
      <c r="P86" s="45"/>
      <c r="Q86" s="451"/>
    </row>
    <row r="87" spans="1:17" ht="14.5" thickBot="1">
      <c r="A87" s="2042"/>
      <c r="B87" s="516"/>
      <c r="C87" s="517"/>
      <c r="D87" s="517"/>
      <c r="E87" s="517"/>
      <c r="F87" s="517"/>
      <c r="G87" s="538"/>
      <c r="H87" s="538"/>
      <c r="I87" s="538"/>
      <c r="J87" s="538"/>
      <c r="K87" s="538"/>
      <c r="L87" s="538"/>
      <c r="M87" s="539"/>
      <c r="N87" s="1026"/>
      <c r="O87" s="1026"/>
      <c r="P87" s="45"/>
      <c r="Q87" s="451"/>
    </row>
    <row r="88" spans="1:17">
      <c r="A88" s="474" t="s">
        <v>2140</v>
      </c>
      <c r="B88" s="475" t="s">
        <v>2189</v>
      </c>
      <c r="C88" s="477"/>
      <c r="D88" s="477"/>
      <c r="E88" s="477"/>
      <c r="F88" s="477"/>
      <c r="G88" s="477"/>
      <c r="H88" s="477"/>
      <c r="I88" s="477"/>
      <c r="J88" s="477"/>
      <c r="K88" s="478"/>
      <c r="L88" s="479"/>
      <c r="M88" s="480"/>
      <c r="N88" s="1025"/>
      <c r="O88" s="1025"/>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4.5" thickTop="1">
      <c r="A90" s="481"/>
      <c r="B90" s="485" t="s">
        <v>2190</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4.5" thickBot="1">
      <c r="A92" s="500"/>
      <c r="B92" s="490"/>
      <c r="C92" s="507"/>
      <c r="D92" s="483"/>
      <c r="E92" s="483"/>
      <c r="F92" s="483"/>
      <c r="G92" s="483"/>
      <c r="H92" s="483"/>
      <c r="I92" s="483"/>
      <c r="J92" s="483"/>
      <c r="K92" s="483"/>
      <c r="L92" s="483"/>
      <c r="M92" s="484"/>
      <c r="N92" s="1026"/>
      <c r="O92" s="1026"/>
      <c r="P92" s="505"/>
      <c r="Q92" s="506"/>
    </row>
    <row r="93" spans="1:17" ht="14.5" thickTop="1">
      <c r="A93" s="546"/>
      <c r="B93" s="485" t="s">
        <v>2191</v>
      </c>
      <c r="C93" s="501"/>
      <c r="D93" s="501"/>
      <c r="E93" s="530"/>
      <c r="F93" s="530"/>
      <c r="G93" s="530"/>
      <c r="H93" s="530"/>
      <c r="I93" s="530"/>
      <c r="J93" s="530"/>
      <c r="K93" s="531"/>
      <c r="L93" s="532"/>
      <c r="M93" s="533"/>
      <c r="N93" s="1025"/>
      <c r="O93" s="1025"/>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4.5" thickTop="1">
      <c r="A95" s="546"/>
      <c r="B95" s="485" t="s">
        <v>2193</v>
      </c>
      <c r="C95" s="501"/>
      <c r="D95" s="501"/>
      <c r="E95" s="501"/>
      <c r="F95" s="530"/>
      <c r="G95" s="530"/>
      <c r="H95" s="530"/>
      <c r="I95" s="530"/>
      <c r="J95" s="530"/>
      <c r="K95" s="531"/>
      <c r="L95" s="532"/>
      <c r="M95" s="533"/>
      <c r="N95" s="1025"/>
      <c r="O95" s="1025"/>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4.5" thickTop="1">
      <c r="A97" s="546"/>
      <c r="B97" s="485" t="s">
        <v>1632</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4.5" thickTop="1">
      <c r="A100" s="540"/>
      <c r="B100" s="485" t="s">
        <v>2194</v>
      </c>
      <c r="C100" s="501"/>
      <c r="D100" s="501"/>
      <c r="E100" s="501"/>
      <c r="F100" s="501"/>
      <c r="G100" s="501"/>
      <c r="H100" s="530"/>
      <c r="I100" s="530"/>
      <c r="J100" s="530"/>
      <c r="K100" s="531"/>
      <c r="L100" s="532"/>
      <c r="M100" s="533"/>
      <c r="N100" s="1027"/>
      <c r="O100" s="1027"/>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4.5" thickTop="1">
      <c r="A102" s="546"/>
      <c r="B102" s="485" t="s">
        <v>2195</v>
      </c>
      <c r="C102" s="501"/>
      <c r="D102" s="501"/>
      <c r="E102" s="501"/>
      <c r="F102" s="501"/>
      <c r="G102" s="501"/>
      <c r="H102" s="530"/>
      <c r="I102" s="530"/>
      <c r="J102" s="530"/>
      <c r="K102" s="531"/>
      <c r="L102" s="532"/>
      <c r="M102" s="533"/>
      <c r="N102" s="1025"/>
      <c r="O102" s="1025"/>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4.5" thickTop="1">
      <c r="A104" s="546"/>
      <c r="B104" s="485" t="s">
        <v>2197</v>
      </c>
      <c r="C104" s="501"/>
      <c r="D104" s="501"/>
      <c r="E104" s="501"/>
      <c r="F104" s="501"/>
      <c r="G104" s="501"/>
      <c r="H104" s="530"/>
      <c r="I104" s="530"/>
      <c r="J104" s="530"/>
      <c r="K104" s="531"/>
      <c r="L104" s="532"/>
      <c r="M104" s="533"/>
      <c r="N104" s="1025"/>
      <c r="O104" s="1025"/>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28.5" thickTop="1">
      <c r="A106" s="546"/>
      <c r="B106" s="582" t="s">
        <v>2283</v>
      </c>
      <c r="C106" s="525" t="s">
        <v>2174</v>
      </c>
      <c r="D106" s="525" t="s">
        <v>2175</v>
      </c>
      <c r="E106" s="525" t="s">
        <v>2176</v>
      </c>
      <c r="F106" s="525" t="s">
        <v>2177</v>
      </c>
      <c r="G106" s="525" t="s">
        <v>2178</v>
      </c>
      <c r="H106" s="486"/>
      <c r="I106" s="486"/>
      <c r="J106" s="486"/>
      <c r="K106" s="487"/>
      <c r="L106" s="488"/>
      <c r="M106" s="489"/>
      <c r="N106" s="1026"/>
      <c r="O106" s="1026"/>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4.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4.5" thickBot="1">
      <c r="A109" s="500"/>
      <c r="B109" s="482"/>
      <c r="C109" s="507"/>
      <c r="D109" s="483"/>
      <c r="E109" s="483"/>
      <c r="F109" s="483"/>
      <c r="G109" s="507"/>
      <c r="H109" s="509"/>
      <c r="I109" s="509"/>
      <c r="J109" s="509"/>
      <c r="K109" s="509"/>
      <c r="L109" s="509"/>
      <c r="M109" s="510"/>
      <c r="N109" s="1027"/>
      <c r="O109" s="1027"/>
      <c r="P109" s="505"/>
      <c r="Q109" s="506"/>
    </row>
    <row r="110" spans="1:17" ht="14.5" thickTop="1">
      <c r="A110" s="546"/>
      <c r="B110" s="485">
        <f>B39</f>
        <v>111</v>
      </c>
      <c r="C110" s="501"/>
      <c r="D110" s="501"/>
      <c r="E110" s="501"/>
      <c r="F110" s="501"/>
      <c r="G110" s="501"/>
      <c r="H110" s="502"/>
      <c r="I110" s="502"/>
      <c r="J110" s="502"/>
      <c r="K110" s="502"/>
      <c r="L110" s="503"/>
      <c r="M110" s="504"/>
      <c r="N110" s="1025"/>
      <c r="O110" s="1025"/>
      <c r="P110" s="45"/>
      <c r="Q110" s="451"/>
    </row>
    <row r="111" spans="1:17" ht="14.5" thickBot="1">
      <c r="A111" s="481"/>
      <c r="B111" s="490"/>
      <c r="C111" s="507"/>
      <c r="D111" s="483"/>
      <c r="E111" s="483"/>
      <c r="F111" s="483"/>
      <c r="G111" s="507"/>
      <c r="H111" s="509"/>
      <c r="I111" s="509"/>
      <c r="J111" s="509"/>
      <c r="K111" s="509"/>
      <c r="L111" s="509"/>
      <c r="M111" s="510"/>
      <c r="N111" s="1026"/>
      <c r="O111" s="1026"/>
      <c r="P111" s="45"/>
      <c r="Q111" s="451"/>
    </row>
    <row r="112" spans="1:17" ht="14.5" thickTop="1">
      <c r="A112" s="546"/>
      <c r="B112" s="493">
        <f>B40</f>
        <v>111</v>
      </c>
      <c r="C112" s="470"/>
      <c r="D112" s="470"/>
      <c r="E112" s="470"/>
      <c r="F112" s="470"/>
      <c r="G112" s="534"/>
      <c r="H112" s="534"/>
      <c r="I112" s="534"/>
      <c r="J112" s="534"/>
      <c r="K112" s="470"/>
      <c r="L112" s="471"/>
      <c r="M112" s="537"/>
      <c r="N112" s="1025"/>
      <c r="O112" s="1025"/>
      <c r="P112" s="45"/>
      <c r="Q112" s="451"/>
    </row>
    <row r="113" spans="1:17" ht="14.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5.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25"/>
      <c r="F1" s="1993"/>
      <c r="G1" s="1326" t="s">
        <v>2220</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1904</v>
      </c>
      <c r="B2" s="1258" t="e">
        <f ca="1">IF(C2="——",IF(B37="元/平方米",ROUND(C39*D3/10000,0),ROUND(F3*C39/10000,0)),IF(B37="元/平方米",ROUND(C39*D3/10000,0),ROUND(F3*C39/10000,0))-D2)</f>
        <v>#DIV/0!</v>
      </c>
      <c r="C2" s="1995"/>
      <c r="D2" s="999" t="e">
        <f ca="1">SUMIF(INDIRECT("'"&amp;F2&amp;"'"&amp;"!A:A"),"承租人权益价值",INDIRECT("'"&amp;F2&amp;"'"&amp;"!c:c"))</f>
        <v>#REF!</v>
      </c>
      <c r="E2" s="1996" t="s">
        <v>1905</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1906</v>
      </c>
      <c r="B3" s="556" t="e">
        <f ca="1">IF(AND(C2="——",B37="元/平方米"),C39,ROUND(B2*10000/D3,0))</f>
        <v>#DIV/0!</v>
      </c>
      <c r="C3" s="350" t="s">
        <v>2221</v>
      </c>
      <c r="D3" s="349">
        <f>SUMIF('数据-汇总表'!$C19:$C33,D1,'数据-汇总表'!$E19:$E33)</f>
        <v>0</v>
      </c>
      <c r="E3" s="350" t="s">
        <v>2285</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c r="A4" s="351" t="s">
        <v>2222</v>
      </c>
      <c r="B4" s="352"/>
      <c r="C4" s="3605" t="s">
        <v>2223</v>
      </c>
      <c r="D4" s="3606"/>
      <c r="E4" s="3607" t="s">
        <v>2224</v>
      </c>
      <c r="F4" s="3608"/>
      <c r="G4" s="3605" t="s">
        <v>2225</v>
      </c>
      <c r="H4" s="3606"/>
      <c r="I4" s="3605" t="s">
        <v>2226</v>
      </c>
      <c r="J4" s="3606"/>
      <c r="K4" s="557" t="s">
        <v>2227</v>
      </c>
      <c r="L4" s="2866"/>
      <c r="M4" s="2867"/>
      <c r="N4" s="2867"/>
      <c r="O4" s="2867"/>
      <c r="P4" s="3609" t="s">
        <v>2228</v>
      </c>
      <c r="Q4" s="3610"/>
      <c r="R4" s="3592" t="s">
        <v>2224</v>
      </c>
      <c r="S4" s="3593"/>
      <c r="T4" s="3592" t="s">
        <v>2225</v>
      </c>
      <c r="U4" s="3593"/>
      <c r="V4" s="3617" t="s">
        <v>2226</v>
      </c>
      <c r="W4" s="3617"/>
      <c r="X4" s="1468"/>
      <c r="Y4" s="3592" t="s">
        <v>2228</v>
      </c>
      <c r="Z4" s="3593"/>
      <c r="AA4" s="3587" t="s">
        <v>2224</v>
      </c>
      <c r="AB4" s="3588" t="s">
        <v>2225</v>
      </c>
      <c r="AC4" s="3587" t="s">
        <v>2226</v>
      </c>
    </row>
    <row r="5" spans="1:29">
      <c r="A5" s="354"/>
      <c r="B5" s="355"/>
      <c r="C5" s="3598" t="s">
        <v>2119</v>
      </c>
      <c r="D5" s="3599"/>
      <c r="E5" s="3596" t="s">
        <v>2120</v>
      </c>
      <c r="F5" s="3597"/>
      <c r="G5" s="3598" t="s">
        <v>2121</v>
      </c>
      <c r="H5" s="3599"/>
      <c r="I5" s="3598" t="s">
        <v>2122</v>
      </c>
      <c r="J5" s="3599"/>
      <c r="K5" s="557"/>
      <c r="L5" s="2866"/>
      <c r="M5" s="2867"/>
      <c r="N5" s="2867"/>
      <c r="O5" s="2867"/>
      <c r="P5" s="3611"/>
      <c r="Q5" s="3612"/>
      <c r="R5" s="3594"/>
      <c r="S5" s="3595"/>
      <c r="T5" s="3594"/>
      <c r="U5" s="3595"/>
      <c r="V5" s="3617"/>
      <c r="W5" s="3617"/>
      <c r="X5" s="1468"/>
      <c r="Y5" s="3594"/>
      <c r="Z5" s="3595"/>
      <c r="AA5" s="3588"/>
      <c r="AB5" s="3588"/>
      <c r="AC5" s="3588"/>
    </row>
    <row r="6" spans="1:29" ht="15" thickBot="1">
      <c r="A6" s="356"/>
      <c r="B6" s="357"/>
      <c r="C6" s="3600" t="s">
        <v>2123</v>
      </c>
      <c r="D6" s="3601"/>
      <c r="E6" s="3602" t="s">
        <v>2123</v>
      </c>
      <c r="F6" s="3603"/>
      <c r="G6" s="3600" t="s">
        <v>2123</v>
      </c>
      <c r="H6" s="3601"/>
      <c r="I6" s="3600" t="s">
        <v>2123</v>
      </c>
      <c r="J6" s="3601"/>
      <c r="K6" s="557" t="s">
        <v>2124</v>
      </c>
      <c r="L6" s="2866"/>
      <c r="M6" s="2867"/>
      <c r="N6" s="2867"/>
      <c r="O6" s="2867"/>
      <c r="P6" s="3613"/>
      <c r="Q6" s="3614"/>
      <c r="R6" s="3594"/>
      <c r="S6" s="3595"/>
      <c r="T6" s="3615"/>
      <c r="U6" s="3616"/>
      <c r="V6" s="3617"/>
      <c r="W6" s="3617"/>
      <c r="X6" s="1468"/>
      <c r="Y6" s="3615"/>
      <c r="Z6" s="3616"/>
      <c r="AA6" s="3589"/>
      <c r="AB6" s="3589"/>
      <c r="AC6" s="3589"/>
    </row>
    <row r="7" spans="1:29" s="110" customFormat="1" ht="14.5" thickBot="1">
      <c r="A7" s="358" t="s">
        <v>2125</v>
      </c>
      <c r="B7" s="359"/>
      <c r="C7" s="360">
        <f>'数据-取费表'!B2</f>
        <v>44693</v>
      </c>
      <c r="D7" s="361">
        <v>100</v>
      </c>
      <c r="E7" s="362"/>
      <c r="F7" s="363">
        <f>SUMIF(48:48,YEAR(E7)&amp;"-"&amp;MONTH(E7),49:49)</f>
        <v>0</v>
      </c>
      <c r="G7" s="362"/>
      <c r="H7" s="361">
        <f>SUMIF(48:48,YEAR(G7)&amp;"-"&amp;MONTH(G7),49:49)</f>
        <v>0</v>
      </c>
      <c r="I7" s="362"/>
      <c r="J7" s="361">
        <f>SUMIF(48:48,YEAR(I7)&amp;"-"&amp;MONTH(I7),49:49)</f>
        <v>0</v>
      </c>
      <c r="K7" s="558"/>
      <c r="L7" s="2868"/>
      <c r="M7" s="2869"/>
      <c r="N7" s="2869"/>
      <c r="O7" s="2869"/>
      <c r="P7" s="3590" t="s">
        <v>2126</v>
      </c>
      <c r="Q7" s="3618"/>
      <c r="R7" s="696" t="s">
        <v>17</v>
      </c>
      <c r="S7" s="697">
        <f t="shared" ref="S7:S14" si="0">F7</f>
        <v>0</v>
      </c>
      <c r="T7" s="696" t="s">
        <v>17</v>
      </c>
      <c r="U7" s="697">
        <f t="shared" ref="U7:U14" si="1">H7</f>
        <v>0</v>
      </c>
      <c r="V7" s="696" t="s">
        <v>17</v>
      </c>
      <c r="W7" s="697">
        <f t="shared" ref="W7:W14" si="2">J7</f>
        <v>0</v>
      </c>
      <c r="X7" s="698"/>
      <c r="Y7" s="3590" t="s">
        <v>2126</v>
      </c>
      <c r="Z7" s="3591"/>
      <c r="AA7" s="699" t="e">
        <f>D7/F7</f>
        <v>#DIV/0!</v>
      </c>
      <c r="AB7" s="699" t="e">
        <f>D7/H7</f>
        <v>#DIV/0!</v>
      </c>
      <c r="AC7" s="699" t="e">
        <f>D7/J7</f>
        <v>#DIV/0!</v>
      </c>
    </row>
    <row r="8" spans="1:29" s="110" customFormat="1" ht="14.5" thickBot="1">
      <c r="A8" s="358" t="s">
        <v>2127</v>
      </c>
      <c r="B8" s="359"/>
      <c r="C8" s="364" t="s">
        <v>2229</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590" t="s">
        <v>2129</v>
      </c>
      <c r="Q8" s="3591"/>
      <c r="R8" s="696" t="s">
        <v>17</v>
      </c>
      <c r="S8" s="697">
        <f t="shared" si="0"/>
        <v>0</v>
      </c>
      <c r="T8" s="696" t="s">
        <v>17</v>
      </c>
      <c r="U8" s="697">
        <f t="shared" si="1"/>
        <v>0</v>
      </c>
      <c r="V8" s="696" t="s">
        <v>17</v>
      </c>
      <c r="W8" s="697">
        <f t="shared" si="2"/>
        <v>0</v>
      </c>
      <c r="X8" s="698"/>
      <c r="Y8" s="3590" t="s">
        <v>2129</v>
      </c>
      <c r="Z8" s="3591"/>
      <c r="AA8" s="699" t="e">
        <f t="shared" ref="AA8:AA36" si="3">D8/F8</f>
        <v>#DIV/0!</v>
      </c>
      <c r="AB8" s="699" t="e">
        <f t="shared" ref="AB8:AB36" si="4">D8/H8</f>
        <v>#DIV/0!</v>
      </c>
      <c r="AC8" s="699" t="e">
        <f t="shared" ref="AC8:AC36" si="5">D8/J8</f>
        <v>#DIV/0!</v>
      </c>
    </row>
    <row r="9" spans="1:29" s="110" customFormat="1">
      <c r="A9" s="64" t="s">
        <v>2130</v>
      </c>
      <c r="B9" s="586" t="s">
        <v>2131</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604" t="s">
        <v>2132</v>
      </c>
      <c r="Q9" s="1456" t="str">
        <f t="shared" ref="Q9:Q14" si="6">B9</f>
        <v>用途</v>
      </c>
      <c r="R9" s="696" t="s">
        <v>17</v>
      </c>
      <c r="S9" s="697">
        <f t="shared" si="0"/>
        <v>100</v>
      </c>
      <c r="T9" s="696" t="s">
        <v>17</v>
      </c>
      <c r="U9" s="697">
        <f t="shared" si="1"/>
        <v>100</v>
      </c>
      <c r="V9" s="696" t="s">
        <v>17</v>
      </c>
      <c r="W9" s="697">
        <f t="shared" si="2"/>
        <v>100</v>
      </c>
      <c r="X9" s="698"/>
      <c r="Y9" s="3563" t="s">
        <v>2133</v>
      </c>
      <c r="Z9" s="55" t="str">
        <f t="shared" ref="Z9:Z14" si="7">Q9</f>
        <v>用途</v>
      </c>
      <c r="AA9" s="699">
        <f t="shared" si="3"/>
        <v>1</v>
      </c>
      <c r="AB9" s="699">
        <f t="shared" si="4"/>
        <v>1</v>
      </c>
      <c r="AC9" s="699">
        <f t="shared" si="5"/>
        <v>1</v>
      </c>
    </row>
    <row r="10" spans="1:29" s="376" customFormat="1" ht="28">
      <c r="A10" s="587"/>
      <c r="B10" s="588" t="s">
        <v>2134</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604"/>
      <c r="Q10" s="1456" t="str">
        <f t="shared" si="6"/>
        <v>土地使用年限（年）</v>
      </c>
      <c r="R10" s="696" t="s">
        <v>17</v>
      </c>
      <c r="S10" s="697">
        <f t="shared" si="0"/>
        <v>100</v>
      </c>
      <c r="T10" s="696" t="s">
        <v>17</v>
      </c>
      <c r="U10" s="697">
        <f t="shared" si="1"/>
        <v>100</v>
      </c>
      <c r="V10" s="696" t="s">
        <v>17</v>
      </c>
      <c r="W10" s="697">
        <f t="shared" si="2"/>
        <v>100</v>
      </c>
      <c r="X10" s="698"/>
      <c r="Y10" s="3563"/>
      <c r="Z10" s="55" t="str">
        <f t="shared" si="7"/>
        <v>土地使用年限（年）</v>
      </c>
      <c r="AA10" s="699">
        <f t="shared" si="3"/>
        <v>1</v>
      </c>
      <c r="AB10" s="699">
        <f t="shared" si="4"/>
        <v>1</v>
      </c>
      <c r="AC10" s="699">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604"/>
      <c r="Q11" s="1456">
        <f t="shared" si="6"/>
        <v>111</v>
      </c>
      <c r="R11" s="696" t="s">
        <v>17</v>
      </c>
      <c r="S11" s="697">
        <f t="shared" si="0"/>
        <v>100</v>
      </c>
      <c r="T11" s="696" t="s">
        <v>17</v>
      </c>
      <c r="U11" s="697">
        <f t="shared" si="1"/>
        <v>100</v>
      </c>
      <c r="V11" s="696" t="s">
        <v>17</v>
      </c>
      <c r="W11" s="697">
        <f t="shared" si="2"/>
        <v>100</v>
      </c>
      <c r="X11" s="698"/>
      <c r="Y11" s="3563"/>
      <c r="Z11" s="55">
        <f t="shared" si="7"/>
        <v>111</v>
      </c>
      <c r="AA11" s="699">
        <f t="shared" si="3"/>
        <v>1</v>
      </c>
      <c r="AB11" s="699">
        <f t="shared" si="4"/>
        <v>1</v>
      </c>
      <c r="AC11" s="699">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604"/>
      <c r="Q12" s="1456">
        <f t="shared" si="6"/>
        <v>111</v>
      </c>
      <c r="R12" s="696" t="s">
        <v>17</v>
      </c>
      <c r="S12" s="697">
        <f t="shared" si="0"/>
        <v>100</v>
      </c>
      <c r="T12" s="696" t="s">
        <v>17</v>
      </c>
      <c r="U12" s="697">
        <f t="shared" si="1"/>
        <v>100</v>
      </c>
      <c r="V12" s="696" t="s">
        <v>17</v>
      </c>
      <c r="W12" s="697">
        <f t="shared" si="2"/>
        <v>100</v>
      </c>
      <c r="X12" s="698"/>
      <c r="Y12" s="3563"/>
      <c r="Z12" s="55">
        <f t="shared" si="7"/>
        <v>111</v>
      </c>
      <c r="AA12" s="699">
        <f>D12/F12</f>
        <v>1</v>
      </c>
      <c r="AB12" s="699">
        <f>D12/H12</f>
        <v>1</v>
      </c>
      <c r="AC12" s="699">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604"/>
      <c r="Q13" s="1456">
        <f t="shared" si="6"/>
        <v>111</v>
      </c>
      <c r="R13" s="696" t="s">
        <v>17</v>
      </c>
      <c r="S13" s="697">
        <f t="shared" si="0"/>
        <v>100</v>
      </c>
      <c r="T13" s="696" t="s">
        <v>17</v>
      </c>
      <c r="U13" s="697">
        <f t="shared" si="1"/>
        <v>100</v>
      </c>
      <c r="V13" s="696" t="s">
        <v>17</v>
      </c>
      <c r="W13" s="697">
        <f t="shared" si="2"/>
        <v>100</v>
      </c>
      <c r="X13" s="698"/>
      <c r="Y13" s="3563"/>
      <c r="Z13" s="55">
        <f t="shared" si="7"/>
        <v>111</v>
      </c>
      <c r="AA13" s="699">
        <f t="shared" si="3"/>
        <v>1</v>
      </c>
      <c r="AB13" s="699">
        <f t="shared" si="4"/>
        <v>1</v>
      </c>
      <c r="AC13" s="699">
        <f t="shared" si="5"/>
        <v>1</v>
      </c>
    </row>
    <row r="14" spans="1:29" ht="140">
      <c r="A14" s="351" t="s">
        <v>2136</v>
      </c>
      <c r="B14" s="57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619" t="s">
        <v>2137</v>
      </c>
      <c r="Q14" s="1465" t="str">
        <f t="shared" si="6"/>
        <v>交通便捷度</v>
      </c>
      <c r="R14" s="700" t="s">
        <v>17</v>
      </c>
      <c r="S14" s="701">
        <f t="shared" si="0"/>
        <v>100</v>
      </c>
      <c r="T14" s="700" t="s">
        <v>17</v>
      </c>
      <c r="U14" s="701">
        <f t="shared" si="1"/>
        <v>100</v>
      </c>
      <c r="V14" s="700" t="s">
        <v>17</v>
      </c>
      <c r="W14" s="701">
        <f t="shared" si="2"/>
        <v>100</v>
      </c>
      <c r="X14" s="1468"/>
      <c r="Y14" s="3619" t="s">
        <v>2137</v>
      </c>
      <c r="Z14" s="1469" t="str">
        <f t="shared" si="7"/>
        <v>交通便捷度</v>
      </c>
      <c r="AA14" s="1466">
        <f t="shared" si="3"/>
        <v>1</v>
      </c>
      <c r="AB14" s="1466">
        <f t="shared" si="4"/>
        <v>1</v>
      </c>
      <c r="AC14" s="1466">
        <f t="shared" si="5"/>
        <v>1</v>
      </c>
    </row>
    <row r="15" spans="1:29" ht="15.5">
      <c r="A15" s="354"/>
      <c r="B15" s="593"/>
      <c r="C15" s="396"/>
      <c r="D15" s="397"/>
      <c r="E15" s="396"/>
      <c r="F15" s="398"/>
      <c r="G15" s="396"/>
      <c r="H15" s="399"/>
      <c r="I15" s="396"/>
      <c r="J15" s="397"/>
      <c r="K15" s="562"/>
      <c r="L15" s="2873"/>
      <c r="M15" s="2867"/>
      <c r="N15" s="2867"/>
      <c r="O15" s="2867"/>
      <c r="P15" s="3620"/>
      <c r="Q15" s="1465"/>
      <c r="R15" s="700"/>
      <c r="S15" s="701"/>
      <c r="T15" s="700"/>
      <c r="U15" s="701"/>
      <c r="V15" s="700"/>
      <c r="W15" s="701"/>
      <c r="X15" s="1468"/>
      <c r="Y15" s="3620"/>
      <c r="Z15" s="1469"/>
      <c r="AA15" s="1466">
        <v>1</v>
      </c>
      <c r="AB15" s="1466">
        <v>1</v>
      </c>
      <c r="AC15" s="1466">
        <v>1</v>
      </c>
    </row>
    <row r="16" spans="1:29" ht="56">
      <c r="A16" s="354"/>
      <c r="B16" s="577" t="s">
        <v>2265</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620"/>
      <c r="Q16" s="1465" t="str">
        <f>B16</f>
        <v>公共配套设施</v>
      </c>
      <c r="R16" s="700" t="s">
        <v>17</v>
      </c>
      <c r="S16" s="701">
        <f>F16</f>
        <v>100</v>
      </c>
      <c r="T16" s="700" t="s">
        <v>17</v>
      </c>
      <c r="U16" s="701">
        <f>H16</f>
        <v>100</v>
      </c>
      <c r="V16" s="700" t="s">
        <v>17</v>
      </c>
      <c r="W16" s="701">
        <f>J16</f>
        <v>100</v>
      </c>
      <c r="X16" s="1468"/>
      <c r="Y16" s="3620"/>
      <c r="Z16" s="1469" t="str">
        <f>Q16</f>
        <v>公共配套设施</v>
      </c>
      <c r="AA16" s="1466">
        <f t="shared" si="3"/>
        <v>1</v>
      </c>
      <c r="AB16" s="1466">
        <f t="shared" si="4"/>
        <v>1</v>
      </c>
      <c r="AC16" s="1466">
        <f t="shared" si="5"/>
        <v>1</v>
      </c>
    </row>
    <row r="17" spans="1:29" ht="15.5">
      <c r="A17" s="354"/>
      <c r="B17" s="578"/>
      <c r="C17" s="2015"/>
      <c r="D17" s="397"/>
      <c r="E17" s="396"/>
      <c r="F17" s="398"/>
      <c r="G17" s="396"/>
      <c r="H17" s="397"/>
      <c r="I17" s="396"/>
      <c r="J17" s="397"/>
      <c r="K17" s="562"/>
      <c r="L17" s="2873"/>
      <c r="M17" s="2867"/>
      <c r="N17" s="2867"/>
      <c r="O17" s="2867"/>
      <c r="P17" s="3620"/>
      <c r="Q17" s="1465"/>
      <c r="R17" s="700"/>
      <c r="S17" s="701"/>
      <c r="T17" s="700"/>
      <c r="U17" s="701"/>
      <c r="V17" s="700"/>
      <c r="W17" s="701"/>
      <c r="X17" s="1468"/>
      <c r="Y17" s="3620"/>
      <c r="Z17" s="1469"/>
      <c r="AA17" s="1466">
        <v>1</v>
      </c>
      <c r="AB17" s="1466">
        <v>1</v>
      </c>
      <c r="AC17" s="1466">
        <v>1</v>
      </c>
    </row>
    <row r="18" spans="1:29" ht="15.5">
      <c r="A18" s="354"/>
      <c r="B18" s="579" t="s">
        <v>2266</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620"/>
      <c r="Q18" s="1465" t="str">
        <f>B18</f>
        <v>基础设施水平</v>
      </c>
      <c r="R18" s="700" t="s">
        <v>17</v>
      </c>
      <c r="S18" s="701">
        <f>F18</f>
        <v>100</v>
      </c>
      <c r="T18" s="700" t="s">
        <v>17</v>
      </c>
      <c r="U18" s="701">
        <f>H18</f>
        <v>100</v>
      </c>
      <c r="V18" s="700" t="s">
        <v>17</v>
      </c>
      <c r="W18" s="701">
        <f>J18</f>
        <v>100</v>
      </c>
      <c r="X18" s="1468"/>
      <c r="Y18" s="3620"/>
      <c r="Z18" s="1469" t="str">
        <f>Q18</f>
        <v>基础设施水平</v>
      </c>
      <c r="AA18" s="1466">
        <f t="shared" ref="AA18" si="8">D18/F18</f>
        <v>1</v>
      </c>
      <c r="AB18" s="1466">
        <f t="shared" ref="AB18" si="9">D18/H18</f>
        <v>1</v>
      </c>
      <c r="AC18" s="1466">
        <f t="shared" ref="AC18" si="10">D18/J18</f>
        <v>1</v>
      </c>
    </row>
    <row r="19" spans="1:29" ht="15.5">
      <c r="A19" s="354"/>
      <c r="B19" s="579"/>
      <c r="C19" s="2015"/>
      <c r="D19" s="399"/>
      <c r="E19" s="2015"/>
      <c r="F19" s="402"/>
      <c r="G19" s="2015"/>
      <c r="H19" s="397"/>
      <c r="I19" s="396"/>
      <c r="J19" s="397"/>
      <c r="K19" s="1224"/>
      <c r="L19" s="2873"/>
      <c r="M19" s="2867"/>
      <c r="N19" s="2867"/>
      <c r="O19" s="2867"/>
      <c r="P19" s="3620"/>
      <c r="Q19" s="1465"/>
      <c r="R19" s="700"/>
      <c r="S19" s="701"/>
      <c r="T19" s="700"/>
      <c r="U19" s="701"/>
      <c r="V19" s="700"/>
      <c r="W19" s="701"/>
      <c r="X19" s="1468"/>
      <c r="Y19" s="3620"/>
      <c r="Z19" s="1469"/>
      <c r="AA19" s="1466">
        <v>1</v>
      </c>
      <c r="AB19" s="1466">
        <v>1</v>
      </c>
      <c r="AC19" s="1466">
        <v>1</v>
      </c>
    </row>
    <row r="20" spans="1:29" ht="126">
      <c r="A20" s="354"/>
      <c r="B20" s="577" t="s">
        <v>2287</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620"/>
      <c r="Q20" s="1465" t="str">
        <f>B20</f>
        <v>自然及人文环境</v>
      </c>
      <c r="R20" s="700" t="s">
        <v>17</v>
      </c>
      <c r="S20" s="701">
        <f>F20</f>
        <v>100</v>
      </c>
      <c r="T20" s="700" t="s">
        <v>17</v>
      </c>
      <c r="U20" s="701">
        <f>H20</f>
        <v>100</v>
      </c>
      <c r="V20" s="700" t="s">
        <v>17</v>
      </c>
      <c r="W20" s="701">
        <f>J20</f>
        <v>100</v>
      </c>
      <c r="X20" s="1468"/>
      <c r="Y20" s="3620"/>
      <c r="Z20" s="1469" t="str">
        <f>Q20</f>
        <v>自然及人文环境</v>
      </c>
      <c r="AA20" s="1466">
        <f t="shared" si="3"/>
        <v>1</v>
      </c>
      <c r="AB20" s="1466">
        <f t="shared" si="4"/>
        <v>1</v>
      </c>
      <c r="AC20" s="1466">
        <f t="shared" si="5"/>
        <v>1</v>
      </c>
    </row>
    <row r="21" spans="1:29" ht="15.5">
      <c r="A21" s="354"/>
      <c r="B21" s="578"/>
      <c r="C21" s="396"/>
      <c r="D21" s="397"/>
      <c r="E21" s="396"/>
      <c r="F21" s="398"/>
      <c r="G21" s="396"/>
      <c r="H21" s="397"/>
      <c r="I21" s="396"/>
      <c r="J21" s="397"/>
      <c r="K21" s="562"/>
      <c r="L21" s="2873"/>
      <c r="M21" s="2867"/>
      <c r="N21" s="2867"/>
      <c r="O21" s="2867"/>
      <c r="P21" s="3620"/>
      <c r="Q21" s="1465"/>
      <c r="R21" s="700"/>
      <c r="S21" s="701"/>
      <c r="T21" s="700"/>
      <c r="U21" s="701"/>
      <c r="V21" s="700"/>
      <c r="W21" s="701"/>
      <c r="X21" s="1468"/>
      <c r="Y21" s="3620"/>
      <c r="Z21" s="1469"/>
      <c r="AA21" s="1466">
        <v>1</v>
      </c>
      <c r="AB21" s="1466">
        <v>1</v>
      </c>
      <c r="AC21" s="1466">
        <v>1</v>
      </c>
    </row>
    <row r="22" spans="1:29" ht="15.5">
      <c r="A22" s="354"/>
      <c r="B22" s="577" t="s">
        <v>2288</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620"/>
      <c r="Q22" s="1465" t="str">
        <f>B22</f>
        <v>楼层</v>
      </c>
      <c r="R22" s="700" t="s">
        <v>17</v>
      </c>
      <c r="S22" s="701">
        <f>F22</f>
        <v>100</v>
      </c>
      <c r="T22" s="700" t="s">
        <v>17</v>
      </c>
      <c r="U22" s="701">
        <f>H22</f>
        <v>100</v>
      </c>
      <c r="V22" s="700" t="s">
        <v>17</v>
      </c>
      <c r="W22" s="701">
        <f>J22</f>
        <v>100</v>
      </c>
      <c r="X22" s="1468"/>
      <c r="Y22" s="3620"/>
      <c r="Z22" s="1469" t="str">
        <f>Q22</f>
        <v>楼层</v>
      </c>
      <c r="AA22" s="1466">
        <f t="shared" si="3"/>
        <v>1</v>
      </c>
      <c r="AB22" s="1466">
        <f t="shared" si="4"/>
        <v>1</v>
      </c>
      <c r="AC22" s="1466">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620"/>
      <c r="Q23" s="1465">
        <f>B23</f>
        <v>111</v>
      </c>
      <c r="R23" s="700" t="s">
        <v>17</v>
      </c>
      <c r="S23" s="701">
        <f>F23</f>
        <v>100</v>
      </c>
      <c r="T23" s="700" t="s">
        <v>17</v>
      </c>
      <c r="U23" s="701">
        <f>H23</f>
        <v>100</v>
      </c>
      <c r="V23" s="700" t="s">
        <v>17</v>
      </c>
      <c r="W23" s="701">
        <f>J23</f>
        <v>100</v>
      </c>
      <c r="X23" s="1468"/>
      <c r="Y23" s="3620"/>
      <c r="Z23" s="1469">
        <f>Q23</f>
        <v>111</v>
      </c>
      <c r="AA23" s="1466">
        <f t="shared" si="3"/>
        <v>1</v>
      </c>
      <c r="AB23" s="1466">
        <f t="shared" si="4"/>
        <v>1</v>
      </c>
      <c r="AC23" s="1466">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620"/>
      <c r="Q24" s="1465">
        <f t="shared" ref="Q24:Q36" si="11">B24</f>
        <v>111</v>
      </c>
      <c r="R24" s="700" t="s">
        <v>17</v>
      </c>
      <c r="S24" s="701">
        <f>F24</f>
        <v>100</v>
      </c>
      <c r="T24" s="700" t="s">
        <v>17</v>
      </c>
      <c r="U24" s="701">
        <f>H24</f>
        <v>100</v>
      </c>
      <c r="V24" s="700" t="s">
        <v>17</v>
      </c>
      <c r="W24" s="701">
        <f>J24</f>
        <v>100</v>
      </c>
      <c r="X24" s="1468"/>
      <c r="Y24" s="3620"/>
      <c r="Z24" s="1469">
        <f>Q24</f>
        <v>111</v>
      </c>
      <c r="AA24" s="1466">
        <f t="shared" si="3"/>
        <v>1</v>
      </c>
      <c r="AB24" s="1466">
        <f t="shared" si="4"/>
        <v>1</v>
      </c>
      <c r="AC24" s="1466">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620"/>
      <c r="Q25" s="1456">
        <f t="shared" si="11"/>
        <v>111</v>
      </c>
      <c r="R25" s="696" t="s">
        <v>17</v>
      </c>
      <c r="S25" s="697">
        <f>F25</f>
        <v>100</v>
      </c>
      <c r="T25" s="696" t="s">
        <v>17</v>
      </c>
      <c r="U25" s="697">
        <f>H25</f>
        <v>100</v>
      </c>
      <c r="V25" s="696" t="s">
        <v>17</v>
      </c>
      <c r="W25" s="697">
        <f>J25</f>
        <v>100</v>
      </c>
      <c r="X25" s="698"/>
      <c r="Y25" s="3620"/>
      <c r="Z25" s="55">
        <f>Q25</f>
        <v>111</v>
      </c>
      <c r="AA25" s="1466">
        <f>D25/F25</f>
        <v>1</v>
      </c>
      <c r="AB25" s="1466">
        <f>D25/H25</f>
        <v>1</v>
      </c>
      <c r="AC25" s="1466">
        <f>D25/J25</f>
        <v>1</v>
      </c>
    </row>
    <row r="26" spans="1:29" ht="29">
      <c r="A26" s="598" t="s">
        <v>2140</v>
      </c>
      <c r="B26" s="66" t="s">
        <v>2289</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621" t="s">
        <v>2142</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622" t="s">
        <v>2142</v>
      </c>
      <c r="Z26" s="1469" t="str">
        <f t="shared" ref="Z26:Z36" si="15">Q26</f>
        <v>配套类型</v>
      </c>
      <c r="AA26" s="1466">
        <f t="shared" si="3"/>
        <v>1</v>
      </c>
      <c r="AB26" s="1466">
        <f t="shared" si="4"/>
        <v>1</v>
      </c>
      <c r="AC26" s="1466">
        <f t="shared" si="5"/>
        <v>1</v>
      </c>
    </row>
    <row r="27" spans="1:29" s="420" customFormat="1" ht="15.5">
      <c r="A27" s="599"/>
      <c r="B27" s="600" t="s">
        <v>2290</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622"/>
      <c r="Q27" s="702" t="str">
        <f t="shared" si="11"/>
        <v>项目停车位配比</v>
      </c>
      <c r="R27" s="703" t="s">
        <v>17</v>
      </c>
      <c r="S27" s="704">
        <f t="shared" si="12"/>
        <v>100</v>
      </c>
      <c r="T27" s="703" t="s">
        <v>17</v>
      </c>
      <c r="U27" s="704">
        <f t="shared" si="13"/>
        <v>100</v>
      </c>
      <c r="V27" s="703" t="s">
        <v>17</v>
      </c>
      <c r="W27" s="704">
        <f t="shared" si="14"/>
        <v>100</v>
      </c>
      <c r="X27" s="705"/>
      <c r="Y27" s="3622"/>
      <c r="Z27" s="706" t="str">
        <f t="shared" si="15"/>
        <v>项目停车位配比</v>
      </c>
      <c r="AA27" s="1466">
        <f t="shared" si="3"/>
        <v>1</v>
      </c>
      <c r="AB27" s="1466">
        <f t="shared" si="4"/>
        <v>1</v>
      </c>
      <c r="AC27" s="1466">
        <f t="shared" si="5"/>
        <v>1</v>
      </c>
    </row>
    <row r="28" spans="1:29" ht="15.5">
      <c r="A28" s="602"/>
      <c r="B28" s="600" t="s">
        <v>2291</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622"/>
      <c r="Q28" s="1465" t="str">
        <f t="shared" si="11"/>
        <v>公共部分装修</v>
      </c>
      <c r="R28" s="700" t="s">
        <v>17</v>
      </c>
      <c r="S28" s="701">
        <f t="shared" si="12"/>
        <v>100</v>
      </c>
      <c r="T28" s="700" t="s">
        <v>17</v>
      </c>
      <c r="U28" s="701">
        <f t="shared" si="13"/>
        <v>100</v>
      </c>
      <c r="V28" s="700" t="s">
        <v>17</v>
      </c>
      <c r="W28" s="701">
        <f t="shared" si="14"/>
        <v>100</v>
      </c>
      <c r="X28" s="1468"/>
      <c r="Y28" s="3622"/>
      <c r="Z28" s="1469" t="str">
        <f t="shared" si="15"/>
        <v>公共部分装修</v>
      </c>
      <c r="AA28" s="1466">
        <f t="shared" si="3"/>
        <v>1</v>
      </c>
      <c r="AB28" s="1466">
        <f t="shared" si="4"/>
        <v>1</v>
      </c>
      <c r="AC28" s="1466">
        <f t="shared" si="5"/>
        <v>1</v>
      </c>
    </row>
    <row r="29" spans="1:29" ht="15.5">
      <c r="A29" s="602"/>
      <c r="B29" s="600" t="s">
        <v>2292</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622"/>
      <c r="Q29" s="1465" t="str">
        <f t="shared" si="11"/>
        <v>成新率</v>
      </c>
      <c r="R29" s="700" t="s">
        <v>17</v>
      </c>
      <c r="S29" s="701" t="e">
        <f t="shared" si="12"/>
        <v>#N/A</v>
      </c>
      <c r="T29" s="700" t="s">
        <v>17</v>
      </c>
      <c r="U29" s="701" t="e">
        <f t="shared" si="13"/>
        <v>#N/A</v>
      </c>
      <c r="V29" s="700" t="s">
        <v>17</v>
      </c>
      <c r="W29" s="701" t="e">
        <f t="shared" si="14"/>
        <v>#N/A</v>
      </c>
      <c r="X29" s="1468"/>
      <c r="Y29" s="3622"/>
      <c r="Z29" s="1469" t="str">
        <f t="shared" si="15"/>
        <v>成新率</v>
      </c>
      <c r="AA29" s="1466" t="e">
        <f t="shared" si="3"/>
        <v>#N/A</v>
      </c>
      <c r="AB29" s="1466" t="e">
        <f t="shared" si="4"/>
        <v>#N/A</v>
      </c>
      <c r="AC29" s="1466" t="e">
        <f t="shared" si="5"/>
        <v>#N/A</v>
      </c>
    </row>
    <row r="30" spans="1:29" ht="15.5">
      <c r="A30" s="602"/>
      <c r="B30" s="600" t="s">
        <v>2293</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622"/>
      <c r="Q30" s="1465" t="str">
        <f t="shared" si="11"/>
        <v>物业等级</v>
      </c>
      <c r="R30" s="700" t="s">
        <v>17</v>
      </c>
      <c r="S30" s="701">
        <f t="shared" si="12"/>
        <v>100</v>
      </c>
      <c r="T30" s="700" t="s">
        <v>17</v>
      </c>
      <c r="U30" s="701">
        <f t="shared" si="13"/>
        <v>100</v>
      </c>
      <c r="V30" s="700" t="s">
        <v>17</v>
      </c>
      <c r="W30" s="701">
        <f t="shared" si="14"/>
        <v>100</v>
      </c>
      <c r="X30" s="1468"/>
      <c r="Y30" s="3622"/>
      <c r="Z30" s="1469" t="str">
        <f t="shared" si="15"/>
        <v>物业等级</v>
      </c>
      <c r="AA30" s="1466">
        <f t="shared" si="3"/>
        <v>1</v>
      </c>
      <c r="AB30" s="1466">
        <f t="shared" si="4"/>
        <v>1</v>
      </c>
      <c r="AC30" s="1466">
        <f t="shared" si="5"/>
        <v>1</v>
      </c>
    </row>
    <row r="31" spans="1:29" s="110" customFormat="1" ht="15.5">
      <c r="A31" s="604"/>
      <c r="B31" s="600" t="s">
        <v>2294</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622"/>
      <c r="Q31" s="1456" t="str">
        <f t="shared" si="11"/>
        <v>停车位面积</v>
      </c>
      <c r="R31" s="696" t="s">
        <v>17</v>
      </c>
      <c r="S31" s="697" t="e">
        <f t="shared" si="12"/>
        <v>#N/A</v>
      </c>
      <c r="T31" s="696" t="s">
        <v>17</v>
      </c>
      <c r="U31" s="697" t="e">
        <f t="shared" si="13"/>
        <v>#N/A</v>
      </c>
      <c r="V31" s="696" t="s">
        <v>17</v>
      </c>
      <c r="W31" s="697" t="e">
        <f t="shared" si="14"/>
        <v>#N/A</v>
      </c>
      <c r="X31" s="698"/>
      <c r="Y31" s="3622"/>
      <c r="Z31" s="55" t="str">
        <f t="shared" si="15"/>
        <v>停车位面积</v>
      </c>
      <c r="AA31" s="699" t="e">
        <f t="shared" si="3"/>
        <v>#N/A</v>
      </c>
      <c r="AB31" s="699" t="e">
        <f t="shared" si="4"/>
        <v>#N/A</v>
      </c>
      <c r="AC31" s="699" t="e">
        <f t="shared" si="5"/>
        <v>#N/A</v>
      </c>
    </row>
    <row r="32" spans="1:29" ht="15.5">
      <c r="A32" s="602"/>
      <c r="B32" s="600" t="s">
        <v>2295</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622" t="s">
        <v>2142</v>
      </c>
      <c r="Q32" s="1465" t="str">
        <f t="shared" si="11"/>
        <v>车位类型</v>
      </c>
      <c r="R32" s="700" t="s">
        <v>17</v>
      </c>
      <c r="S32" s="701">
        <f t="shared" si="12"/>
        <v>100</v>
      </c>
      <c r="T32" s="700" t="s">
        <v>17</v>
      </c>
      <c r="U32" s="701">
        <f t="shared" si="13"/>
        <v>100</v>
      </c>
      <c r="V32" s="700" t="s">
        <v>17</v>
      </c>
      <c r="W32" s="701">
        <f t="shared" si="14"/>
        <v>100</v>
      </c>
      <c r="X32" s="1468"/>
      <c r="Y32" s="3622" t="s">
        <v>2142</v>
      </c>
      <c r="Z32" s="1469" t="str">
        <f t="shared" si="15"/>
        <v>车位类型</v>
      </c>
      <c r="AA32" s="1466">
        <f t="shared" si="3"/>
        <v>1</v>
      </c>
      <c r="AB32" s="1466">
        <f t="shared" si="4"/>
        <v>1</v>
      </c>
      <c r="AC32" s="1466">
        <f t="shared" si="5"/>
        <v>1</v>
      </c>
    </row>
    <row r="33" spans="1:29" ht="15.5">
      <c r="A33" s="602"/>
      <c r="B33" s="600" t="s">
        <v>2296</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622"/>
      <c r="Q33" s="1465" t="str">
        <f t="shared" si="11"/>
        <v>是否直接入户</v>
      </c>
      <c r="R33" s="700" t="s">
        <v>17</v>
      </c>
      <c r="S33" s="701">
        <f t="shared" si="12"/>
        <v>100</v>
      </c>
      <c r="T33" s="700" t="s">
        <v>17</v>
      </c>
      <c r="U33" s="701">
        <f t="shared" si="13"/>
        <v>100</v>
      </c>
      <c r="V33" s="700" t="s">
        <v>17</v>
      </c>
      <c r="W33" s="701">
        <f t="shared" si="14"/>
        <v>100</v>
      </c>
      <c r="X33" s="1468"/>
      <c r="Y33" s="3622"/>
      <c r="Z33" s="1469" t="str">
        <f t="shared" si="15"/>
        <v>是否直接入户</v>
      </c>
      <c r="AA33" s="1466">
        <f t="shared" si="3"/>
        <v>1</v>
      </c>
      <c r="AB33" s="1466">
        <f t="shared" si="4"/>
        <v>1</v>
      </c>
      <c r="AC33" s="1466">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622"/>
      <c r="Q34" s="1465">
        <f t="shared" si="11"/>
        <v>111</v>
      </c>
      <c r="R34" s="700" t="s">
        <v>17</v>
      </c>
      <c r="S34" s="701">
        <f t="shared" si="12"/>
        <v>100</v>
      </c>
      <c r="T34" s="700" t="s">
        <v>17</v>
      </c>
      <c r="U34" s="701">
        <f t="shared" si="13"/>
        <v>100</v>
      </c>
      <c r="V34" s="700" t="s">
        <v>17</v>
      </c>
      <c r="W34" s="701">
        <f t="shared" si="14"/>
        <v>100</v>
      </c>
      <c r="X34" s="1468"/>
      <c r="Y34" s="3622"/>
      <c r="Z34" s="1469">
        <f t="shared" si="15"/>
        <v>111</v>
      </c>
      <c r="AA34" s="1466">
        <f t="shared" si="3"/>
        <v>1</v>
      </c>
      <c r="AB34" s="1466">
        <f t="shared" si="4"/>
        <v>1</v>
      </c>
      <c r="AC34" s="1466">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622"/>
      <c r="Q35" s="702">
        <f t="shared" si="11"/>
        <v>111</v>
      </c>
      <c r="R35" s="703" t="s">
        <v>17</v>
      </c>
      <c r="S35" s="704">
        <f t="shared" si="12"/>
        <v>100</v>
      </c>
      <c r="T35" s="703" t="s">
        <v>17</v>
      </c>
      <c r="U35" s="704">
        <f t="shared" si="13"/>
        <v>100</v>
      </c>
      <c r="V35" s="703" t="s">
        <v>17</v>
      </c>
      <c r="W35" s="704">
        <f t="shared" si="14"/>
        <v>100</v>
      </c>
      <c r="X35" s="705"/>
      <c r="Y35" s="3622"/>
      <c r="Z35" s="706">
        <f t="shared" si="15"/>
        <v>111</v>
      </c>
      <c r="AA35" s="1466">
        <f t="shared" si="3"/>
        <v>1</v>
      </c>
      <c r="AB35" s="1466">
        <f t="shared" si="4"/>
        <v>1</v>
      </c>
      <c r="AC35" s="1466">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622"/>
      <c r="Q36" s="1465">
        <f t="shared" si="11"/>
        <v>111</v>
      </c>
      <c r="R36" s="700" t="s">
        <v>17</v>
      </c>
      <c r="S36" s="701">
        <f t="shared" si="12"/>
        <v>100</v>
      </c>
      <c r="T36" s="700" t="s">
        <v>17</v>
      </c>
      <c r="U36" s="701">
        <f t="shared" si="13"/>
        <v>100</v>
      </c>
      <c r="V36" s="700" t="s">
        <v>17</v>
      </c>
      <c r="W36" s="701">
        <f t="shared" si="14"/>
        <v>100</v>
      </c>
      <c r="X36" s="1468"/>
      <c r="Y36" s="3622"/>
      <c r="Z36" s="1469">
        <f t="shared" si="15"/>
        <v>111</v>
      </c>
      <c r="AA36" s="1466">
        <f t="shared" si="3"/>
        <v>1</v>
      </c>
      <c r="AB36" s="1466">
        <f t="shared" si="4"/>
        <v>1</v>
      </c>
      <c r="AC36" s="1466">
        <f t="shared" si="5"/>
        <v>1</v>
      </c>
    </row>
    <row r="37" spans="1:29">
      <c r="A37" s="428" t="s">
        <v>2297</v>
      </c>
      <c r="B37" s="2087" t="s">
        <v>2298</v>
      </c>
      <c r="C37" s="1248" t="s">
        <v>1</v>
      </c>
      <c r="D37" s="1249"/>
      <c r="E37" s="1250"/>
      <c r="F37" s="1251"/>
      <c r="G37" s="1252"/>
      <c r="H37" s="1253"/>
      <c r="I37" s="1250"/>
      <c r="J37" s="1253"/>
      <c r="K37" s="566"/>
      <c r="L37" s="2875"/>
      <c r="M37" s="2876"/>
      <c r="N37" s="2867"/>
      <c r="O37" s="2876"/>
      <c r="P37" s="3604" t="str">
        <f>A37</f>
        <v>成交单价</v>
      </c>
      <c r="Q37" s="3604"/>
      <c r="R37" s="3659">
        <f>E37</f>
        <v>0</v>
      </c>
      <c r="S37" s="3659"/>
      <c r="T37" s="3659">
        <f>G37</f>
        <v>0</v>
      </c>
      <c r="U37" s="3659"/>
      <c r="V37" s="3659">
        <f>I37</f>
        <v>0</v>
      </c>
      <c r="W37" s="3659"/>
      <c r="X37" s="685"/>
      <c r="Y37" s="707"/>
      <c r="Z37" s="685"/>
      <c r="AA37" s="685"/>
      <c r="AB37" s="685"/>
      <c r="AC37" s="685"/>
    </row>
    <row r="38" spans="1:29" ht="14.5" thickBot="1">
      <c r="A38" s="435" t="s">
        <v>2299</v>
      </c>
      <c r="B38" s="436" t="str">
        <f>B37</f>
        <v>元/车位</v>
      </c>
      <c r="C38" s="1254" t="e">
        <f>R39</f>
        <v>#DIV/0!</v>
      </c>
      <c r="D38" s="2466" t="s">
        <v>2634</v>
      </c>
      <c r="E38" s="1255" t="e">
        <f>R38</f>
        <v>#DIV/0!</v>
      </c>
      <c r="F38" s="2467"/>
      <c r="G38" s="1254" t="e">
        <f>T38</f>
        <v>#DIV/0!</v>
      </c>
      <c r="H38" s="2467"/>
      <c r="I38" s="1255" t="e">
        <f>V38</f>
        <v>#DIV/0!</v>
      </c>
      <c r="J38" s="2467"/>
      <c r="K38" s="2469">
        <f>F38+H38+J38</f>
        <v>0</v>
      </c>
      <c r="L38" s="2875"/>
      <c r="M38" s="2876"/>
      <c r="N38" s="2876"/>
      <c r="O38" s="2876"/>
      <c r="P38" s="3604" t="str">
        <f>A38</f>
        <v>比较价值（元/平方米）</v>
      </c>
      <c r="Q38" s="3604"/>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85"/>
      <c r="Y38" s="685"/>
      <c r="Z38" s="685"/>
      <c r="AA38" s="685"/>
      <c r="AB38" s="685"/>
      <c r="AC38" s="685"/>
    </row>
    <row r="39" spans="1:29" ht="14.5" thickBot="1">
      <c r="A39" s="439" t="s">
        <v>2300</v>
      </c>
      <c r="B39" s="440"/>
      <c r="C39" s="1257" t="e">
        <f>R39</f>
        <v>#DIV/0!</v>
      </c>
      <c r="D39" s="1257"/>
      <c r="E39" s="1257"/>
      <c r="F39" s="1257"/>
      <c r="G39" s="1257"/>
      <c r="H39" s="1257"/>
      <c r="I39" s="1257"/>
      <c r="J39" s="1257"/>
      <c r="K39" s="567"/>
      <c r="L39" s="2875"/>
      <c r="M39" s="2876"/>
      <c r="N39" s="2876"/>
      <c r="O39" s="2876"/>
      <c r="P39" s="3624" t="str">
        <f>A39</f>
        <v>估价对象XX用房的比较价值（楼面单价，元/平方米）</v>
      </c>
      <c r="Q39" s="3625"/>
      <c r="R39" s="3684" t="e">
        <f>IF(F1="售价",ROUND(IF(D38="简单平均",AVERAGE(R38:W38),R38*F38+T38*H38+V38*J38),0),ROUND(IF(D38="简单平均",AVERAGE(R38:V38),R38*F38+T38*H38+V38*J38),1))</f>
        <v>#DIV/0!</v>
      </c>
      <c r="S39" s="3684"/>
      <c r="T39" s="3684"/>
      <c r="U39" s="3684"/>
      <c r="V39" s="3684"/>
      <c r="W39" s="3684"/>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2301</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2302</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2303</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5" thickBot="1">
      <c r="A47" s="1260" t="s">
        <v>2304</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c r="A48" s="452" t="s">
        <v>2305</v>
      </c>
      <c r="B48" s="453"/>
      <c r="C48" s="1277" t="str">
        <f>YEAR(C7)&amp;"-"&amp;MONTH(C7)</f>
        <v>2022-5</v>
      </c>
      <c r="D48" s="1278">
        <f>EDATE(C48,-1)</f>
        <v>44652</v>
      </c>
      <c r="E48" s="1278">
        <f t="shared" ref="E48:O48" si="16">EDATE(D48,-1)</f>
        <v>44621</v>
      </c>
      <c r="F48" s="1278">
        <f t="shared" si="16"/>
        <v>44593</v>
      </c>
      <c r="G48" s="1278">
        <f t="shared" si="16"/>
        <v>44562</v>
      </c>
      <c r="H48" s="1278">
        <f t="shared" si="16"/>
        <v>44531</v>
      </c>
      <c r="I48" s="1278">
        <f t="shared" si="16"/>
        <v>44501</v>
      </c>
      <c r="J48" s="1278">
        <f t="shared" si="16"/>
        <v>44470</v>
      </c>
      <c r="K48" s="1278">
        <f t="shared" si="16"/>
        <v>44440</v>
      </c>
      <c r="L48" s="1278">
        <f t="shared" si="16"/>
        <v>44409</v>
      </c>
      <c r="M48" s="1278">
        <f t="shared" si="16"/>
        <v>44378</v>
      </c>
      <c r="N48" s="1278">
        <f t="shared" si="16"/>
        <v>44348</v>
      </c>
      <c r="O48" s="1278">
        <f t="shared" si="16"/>
        <v>44317</v>
      </c>
      <c r="P48" s="2910"/>
      <c r="Q48" s="2892"/>
      <c r="R48" s="2892"/>
      <c r="S48" s="2892"/>
      <c r="T48" s="2892"/>
      <c r="U48" s="2892"/>
      <c r="V48" s="2892"/>
      <c r="W48" s="2892"/>
      <c r="X48" s="2892"/>
      <c r="Y48" s="2892"/>
      <c r="Z48" s="2892"/>
      <c r="AA48" s="2892"/>
      <c r="AB48" s="2892"/>
      <c r="AC48" s="2892"/>
    </row>
    <row r="49" spans="1:29" s="110" customFormat="1">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4.5" thickBot="1">
      <c r="A50" s="462" t="s">
        <v>2162</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c r="A51" s="468" t="s">
        <v>2127</v>
      </c>
      <c r="B51" s="457"/>
      <c r="C51" s="469" t="s">
        <v>2229</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4.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2165</v>
      </c>
      <c r="B53" s="475" t="s">
        <v>2131</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4.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8.5" thickTop="1">
      <c r="A55" s="481"/>
      <c r="B55" s="485" t="s">
        <v>2134</v>
      </c>
      <c r="C55" s="486" t="s">
        <v>2166</v>
      </c>
      <c r="D55" s="486" t="s">
        <v>2167</v>
      </c>
      <c r="E55" s="486" t="s">
        <v>2168</v>
      </c>
      <c r="F55" s="486" t="s">
        <v>2169</v>
      </c>
      <c r="G55" s="486" t="s">
        <v>2170</v>
      </c>
      <c r="H55" s="486" t="s">
        <v>2171</v>
      </c>
      <c r="I55" s="486" t="s">
        <v>2172</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4.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4.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4.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4.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4.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4.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4.5" thickTop="1">
      <c r="A63" s="474" t="s">
        <v>2136</v>
      </c>
      <c r="B63" s="475" t="s">
        <v>2179</v>
      </c>
      <c r="C63" s="520" t="s">
        <v>2174</v>
      </c>
      <c r="D63" s="520" t="s">
        <v>2175</v>
      </c>
      <c r="E63" s="520" t="s">
        <v>2176</v>
      </c>
      <c r="F63" s="520" t="s">
        <v>2177</v>
      </c>
      <c r="G63" s="520" t="s">
        <v>2178</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4.5" thickTop="1">
      <c r="A65" s="481"/>
      <c r="B65" s="485" t="s">
        <v>2180</v>
      </c>
      <c r="C65" s="525" t="s">
        <v>2174</v>
      </c>
      <c r="D65" s="525" t="s">
        <v>2175</v>
      </c>
      <c r="E65" s="525" t="s">
        <v>2176</v>
      </c>
      <c r="F65" s="525" t="s">
        <v>2177</v>
      </c>
      <c r="G65" s="525" t="s">
        <v>2178</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4.5" thickTop="1">
      <c r="A67" s="481"/>
      <c r="B67" s="493" t="s">
        <v>2266</v>
      </c>
      <c r="C67" s="606" t="s">
        <v>2252</v>
      </c>
      <c r="D67" s="606" t="s">
        <v>2253</v>
      </c>
      <c r="E67" s="606" t="s">
        <v>2254</v>
      </c>
      <c r="F67" s="606" t="s">
        <v>2255</v>
      </c>
      <c r="G67" s="606" t="s">
        <v>2256</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4.5" thickTop="1">
      <c r="A69" s="481"/>
      <c r="B69" s="485" t="s">
        <v>2186</v>
      </c>
      <c r="C69" s="525" t="s">
        <v>2174</v>
      </c>
      <c r="D69" s="525" t="s">
        <v>2175</v>
      </c>
      <c r="E69" s="525" t="s">
        <v>2176</v>
      </c>
      <c r="F69" s="525" t="s">
        <v>2177</v>
      </c>
      <c r="G69" s="525" t="s">
        <v>2178</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4.5" thickTop="1">
      <c r="A71" s="481"/>
      <c r="B71" s="485" t="s">
        <v>2306</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4.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4.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4.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4.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4.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4.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8.5" thickTop="1">
      <c r="A79" s="474" t="s">
        <v>2140</v>
      </c>
      <c r="B79" s="475" t="s">
        <v>2307</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4.5" thickTop="1">
      <c r="A81" s="481"/>
      <c r="B81" s="485" t="s">
        <v>2308</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4.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4.5" thickTop="1">
      <c r="A83" s="546"/>
      <c r="B83" s="485" t="s">
        <v>2193</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4.5" thickTop="1">
      <c r="A85" s="546"/>
      <c r="B85" s="485" t="s">
        <v>2309</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4.5" thickTop="1">
      <c r="A88" s="546"/>
      <c r="B88" s="493" t="s">
        <v>2310</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4.5" thickTop="1">
      <c r="A90" s="540"/>
      <c r="B90" s="485" t="s">
        <v>2311</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4.5" thickTop="1">
      <c r="A93" s="546"/>
      <c r="B93" s="485" t="s">
        <v>2312</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4.5" thickTop="1">
      <c r="A95" s="546"/>
      <c r="B95" s="485" t="s">
        <v>2313</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4.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4.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4.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4.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4.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4.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IF(C2="——",ROUND(C37*D3/10000,0),ROUND(C37*D3/10000,0)-D2)</f>
        <v>#DIV/0!</v>
      </c>
      <c r="C2" s="1995"/>
      <c r="D2" s="999" t="e">
        <f ca="1">SUMIF(INDIRECT("'"&amp;F2&amp;"'"&amp;"!A:A"),"承租人权益价值",INDIRECT("'"&amp;F2&amp;"'"&amp;"!c:c"))</f>
        <v>#REF!</v>
      </c>
      <c r="E2" s="1996" t="s">
        <v>1905</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 ca="1">IF(C2="——",C37,ROUND(B2*10000/D3,0))</f>
        <v>#DIV/0!</v>
      </c>
      <c r="C3" s="350" t="s">
        <v>2221</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605" t="s">
        <v>2223</v>
      </c>
      <c r="D4" s="3606"/>
      <c r="E4" s="3607" t="s">
        <v>2224</v>
      </c>
      <c r="F4" s="3608"/>
      <c r="G4" s="3605" t="s">
        <v>2225</v>
      </c>
      <c r="H4" s="3606"/>
      <c r="I4" s="3605" t="s">
        <v>2226</v>
      </c>
      <c r="J4" s="3606"/>
      <c r="K4" s="557" t="s">
        <v>2227</v>
      </c>
      <c r="L4" s="2866"/>
      <c r="M4" s="2867"/>
      <c r="N4" s="2867"/>
      <c r="O4" s="2867"/>
      <c r="P4" s="3609" t="s">
        <v>2228</v>
      </c>
      <c r="Q4" s="3610"/>
      <c r="R4" s="3592" t="s">
        <v>2224</v>
      </c>
      <c r="S4" s="3593"/>
      <c r="T4" s="3592" t="s">
        <v>2225</v>
      </c>
      <c r="U4" s="3593"/>
      <c r="V4" s="3617" t="s">
        <v>2226</v>
      </c>
      <c r="W4" s="3617"/>
      <c r="X4" s="1468"/>
      <c r="Y4" s="3592" t="s">
        <v>2228</v>
      </c>
      <c r="Z4" s="3593"/>
      <c r="AA4" s="3587" t="s">
        <v>2224</v>
      </c>
      <c r="AB4" s="3588" t="s">
        <v>2225</v>
      </c>
      <c r="AC4" s="3587" t="s">
        <v>2226</v>
      </c>
    </row>
    <row r="5" spans="1:29">
      <c r="A5" s="354"/>
      <c r="B5" s="355"/>
      <c r="C5" s="3598" t="s">
        <v>2119</v>
      </c>
      <c r="D5" s="3599"/>
      <c r="E5" s="3596" t="s">
        <v>2120</v>
      </c>
      <c r="F5" s="3597"/>
      <c r="G5" s="3598" t="s">
        <v>2121</v>
      </c>
      <c r="H5" s="3599"/>
      <c r="I5" s="3598" t="s">
        <v>2122</v>
      </c>
      <c r="J5" s="3599"/>
      <c r="K5" s="557"/>
      <c r="L5" s="2866"/>
      <c r="M5" s="2867"/>
      <c r="N5" s="2867"/>
      <c r="O5" s="2867"/>
      <c r="P5" s="3611"/>
      <c r="Q5" s="3612"/>
      <c r="R5" s="3594"/>
      <c r="S5" s="3595"/>
      <c r="T5" s="3594"/>
      <c r="U5" s="3595"/>
      <c r="V5" s="3617"/>
      <c r="W5" s="3617"/>
      <c r="X5" s="1468"/>
      <c r="Y5" s="3594"/>
      <c r="Z5" s="3595"/>
      <c r="AA5" s="3588"/>
      <c r="AB5" s="3588"/>
      <c r="AC5" s="3588"/>
    </row>
    <row r="6" spans="1:29" ht="15" thickBot="1">
      <c r="A6" s="356"/>
      <c r="B6" s="357"/>
      <c r="C6" s="3600" t="s">
        <v>2123</v>
      </c>
      <c r="D6" s="3601"/>
      <c r="E6" s="3602" t="s">
        <v>2123</v>
      </c>
      <c r="F6" s="3603"/>
      <c r="G6" s="3600" t="s">
        <v>2123</v>
      </c>
      <c r="H6" s="3601"/>
      <c r="I6" s="3600" t="s">
        <v>2123</v>
      </c>
      <c r="J6" s="3601"/>
      <c r="K6" s="557" t="s">
        <v>2124</v>
      </c>
      <c r="L6" s="2866"/>
      <c r="M6" s="2867"/>
      <c r="N6" s="2867"/>
      <c r="O6" s="2867"/>
      <c r="P6" s="3613"/>
      <c r="Q6" s="3614"/>
      <c r="R6" s="3594"/>
      <c r="S6" s="3595"/>
      <c r="T6" s="3615"/>
      <c r="U6" s="3616"/>
      <c r="V6" s="3617"/>
      <c r="W6" s="3617"/>
      <c r="X6" s="1468"/>
      <c r="Y6" s="3615"/>
      <c r="Z6" s="3616"/>
      <c r="AA6" s="3589"/>
      <c r="AB6" s="3589"/>
      <c r="AC6" s="3589"/>
    </row>
    <row r="7" spans="1:29" s="110" customFormat="1" ht="14.5" thickBot="1">
      <c r="A7" s="358" t="s">
        <v>2125</v>
      </c>
      <c r="B7" s="359"/>
      <c r="C7" s="360">
        <f>'数据-取费表'!B2</f>
        <v>44693</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590" t="s">
        <v>2126</v>
      </c>
      <c r="Q7" s="3618"/>
      <c r="R7" s="696" t="s">
        <v>17</v>
      </c>
      <c r="S7" s="697">
        <f t="shared" ref="S7:S14" si="0">F7</f>
        <v>0</v>
      </c>
      <c r="T7" s="696" t="s">
        <v>17</v>
      </c>
      <c r="U7" s="697">
        <f t="shared" ref="U7:U14" si="1">H7</f>
        <v>0</v>
      </c>
      <c r="V7" s="696" t="s">
        <v>17</v>
      </c>
      <c r="W7" s="697">
        <f t="shared" ref="W7:W14" si="2">J7</f>
        <v>0</v>
      </c>
      <c r="X7" s="698"/>
      <c r="Y7" s="3590" t="s">
        <v>2126</v>
      </c>
      <c r="Z7" s="3591"/>
      <c r="AA7" s="699" t="e">
        <f>D7/F7</f>
        <v>#DIV/0!</v>
      </c>
      <c r="AB7" s="699" t="e">
        <f>D7/H7</f>
        <v>#DIV/0!</v>
      </c>
      <c r="AC7" s="699" t="e">
        <f>D7/J7</f>
        <v>#DIV/0!</v>
      </c>
    </row>
    <row r="8" spans="1:29" s="110" customFormat="1" ht="14.5" thickBot="1">
      <c r="A8" s="358" t="s">
        <v>2127</v>
      </c>
      <c r="B8" s="359"/>
      <c r="C8" s="364" t="s">
        <v>2229</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590" t="s">
        <v>2129</v>
      </c>
      <c r="Q8" s="3591"/>
      <c r="R8" s="696" t="s">
        <v>17</v>
      </c>
      <c r="S8" s="697">
        <f t="shared" si="0"/>
        <v>0</v>
      </c>
      <c r="T8" s="696" t="s">
        <v>17</v>
      </c>
      <c r="U8" s="697">
        <f t="shared" si="1"/>
        <v>0</v>
      </c>
      <c r="V8" s="696" t="s">
        <v>17</v>
      </c>
      <c r="W8" s="697">
        <f t="shared" si="2"/>
        <v>0</v>
      </c>
      <c r="X8" s="698"/>
      <c r="Y8" s="3590" t="s">
        <v>2129</v>
      </c>
      <c r="Z8" s="3591"/>
      <c r="AA8" s="699" t="e">
        <f t="shared" ref="AA8:AA34" si="3">D8/F8</f>
        <v>#DIV/0!</v>
      </c>
      <c r="AB8" s="699" t="e">
        <f t="shared" ref="AB8:AB34" si="4">D8/H8</f>
        <v>#DIV/0!</v>
      </c>
      <c r="AC8" s="699" t="e">
        <f t="shared" ref="AC8:AC34" si="5">D8/J8</f>
        <v>#DIV/0!</v>
      </c>
    </row>
    <row r="9" spans="1:29" s="110" customFormat="1">
      <c r="A9" s="365" t="s">
        <v>2130</v>
      </c>
      <c r="B9" s="67" t="s">
        <v>2131</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604" t="s">
        <v>2132</v>
      </c>
      <c r="Q9" s="1456" t="str">
        <f t="shared" ref="Q9:Q14" si="6">B9</f>
        <v>用途</v>
      </c>
      <c r="R9" s="696" t="s">
        <v>17</v>
      </c>
      <c r="S9" s="697">
        <f t="shared" si="0"/>
        <v>100</v>
      </c>
      <c r="T9" s="696" t="s">
        <v>17</v>
      </c>
      <c r="U9" s="697">
        <f t="shared" si="1"/>
        <v>100</v>
      </c>
      <c r="V9" s="696" t="s">
        <v>17</v>
      </c>
      <c r="W9" s="697">
        <f t="shared" si="2"/>
        <v>100</v>
      </c>
      <c r="X9" s="698"/>
      <c r="Y9" s="3563" t="s">
        <v>2133</v>
      </c>
      <c r="Z9" s="55" t="str">
        <f t="shared" ref="Z9:Z14" si="7">Q9</f>
        <v>用途</v>
      </c>
      <c r="AA9" s="699">
        <f t="shared" si="3"/>
        <v>1</v>
      </c>
      <c r="AB9" s="699">
        <f t="shared" si="4"/>
        <v>1</v>
      </c>
      <c r="AC9" s="699">
        <f t="shared" si="5"/>
        <v>1</v>
      </c>
    </row>
    <row r="10" spans="1:29" s="376" customFormat="1" ht="28">
      <c r="A10" s="370"/>
      <c r="B10" s="371" t="s">
        <v>2134</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604"/>
      <c r="Q10" s="1456" t="str">
        <f t="shared" si="6"/>
        <v>土地使用年限（年）</v>
      </c>
      <c r="R10" s="696" t="s">
        <v>17</v>
      </c>
      <c r="S10" s="697">
        <f t="shared" si="0"/>
        <v>100</v>
      </c>
      <c r="T10" s="696" t="s">
        <v>17</v>
      </c>
      <c r="U10" s="697">
        <f t="shared" si="1"/>
        <v>100</v>
      </c>
      <c r="V10" s="696" t="s">
        <v>17</v>
      </c>
      <c r="W10" s="697">
        <f t="shared" si="2"/>
        <v>100</v>
      </c>
      <c r="X10" s="698"/>
      <c r="Y10" s="3563"/>
      <c r="Z10" s="55" t="str">
        <f t="shared" si="7"/>
        <v>土地使用年限（年）</v>
      </c>
      <c r="AA10" s="699">
        <f t="shared" si="3"/>
        <v>1</v>
      </c>
      <c r="AB10" s="699">
        <f t="shared" si="4"/>
        <v>1</v>
      </c>
      <c r="AC10" s="699">
        <f t="shared" si="5"/>
        <v>1</v>
      </c>
    </row>
    <row r="11" spans="1:29" ht="15.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604"/>
      <c r="Q11" s="1456">
        <f t="shared" si="6"/>
        <v>111</v>
      </c>
      <c r="R11" s="696" t="s">
        <v>17</v>
      </c>
      <c r="S11" s="697">
        <f t="shared" si="0"/>
        <v>100</v>
      </c>
      <c r="T11" s="696" t="s">
        <v>17</v>
      </c>
      <c r="U11" s="697">
        <f t="shared" si="1"/>
        <v>100</v>
      </c>
      <c r="V11" s="696" t="s">
        <v>17</v>
      </c>
      <c r="W11" s="697">
        <f t="shared" si="2"/>
        <v>100</v>
      </c>
      <c r="X11" s="698"/>
      <c r="Y11" s="3563"/>
      <c r="Z11" s="55">
        <f t="shared" si="7"/>
        <v>111</v>
      </c>
      <c r="AA11" s="699">
        <f t="shared" si="3"/>
        <v>1</v>
      </c>
      <c r="AB11" s="699">
        <f t="shared" si="4"/>
        <v>1</v>
      </c>
      <c r="AC11" s="699">
        <f t="shared" si="5"/>
        <v>1</v>
      </c>
    </row>
    <row r="12" spans="1:29" s="110" customFormat="1" ht="15.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604"/>
      <c r="Q12" s="1456">
        <f t="shared" si="6"/>
        <v>111</v>
      </c>
      <c r="R12" s="696" t="s">
        <v>17</v>
      </c>
      <c r="S12" s="697">
        <f t="shared" si="0"/>
        <v>100</v>
      </c>
      <c r="T12" s="696" t="s">
        <v>17</v>
      </c>
      <c r="U12" s="697">
        <f t="shared" si="1"/>
        <v>100</v>
      </c>
      <c r="V12" s="696" t="s">
        <v>17</v>
      </c>
      <c r="W12" s="697">
        <f t="shared" si="2"/>
        <v>100</v>
      </c>
      <c r="X12" s="698"/>
      <c r="Y12" s="3563"/>
      <c r="Z12" s="55">
        <f t="shared" si="7"/>
        <v>111</v>
      </c>
      <c r="AA12" s="699">
        <f>D12/F12</f>
        <v>1</v>
      </c>
      <c r="AB12" s="699">
        <f>D12/H12</f>
        <v>1</v>
      </c>
      <c r="AC12" s="699">
        <f>D12/J12</f>
        <v>1</v>
      </c>
    </row>
    <row r="13" spans="1:29" ht="16"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604"/>
      <c r="Q13" s="1456">
        <f t="shared" si="6"/>
        <v>111</v>
      </c>
      <c r="R13" s="696" t="s">
        <v>17</v>
      </c>
      <c r="S13" s="697">
        <f t="shared" si="0"/>
        <v>100</v>
      </c>
      <c r="T13" s="696" t="s">
        <v>17</v>
      </c>
      <c r="U13" s="697">
        <f t="shared" si="1"/>
        <v>100</v>
      </c>
      <c r="V13" s="696" t="s">
        <v>17</v>
      </c>
      <c r="W13" s="697">
        <f t="shared" si="2"/>
        <v>100</v>
      </c>
      <c r="X13" s="698"/>
      <c r="Y13" s="3563"/>
      <c r="Z13" s="55">
        <f t="shared" si="7"/>
        <v>111</v>
      </c>
      <c r="AA13" s="699">
        <f t="shared" si="3"/>
        <v>1</v>
      </c>
      <c r="AB13" s="699">
        <f t="shared" si="4"/>
        <v>1</v>
      </c>
      <c r="AC13" s="699">
        <f t="shared" si="5"/>
        <v>1</v>
      </c>
    </row>
    <row r="14" spans="1:29" ht="140">
      <c r="A14" s="389" t="s">
        <v>2136</v>
      </c>
      <c r="B14" s="6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619" t="s">
        <v>2137</v>
      </c>
      <c r="Q14" s="1465" t="str">
        <f t="shared" si="6"/>
        <v>交通便捷度</v>
      </c>
      <c r="R14" s="700" t="s">
        <v>17</v>
      </c>
      <c r="S14" s="701">
        <f t="shared" si="0"/>
        <v>100</v>
      </c>
      <c r="T14" s="700" t="s">
        <v>17</v>
      </c>
      <c r="U14" s="701">
        <f t="shared" si="1"/>
        <v>100</v>
      </c>
      <c r="V14" s="700" t="s">
        <v>17</v>
      </c>
      <c r="W14" s="701">
        <f t="shared" si="2"/>
        <v>100</v>
      </c>
      <c r="X14" s="1468"/>
      <c r="Y14" s="3619" t="s">
        <v>2137</v>
      </c>
      <c r="Z14" s="1469" t="str">
        <f t="shared" si="7"/>
        <v>交通便捷度</v>
      </c>
      <c r="AA14" s="1466">
        <f t="shared" si="3"/>
        <v>1</v>
      </c>
      <c r="AB14" s="1466">
        <f t="shared" si="4"/>
        <v>1</v>
      </c>
      <c r="AC14" s="1466">
        <f t="shared" si="5"/>
        <v>1</v>
      </c>
    </row>
    <row r="15" spans="1:29" ht="15.5">
      <c r="A15" s="377"/>
      <c r="B15" s="395"/>
      <c r="C15" s="396"/>
      <c r="D15" s="397"/>
      <c r="E15" s="396"/>
      <c r="F15" s="398"/>
      <c r="G15" s="396"/>
      <c r="H15" s="399"/>
      <c r="I15" s="396"/>
      <c r="J15" s="397"/>
      <c r="K15" s="562"/>
      <c r="L15" s="2873"/>
      <c r="M15" s="2867"/>
      <c r="N15" s="2867"/>
      <c r="O15" s="2925"/>
      <c r="P15" s="3620"/>
      <c r="Q15" s="1465"/>
      <c r="R15" s="700"/>
      <c r="S15" s="701"/>
      <c r="T15" s="700"/>
      <c r="U15" s="701"/>
      <c r="V15" s="700"/>
      <c r="W15" s="701"/>
      <c r="X15" s="1468"/>
      <c r="Y15" s="3620"/>
      <c r="Z15" s="1469"/>
      <c r="AA15" s="1466">
        <v>1</v>
      </c>
      <c r="AB15" s="1466">
        <v>1</v>
      </c>
      <c r="AC15" s="1466">
        <v>1</v>
      </c>
    </row>
    <row r="16" spans="1:29" ht="56">
      <c r="A16" s="377"/>
      <c r="B16" s="400" t="s">
        <v>2265</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620"/>
      <c r="Q16" s="1465" t="str">
        <f>B16</f>
        <v>公共配套设施</v>
      </c>
      <c r="R16" s="700" t="s">
        <v>17</v>
      </c>
      <c r="S16" s="701">
        <f>F16</f>
        <v>100</v>
      </c>
      <c r="T16" s="700" t="s">
        <v>17</v>
      </c>
      <c r="U16" s="701">
        <f>H16</f>
        <v>100</v>
      </c>
      <c r="V16" s="700" t="s">
        <v>17</v>
      </c>
      <c r="W16" s="701">
        <f>J16</f>
        <v>100</v>
      </c>
      <c r="X16" s="1468"/>
      <c r="Y16" s="3620"/>
      <c r="Z16" s="1469" t="str">
        <f>Q16</f>
        <v>公共配套设施</v>
      </c>
      <c r="AA16" s="1466">
        <f t="shared" si="3"/>
        <v>1</v>
      </c>
      <c r="AB16" s="1466">
        <f t="shared" si="4"/>
        <v>1</v>
      </c>
      <c r="AC16" s="1466">
        <f t="shared" si="5"/>
        <v>1</v>
      </c>
    </row>
    <row r="17" spans="1:29" ht="15.5">
      <c r="A17" s="377"/>
      <c r="B17" s="405"/>
      <c r="C17" s="2015"/>
      <c r="D17" s="397"/>
      <c r="E17" s="396"/>
      <c r="F17" s="398"/>
      <c r="G17" s="396"/>
      <c r="H17" s="397"/>
      <c r="I17" s="396"/>
      <c r="J17" s="397"/>
      <c r="K17" s="562"/>
      <c r="L17" s="2873"/>
      <c r="M17" s="2867"/>
      <c r="N17" s="2867"/>
      <c r="O17" s="2925"/>
      <c r="P17" s="3620"/>
      <c r="Q17" s="1465"/>
      <c r="R17" s="700"/>
      <c r="S17" s="701"/>
      <c r="T17" s="700"/>
      <c r="U17" s="701"/>
      <c r="V17" s="700"/>
      <c r="W17" s="701"/>
      <c r="X17" s="1468"/>
      <c r="Y17" s="3620"/>
      <c r="Z17" s="1469"/>
      <c r="AA17" s="1466">
        <v>1</v>
      </c>
      <c r="AB17" s="1466">
        <v>1</v>
      </c>
      <c r="AC17" s="1466">
        <v>1</v>
      </c>
    </row>
    <row r="18" spans="1:29" ht="15.5">
      <c r="A18" s="377"/>
      <c r="B18" s="1225" t="s">
        <v>2266</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620"/>
      <c r="Q18" s="1465" t="str">
        <f>B18</f>
        <v>基础设施水平</v>
      </c>
      <c r="R18" s="700" t="s">
        <v>17</v>
      </c>
      <c r="S18" s="701">
        <f>F18</f>
        <v>100</v>
      </c>
      <c r="T18" s="700" t="s">
        <v>17</v>
      </c>
      <c r="U18" s="701">
        <f>H18</f>
        <v>100</v>
      </c>
      <c r="V18" s="700" t="s">
        <v>17</v>
      </c>
      <c r="W18" s="701">
        <f>J18</f>
        <v>100</v>
      </c>
      <c r="X18" s="1468"/>
      <c r="Y18" s="3620"/>
      <c r="Z18" s="1469" t="str">
        <f>Q18</f>
        <v>基础设施水平</v>
      </c>
      <c r="AA18" s="1466">
        <f t="shared" ref="AA18" si="8">D18/F18</f>
        <v>1</v>
      </c>
      <c r="AB18" s="1466">
        <f t="shared" ref="AB18" si="9">D18/H18</f>
        <v>1</v>
      </c>
      <c r="AC18" s="1466">
        <f t="shared" ref="AC18" si="10">D18/J18</f>
        <v>1</v>
      </c>
    </row>
    <row r="19" spans="1:29" ht="15.5">
      <c r="A19" s="377"/>
      <c r="B19" s="1225"/>
      <c r="C19" s="2015"/>
      <c r="D19" s="399"/>
      <c r="E19" s="2015"/>
      <c r="F19" s="402"/>
      <c r="G19" s="2015"/>
      <c r="H19" s="397"/>
      <c r="I19" s="396"/>
      <c r="J19" s="397"/>
      <c r="K19" s="1224"/>
      <c r="L19" s="2873"/>
      <c r="M19" s="2867"/>
      <c r="N19" s="2867"/>
      <c r="O19" s="2925"/>
      <c r="P19" s="3620"/>
      <c r="Q19" s="1465"/>
      <c r="R19" s="700"/>
      <c r="S19" s="701"/>
      <c r="T19" s="700"/>
      <c r="U19" s="701"/>
      <c r="V19" s="700"/>
      <c r="W19" s="701"/>
      <c r="X19" s="1468"/>
      <c r="Y19" s="3620"/>
      <c r="Z19" s="1469"/>
      <c r="AA19" s="1466">
        <v>1</v>
      </c>
      <c r="AB19" s="1466">
        <v>1</v>
      </c>
      <c r="AC19" s="1466">
        <v>1</v>
      </c>
    </row>
    <row r="20" spans="1:29" ht="126">
      <c r="A20" s="377"/>
      <c r="B20" s="400" t="s">
        <v>2287</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620"/>
      <c r="Q20" s="1465" t="str">
        <f>B20</f>
        <v>自然及人文环境</v>
      </c>
      <c r="R20" s="700" t="s">
        <v>17</v>
      </c>
      <c r="S20" s="701">
        <f>F20</f>
        <v>100</v>
      </c>
      <c r="T20" s="700" t="s">
        <v>17</v>
      </c>
      <c r="U20" s="701">
        <f>H20</f>
        <v>100</v>
      </c>
      <c r="V20" s="700" t="s">
        <v>17</v>
      </c>
      <c r="W20" s="701">
        <f>J20</f>
        <v>100</v>
      </c>
      <c r="X20" s="1468"/>
      <c r="Y20" s="3620"/>
      <c r="Z20" s="1469" t="str">
        <f>Q20</f>
        <v>自然及人文环境</v>
      </c>
      <c r="AA20" s="1466">
        <f t="shared" si="3"/>
        <v>1</v>
      </c>
      <c r="AB20" s="1466">
        <f t="shared" si="4"/>
        <v>1</v>
      </c>
      <c r="AC20" s="1466">
        <f t="shared" si="5"/>
        <v>1</v>
      </c>
    </row>
    <row r="21" spans="1:29" ht="15.5">
      <c r="A21" s="377"/>
      <c r="B21" s="405"/>
      <c r="C21" s="396"/>
      <c r="D21" s="397"/>
      <c r="E21" s="396"/>
      <c r="F21" s="398"/>
      <c r="G21" s="396"/>
      <c r="H21" s="397"/>
      <c r="I21" s="396"/>
      <c r="J21" s="397"/>
      <c r="K21" s="562"/>
      <c r="L21" s="2873"/>
      <c r="M21" s="2867"/>
      <c r="N21" s="2867"/>
      <c r="O21" s="2925"/>
      <c r="P21" s="3620"/>
      <c r="Q21" s="1465"/>
      <c r="R21" s="700"/>
      <c r="S21" s="701"/>
      <c r="T21" s="700"/>
      <c r="U21" s="701"/>
      <c r="V21" s="700"/>
      <c r="W21" s="701"/>
      <c r="X21" s="1468"/>
      <c r="Y21" s="3620"/>
      <c r="Z21" s="1469"/>
      <c r="AA21" s="1466">
        <v>1</v>
      </c>
      <c r="AB21" s="1466">
        <v>1</v>
      </c>
      <c r="AC21" s="1466">
        <v>1</v>
      </c>
    </row>
    <row r="22" spans="1:29" ht="15.5">
      <c r="A22" s="377"/>
      <c r="B22" s="400" t="s">
        <v>2288</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620"/>
      <c r="Q22" s="1465" t="str">
        <f>B22</f>
        <v>楼层</v>
      </c>
      <c r="R22" s="700" t="s">
        <v>17</v>
      </c>
      <c r="S22" s="701">
        <f>F22</f>
        <v>100</v>
      </c>
      <c r="T22" s="700" t="s">
        <v>17</v>
      </c>
      <c r="U22" s="701">
        <f>H22</f>
        <v>100</v>
      </c>
      <c r="V22" s="700" t="s">
        <v>17</v>
      </c>
      <c r="W22" s="701">
        <f>J22</f>
        <v>100</v>
      </c>
      <c r="X22" s="1468"/>
      <c r="Y22" s="3620"/>
      <c r="Z22" s="1469" t="str">
        <f>Q22</f>
        <v>楼层</v>
      </c>
      <c r="AA22" s="1466">
        <f t="shared" si="3"/>
        <v>1</v>
      </c>
      <c r="AB22" s="1466">
        <f t="shared" si="4"/>
        <v>1</v>
      </c>
      <c r="AC22" s="1466">
        <f t="shared" si="5"/>
        <v>1</v>
      </c>
    </row>
    <row r="23" spans="1:29" ht="15.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620"/>
      <c r="Q23" s="1465">
        <f>B23</f>
        <v>111</v>
      </c>
      <c r="R23" s="700" t="s">
        <v>17</v>
      </c>
      <c r="S23" s="701">
        <f>F23</f>
        <v>100</v>
      </c>
      <c r="T23" s="700" t="s">
        <v>17</v>
      </c>
      <c r="U23" s="701">
        <f>H23</f>
        <v>100</v>
      </c>
      <c r="V23" s="700" t="s">
        <v>17</v>
      </c>
      <c r="W23" s="701">
        <f>J23</f>
        <v>100</v>
      </c>
      <c r="X23" s="1468"/>
      <c r="Y23" s="3620"/>
      <c r="Z23" s="1469">
        <f>Q23</f>
        <v>111</v>
      </c>
      <c r="AA23" s="1466">
        <f t="shared" si="3"/>
        <v>1</v>
      </c>
      <c r="AB23" s="1466">
        <f t="shared" si="4"/>
        <v>1</v>
      </c>
      <c r="AC23" s="1466">
        <f t="shared" si="5"/>
        <v>1</v>
      </c>
    </row>
    <row r="24" spans="1:29" ht="15.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620"/>
      <c r="Q24" s="1465">
        <f t="shared" ref="Q24:Q34" si="11">B24</f>
        <v>111</v>
      </c>
      <c r="R24" s="700" t="s">
        <v>17</v>
      </c>
      <c r="S24" s="701">
        <f>F24</f>
        <v>100</v>
      </c>
      <c r="T24" s="700" t="s">
        <v>17</v>
      </c>
      <c r="U24" s="701">
        <f>H24</f>
        <v>100</v>
      </c>
      <c r="V24" s="700" t="s">
        <v>17</v>
      </c>
      <c r="W24" s="701">
        <f>J24</f>
        <v>100</v>
      </c>
      <c r="X24" s="1468"/>
      <c r="Y24" s="3620"/>
      <c r="Z24" s="1469">
        <f>Q24</f>
        <v>111</v>
      </c>
      <c r="AA24" s="1466">
        <f t="shared" si="3"/>
        <v>1</v>
      </c>
      <c r="AB24" s="1466">
        <f t="shared" si="4"/>
        <v>1</v>
      </c>
      <c r="AC24" s="1466">
        <f t="shared" si="5"/>
        <v>1</v>
      </c>
    </row>
    <row r="25" spans="1:29" s="110" customFormat="1" ht="16"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620"/>
      <c r="Q25" s="1456">
        <f t="shared" si="11"/>
        <v>111</v>
      </c>
      <c r="R25" s="696" t="s">
        <v>17</v>
      </c>
      <c r="S25" s="697">
        <f>F25</f>
        <v>100</v>
      </c>
      <c r="T25" s="696" t="s">
        <v>17</v>
      </c>
      <c r="U25" s="697">
        <f>H25</f>
        <v>100</v>
      </c>
      <c r="V25" s="696" t="s">
        <v>17</v>
      </c>
      <c r="W25" s="697">
        <f>J25</f>
        <v>100</v>
      </c>
      <c r="X25" s="698"/>
      <c r="Y25" s="3620"/>
      <c r="Z25" s="55">
        <f>Q25</f>
        <v>111</v>
      </c>
      <c r="AA25" s="1466">
        <f>D25/F25</f>
        <v>1</v>
      </c>
      <c r="AB25" s="1466">
        <f>D25/H25</f>
        <v>1</v>
      </c>
      <c r="AC25" s="1466">
        <f>D25/J25</f>
        <v>1</v>
      </c>
    </row>
    <row r="26" spans="1:29" ht="29">
      <c r="A26" s="415" t="s">
        <v>2140</v>
      </c>
      <c r="B26" s="67" t="s">
        <v>2291</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621" t="s">
        <v>2142</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622" t="s">
        <v>2142</v>
      </c>
      <c r="Z26" s="1469" t="str">
        <f t="shared" ref="Z26:Z34" si="15">Q26</f>
        <v>公共部分装修</v>
      </c>
      <c r="AA26" s="1466">
        <f t="shared" si="3"/>
        <v>1</v>
      </c>
      <c r="AB26" s="1466">
        <f t="shared" si="4"/>
        <v>1</v>
      </c>
      <c r="AC26" s="1466">
        <f t="shared" si="5"/>
        <v>1</v>
      </c>
    </row>
    <row r="27" spans="1:29" s="420" customFormat="1" ht="15.5">
      <c r="A27" s="417"/>
      <c r="B27" s="371" t="s">
        <v>2292</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622"/>
      <c r="Q27" s="702" t="str">
        <f t="shared" si="11"/>
        <v>成新率</v>
      </c>
      <c r="R27" s="703" t="s">
        <v>17</v>
      </c>
      <c r="S27" s="704" t="e">
        <f t="shared" si="12"/>
        <v>#N/A</v>
      </c>
      <c r="T27" s="703" t="s">
        <v>17</v>
      </c>
      <c r="U27" s="704" t="e">
        <f t="shared" si="13"/>
        <v>#N/A</v>
      </c>
      <c r="V27" s="703" t="s">
        <v>17</v>
      </c>
      <c r="W27" s="704" t="e">
        <f t="shared" si="14"/>
        <v>#N/A</v>
      </c>
      <c r="X27" s="705"/>
      <c r="Y27" s="3622"/>
      <c r="Z27" s="706" t="str">
        <f t="shared" si="15"/>
        <v>成新率</v>
      </c>
      <c r="AA27" s="1466" t="e">
        <f t="shared" si="3"/>
        <v>#N/A</v>
      </c>
      <c r="AB27" s="1466" t="e">
        <f t="shared" si="4"/>
        <v>#N/A</v>
      </c>
      <c r="AC27" s="1466" t="e">
        <f t="shared" si="5"/>
        <v>#N/A</v>
      </c>
    </row>
    <row r="28" spans="1:29" ht="15.5">
      <c r="A28" s="421"/>
      <c r="B28" s="371" t="s">
        <v>2293</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622"/>
      <c r="Q28" s="1465" t="str">
        <f t="shared" si="11"/>
        <v>物业等级</v>
      </c>
      <c r="R28" s="700" t="s">
        <v>17</v>
      </c>
      <c r="S28" s="701">
        <f t="shared" si="12"/>
        <v>100</v>
      </c>
      <c r="T28" s="700" t="s">
        <v>17</v>
      </c>
      <c r="U28" s="701">
        <f t="shared" si="13"/>
        <v>100</v>
      </c>
      <c r="V28" s="700" t="s">
        <v>17</v>
      </c>
      <c r="W28" s="701">
        <f t="shared" si="14"/>
        <v>100</v>
      </c>
      <c r="X28" s="1468"/>
      <c r="Y28" s="3622"/>
      <c r="Z28" s="1469" t="str">
        <f t="shared" si="15"/>
        <v>物业等级</v>
      </c>
      <c r="AA28" s="1466">
        <f t="shared" si="3"/>
        <v>1</v>
      </c>
      <c r="AB28" s="1466">
        <f t="shared" si="4"/>
        <v>1</v>
      </c>
      <c r="AC28" s="1466">
        <f t="shared" si="5"/>
        <v>1</v>
      </c>
    </row>
    <row r="29" spans="1:29" ht="15.5">
      <c r="A29" s="421"/>
      <c r="B29" s="371" t="s">
        <v>2314</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622"/>
      <c r="Q29" s="1465" t="str">
        <f t="shared" si="11"/>
        <v>有无电梯</v>
      </c>
      <c r="R29" s="700" t="s">
        <v>17</v>
      </c>
      <c r="S29" s="701">
        <f t="shared" si="12"/>
        <v>100</v>
      </c>
      <c r="T29" s="700" t="s">
        <v>17</v>
      </c>
      <c r="U29" s="701">
        <f t="shared" si="13"/>
        <v>100</v>
      </c>
      <c r="V29" s="700" t="s">
        <v>17</v>
      </c>
      <c r="W29" s="701">
        <f t="shared" si="14"/>
        <v>100</v>
      </c>
      <c r="X29" s="1468"/>
      <c r="Y29" s="3622"/>
      <c r="Z29" s="1469" t="str">
        <f t="shared" si="15"/>
        <v>有无电梯</v>
      </c>
      <c r="AA29" s="1466">
        <f t="shared" si="3"/>
        <v>1</v>
      </c>
      <c r="AB29" s="1466">
        <f t="shared" si="4"/>
        <v>1</v>
      </c>
      <c r="AC29" s="1466">
        <f t="shared" si="5"/>
        <v>1</v>
      </c>
    </row>
    <row r="30" spans="1:29" ht="15.5">
      <c r="A30" s="421"/>
      <c r="B30" s="371" t="s">
        <v>2315</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622"/>
      <c r="Q30" s="1465" t="str">
        <f t="shared" si="11"/>
        <v>建筑面积</v>
      </c>
      <c r="R30" s="700" t="s">
        <v>17</v>
      </c>
      <c r="S30" s="701" t="e">
        <f t="shared" si="12"/>
        <v>#N/A</v>
      </c>
      <c r="T30" s="700" t="s">
        <v>17</v>
      </c>
      <c r="U30" s="701" t="e">
        <f t="shared" si="13"/>
        <v>#N/A</v>
      </c>
      <c r="V30" s="700" t="s">
        <v>17</v>
      </c>
      <c r="W30" s="701" t="e">
        <f t="shared" si="14"/>
        <v>#N/A</v>
      </c>
      <c r="X30" s="1468"/>
      <c r="Y30" s="3622"/>
      <c r="Z30" s="1469" t="str">
        <f t="shared" si="15"/>
        <v>建筑面积</v>
      </c>
      <c r="AA30" s="1466" t="e">
        <f t="shared" si="3"/>
        <v>#N/A</v>
      </c>
      <c r="AB30" s="1466" t="e">
        <f t="shared" si="4"/>
        <v>#N/A</v>
      </c>
      <c r="AC30" s="1466" t="e">
        <f t="shared" si="5"/>
        <v>#N/A</v>
      </c>
    </row>
    <row r="31" spans="1:29" s="110" customFormat="1" ht="15.5">
      <c r="A31" s="422"/>
      <c r="B31" s="371" t="s">
        <v>2316</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622"/>
      <c r="Q31" s="1456" t="str">
        <f t="shared" si="11"/>
        <v>是否封闭</v>
      </c>
      <c r="R31" s="696" t="s">
        <v>17</v>
      </c>
      <c r="S31" s="697">
        <f t="shared" si="12"/>
        <v>100</v>
      </c>
      <c r="T31" s="696" t="s">
        <v>17</v>
      </c>
      <c r="U31" s="697">
        <f t="shared" si="13"/>
        <v>100</v>
      </c>
      <c r="V31" s="696" t="s">
        <v>17</v>
      </c>
      <c r="W31" s="697">
        <f t="shared" si="14"/>
        <v>100</v>
      </c>
      <c r="X31" s="698"/>
      <c r="Y31" s="3622"/>
      <c r="Z31" s="55" t="str">
        <f t="shared" si="15"/>
        <v>是否封闭</v>
      </c>
      <c r="AA31" s="699">
        <f t="shared" si="3"/>
        <v>1</v>
      </c>
      <c r="AB31" s="699">
        <f t="shared" si="4"/>
        <v>1</v>
      </c>
      <c r="AC31" s="699">
        <f t="shared" si="5"/>
        <v>1</v>
      </c>
    </row>
    <row r="32" spans="1:29" ht="15.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622" t="s">
        <v>2142</v>
      </c>
      <c r="Q32" s="1465">
        <f t="shared" si="11"/>
        <v>111</v>
      </c>
      <c r="R32" s="700" t="s">
        <v>17</v>
      </c>
      <c r="S32" s="701">
        <f t="shared" si="12"/>
        <v>100</v>
      </c>
      <c r="T32" s="700" t="s">
        <v>17</v>
      </c>
      <c r="U32" s="701">
        <f t="shared" si="13"/>
        <v>100</v>
      </c>
      <c r="V32" s="700" t="s">
        <v>17</v>
      </c>
      <c r="W32" s="701">
        <f t="shared" si="14"/>
        <v>100</v>
      </c>
      <c r="X32" s="1468"/>
      <c r="Y32" s="3622" t="s">
        <v>2142</v>
      </c>
      <c r="Z32" s="1469">
        <f t="shared" si="15"/>
        <v>111</v>
      </c>
      <c r="AA32" s="1466">
        <f t="shared" si="3"/>
        <v>1</v>
      </c>
      <c r="AB32" s="1466">
        <f t="shared" si="4"/>
        <v>1</v>
      </c>
      <c r="AC32" s="1466">
        <f t="shared" si="5"/>
        <v>1</v>
      </c>
    </row>
    <row r="33" spans="1:30" ht="15.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622"/>
      <c r="Q33" s="1465">
        <f t="shared" si="11"/>
        <v>111</v>
      </c>
      <c r="R33" s="700" t="s">
        <v>17</v>
      </c>
      <c r="S33" s="701">
        <f t="shared" si="12"/>
        <v>100</v>
      </c>
      <c r="T33" s="700" t="s">
        <v>17</v>
      </c>
      <c r="U33" s="701">
        <f t="shared" si="13"/>
        <v>100</v>
      </c>
      <c r="V33" s="700" t="s">
        <v>17</v>
      </c>
      <c r="W33" s="701">
        <f t="shared" si="14"/>
        <v>100</v>
      </c>
      <c r="X33" s="1468"/>
      <c r="Y33" s="3622"/>
      <c r="Z33" s="1469">
        <f t="shared" si="15"/>
        <v>111</v>
      </c>
      <c r="AA33" s="1466">
        <f t="shared" si="3"/>
        <v>1</v>
      </c>
      <c r="AB33" s="1466">
        <f t="shared" si="4"/>
        <v>1</v>
      </c>
      <c r="AC33" s="1466">
        <f t="shared" si="5"/>
        <v>1</v>
      </c>
    </row>
    <row r="34" spans="1:30" ht="16"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622"/>
      <c r="Q34" s="1465">
        <f t="shared" si="11"/>
        <v>111</v>
      </c>
      <c r="R34" s="700" t="s">
        <v>17</v>
      </c>
      <c r="S34" s="701">
        <f t="shared" si="12"/>
        <v>100</v>
      </c>
      <c r="T34" s="700" t="s">
        <v>17</v>
      </c>
      <c r="U34" s="701">
        <f t="shared" si="13"/>
        <v>100</v>
      </c>
      <c r="V34" s="700" t="s">
        <v>17</v>
      </c>
      <c r="W34" s="701">
        <f t="shared" si="14"/>
        <v>100</v>
      </c>
      <c r="X34" s="1468"/>
      <c r="Y34" s="3622"/>
      <c r="Z34" s="1469">
        <f t="shared" si="15"/>
        <v>111</v>
      </c>
      <c r="AA34" s="1466">
        <f t="shared" si="3"/>
        <v>1</v>
      </c>
      <c r="AB34" s="1466">
        <f t="shared" si="4"/>
        <v>1</v>
      </c>
      <c r="AC34" s="1466">
        <f t="shared" si="5"/>
        <v>1</v>
      </c>
    </row>
    <row r="35" spans="1:30">
      <c r="A35" s="428" t="s">
        <v>2154</v>
      </c>
      <c r="B35" s="429"/>
      <c r="C35" s="1248" t="s">
        <v>1</v>
      </c>
      <c r="D35" s="1249"/>
      <c r="E35" s="1250"/>
      <c r="F35" s="1251"/>
      <c r="G35" s="1252"/>
      <c r="H35" s="1253"/>
      <c r="I35" s="1250"/>
      <c r="J35" s="1253"/>
      <c r="K35" s="709"/>
      <c r="L35" s="2875"/>
      <c r="M35" s="2876"/>
      <c r="N35" s="2867"/>
      <c r="O35" s="2876"/>
      <c r="P35" s="3604" t="str">
        <f>A35</f>
        <v>成交单价（元/平方米）</v>
      </c>
      <c r="Q35" s="3604"/>
      <c r="R35" s="3659">
        <f>E35</f>
        <v>0</v>
      </c>
      <c r="S35" s="3659"/>
      <c r="T35" s="3659">
        <f>G35</f>
        <v>0</v>
      </c>
      <c r="U35" s="3659"/>
      <c r="V35" s="3659">
        <f>I35</f>
        <v>0</v>
      </c>
      <c r="W35" s="3659"/>
      <c r="X35" s="685"/>
      <c r="Y35" s="707"/>
      <c r="Z35" s="685"/>
      <c r="AA35" s="685"/>
      <c r="AB35" s="685"/>
      <c r="AC35" s="685"/>
    </row>
    <row r="36" spans="1:30" ht="14.5" thickBot="1">
      <c r="A36" s="435" t="s">
        <v>2246</v>
      </c>
      <c r="B36" s="436"/>
      <c r="C36" s="1254" t="e">
        <f>R37</f>
        <v>#DIV/0!</v>
      </c>
      <c r="D36" s="2466" t="s">
        <v>2634</v>
      </c>
      <c r="E36" s="1255" t="e">
        <f>R36</f>
        <v>#DIV/0!</v>
      </c>
      <c r="F36" s="2467"/>
      <c r="G36" s="1254" t="e">
        <f>T36</f>
        <v>#DIV/0!</v>
      </c>
      <c r="H36" s="2467"/>
      <c r="I36" s="1255" t="e">
        <f>V36</f>
        <v>#DIV/0!</v>
      </c>
      <c r="J36" s="2467"/>
      <c r="K36" s="2469">
        <f>F36+H36+J36</f>
        <v>0</v>
      </c>
      <c r="L36" s="2875"/>
      <c r="M36" s="2876"/>
      <c r="N36" s="2867"/>
      <c r="O36" s="2876"/>
      <c r="P36" s="3604" t="str">
        <f>A36</f>
        <v>比较价值（元/平方米）</v>
      </c>
      <c r="Q36" s="3604"/>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85"/>
      <c r="Y36" s="685"/>
      <c r="Z36" s="685"/>
      <c r="AA36" s="685"/>
      <c r="AB36" s="685"/>
      <c r="AC36" s="685"/>
    </row>
    <row r="37" spans="1:30" ht="14.5" thickBot="1">
      <c r="A37" s="439" t="s">
        <v>2247</v>
      </c>
      <c r="B37" s="440"/>
      <c r="C37" s="1257" t="e">
        <f>R37</f>
        <v>#DIV/0!</v>
      </c>
      <c r="D37" s="1257"/>
      <c r="E37" s="1257"/>
      <c r="F37" s="1257"/>
      <c r="G37" s="1257"/>
      <c r="H37" s="1257"/>
      <c r="I37" s="1257"/>
      <c r="J37" s="1257"/>
      <c r="K37" s="710"/>
      <c r="L37" s="2875"/>
      <c r="M37" s="2876"/>
      <c r="N37" s="2876"/>
      <c r="O37" s="2876"/>
      <c r="P37" s="3624" t="str">
        <f>A37</f>
        <v>估价对象XX用房的比较价值（楼面单价，元/平方米）</v>
      </c>
      <c r="Q37" s="3625"/>
      <c r="R37" s="3684" t="e">
        <f>IF(F1="售价",ROUND(IF(D36="简单平均",AVERAGE(R36:W36),R36*F36+T36*H36+V36*J36),0),ROUND(IF(D36="简单平均",AVERAGE(R36:V36),R36*F36+T36*H36+V36*J36),1))</f>
        <v>#DIV/0!</v>
      </c>
      <c r="S37" s="3684"/>
      <c r="T37" s="3684"/>
      <c r="U37" s="3684"/>
      <c r="V37" s="3684"/>
      <c r="W37" s="3684"/>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2248</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2249</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2250</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5" thickBot="1">
      <c r="A45" s="689" t="s">
        <v>2251</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c r="A46" s="452" t="s">
        <v>2125</v>
      </c>
      <c r="B46" s="453"/>
      <c r="C46" s="1277" t="str">
        <f>YEAR(C7)&amp;"-"&amp;MONTH(C7)</f>
        <v>2022-5</v>
      </c>
      <c r="D46" s="1278">
        <f>EDATE(C46,-1)</f>
        <v>44652</v>
      </c>
      <c r="E46" s="1278">
        <f t="shared" ref="E46:O46" si="16">EDATE(D46,-1)</f>
        <v>44621</v>
      </c>
      <c r="F46" s="1278">
        <f t="shared" si="16"/>
        <v>44593</v>
      </c>
      <c r="G46" s="1278">
        <f t="shared" si="16"/>
        <v>44562</v>
      </c>
      <c r="H46" s="1278">
        <f t="shared" si="16"/>
        <v>44531</v>
      </c>
      <c r="I46" s="1278">
        <f t="shared" si="16"/>
        <v>44501</v>
      </c>
      <c r="J46" s="1278">
        <f t="shared" si="16"/>
        <v>44470</v>
      </c>
      <c r="K46" s="1278">
        <f t="shared" si="16"/>
        <v>44440</v>
      </c>
      <c r="L46" s="1278">
        <f t="shared" si="16"/>
        <v>44409</v>
      </c>
      <c r="M46" s="1278">
        <f t="shared" si="16"/>
        <v>44378</v>
      </c>
      <c r="N46" s="1278">
        <f t="shared" si="16"/>
        <v>44348</v>
      </c>
      <c r="O46" s="1278">
        <f t="shared" si="16"/>
        <v>44317</v>
      </c>
      <c r="P46" s="2927"/>
      <c r="Q46" s="2892"/>
      <c r="R46" s="2892"/>
      <c r="S46" s="2892"/>
      <c r="T46" s="2892"/>
      <c r="U46" s="2892"/>
      <c r="V46" s="2892"/>
      <c r="W46" s="2892"/>
      <c r="X46" s="2892"/>
      <c r="Y46" s="2892"/>
      <c r="Z46" s="2892"/>
      <c r="AA46" s="2892"/>
      <c r="AB46" s="2892"/>
      <c r="AC46" s="2892"/>
      <c r="AD46" s="2892"/>
    </row>
    <row r="47" spans="1:30" s="110" customFormat="1">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4.5" thickBot="1">
      <c r="A48" s="462" t="s">
        <v>2162</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c r="A49" s="468" t="s">
        <v>2127</v>
      </c>
      <c r="B49" s="457"/>
      <c r="C49" s="469" t="s">
        <v>2229</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4.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2165</v>
      </c>
      <c r="B51" s="475" t="s">
        <v>2131</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4.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8.5" thickTop="1">
      <c r="A53" s="481"/>
      <c r="B53" s="485" t="s">
        <v>2134</v>
      </c>
      <c r="C53" s="486" t="s">
        <v>2166</v>
      </c>
      <c r="D53" s="486" t="s">
        <v>2167</v>
      </c>
      <c r="E53" s="486" t="s">
        <v>2168</v>
      </c>
      <c r="F53" s="486" t="s">
        <v>2169</v>
      </c>
      <c r="G53" s="486" t="s">
        <v>2170</v>
      </c>
      <c r="H53" s="486" t="s">
        <v>2171</v>
      </c>
      <c r="I53" s="486" t="s">
        <v>2172</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4.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4.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4.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4.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4.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4.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4.5" thickTop="1">
      <c r="A61" s="474" t="s">
        <v>2136</v>
      </c>
      <c r="B61" s="475" t="s">
        <v>2179</v>
      </c>
      <c r="C61" s="520" t="s">
        <v>2174</v>
      </c>
      <c r="D61" s="520" t="s">
        <v>2175</v>
      </c>
      <c r="E61" s="520" t="s">
        <v>2176</v>
      </c>
      <c r="F61" s="520" t="s">
        <v>2177</v>
      </c>
      <c r="G61" s="520" t="s">
        <v>2178</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8.5" thickTop="1">
      <c r="A63" s="481"/>
      <c r="B63" s="485" t="s">
        <v>2317</v>
      </c>
      <c r="C63" s="525" t="s">
        <v>2174</v>
      </c>
      <c r="D63" s="525" t="s">
        <v>2175</v>
      </c>
      <c r="E63" s="525" t="s">
        <v>2176</v>
      </c>
      <c r="F63" s="525" t="s">
        <v>2177</v>
      </c>
      <c r="G63" s="525" t="s">
        <v>2178</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4.5" thickTop="1">
      <c r="A65" s="481"/>
      <c r="B65" s="493" t="s">
        <v>2266</v>
      </c>
      <c r="C65" s="606" t="s">
        <v>2252</v>
      </c>
      <c r="D65" s="606" t="s">
        <v>2253</v>
      </c>
      <c r="E65" s="606" t="s">
        <v>2254</v>
      </c>
      <c r="F65" s="606" t="s">
        <v>2255</v>
      </c>
      <c r="G65" s="606" t="s">
        <v>2256</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4.5" thickTop="1">
      <c r="A67" s="481"/>
      <c r="B67" s="485" t="s">
        <v>2186</v>
      </c>
      <c r="C67" s="525" t="s">
        <v>2174</v>
      </c>
      <c r="D67" s="525" t="s">
        <v>2175</v>
      </c>
      <c r="E67" s="525" t="s">
        <v>2176</v>
      </c>
      <c r="F67" s="525" t="s">
        <v>2177</v>
      </c>
      <c r="G67" s="525" t="s">
        <v>2178</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4.5" thickTop="1">
      <c r="A69" s="481"/>
      <c r="B69" s="485" t="s">
        <v>2306</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4.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4.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4.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4.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4.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4.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4.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4.5" thickTop="1">
      <c r="A77" s="474" t="s">
        <v>2140</v>
      </c>
      <c r="B77" s="475" t="s">
        <v>2193</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4.5" thickTop="1">
      <c r="A79" s="481"/>
      <c r="B79" s="485" t="s">
        <v>2309</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4.5" thickTop="1">
      <c r="A82" s="546"/>
      <c r="B82" s="493" t="s">
        <v>2310</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4.5" thickTop="1">
      <c r="A84" s="546"/>
      <c r="B84" s="485" t="s">
        <v>2318</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4.5" thickTop="1">
      <c r="A86" s="546"/>
      <c r="B86" s="493" t="s">
        <v>2319</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4.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4.5" thickTop="1">
      <c r="A89" s="540"/>
      <c r="B89" s="485" t="s">
        <v>2320</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4.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4.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4.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4.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4.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4.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4.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4.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348" customFormat="1" ht="28.5" customHeight="1">
      <c r="A1" s="344" t="s">
        <v>2321</v>
      </c>
      <c r="B1" s="345"/>
      <c r="C1" s="346" t="s">
        <v>2371</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1904</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ROUND(IF(D3="",B2*10000/'数据-汇总表'!E3,B2*10000/D3),0)</f>
        <v>#DIV/0!</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605" t="s">
        <v>2223</v>
      </c>
      <c r="D4" s="3606"/>
      <c r="E4" s="3607" t="s">
        <v>2224</v>
      </c>
      <c r="F4" s="3608"/>
      <c r="G4" s="3605" t="s">
        <v>2225</v>
      </c>
      <c r="H4" s="3606"/>
      <c r="I4" s="3605" t="s">
        <v>2226</v>
      </c>
      <c r="J4" s="3606"/>
      <c r="K4" s="557" t="s">
        <v>2227</v>
      </c>
      <c r="L4" s="2866"/>
      <c r="M4" s="2867"/>
      <c r="N4" s="2867"/>
      <c r="O4" s="2867"/>
      <c r="P4" s="3609" t="s">
        <v>2228</v>
      </c>
      <c r="Q4" s="3610"/>
      <c r="R4" s="3592" t="s">
        <v>2224</v>
      </c>
      <c r="S4" s="3593"/>
      <c r="T4" s="3592" t="s">
        <v>2225</v>
      </c>
      <c r="U4" s="3593"/>
      <c r="V4" s="3617" t="s">
        <v>2226</v>
      </c>
      <c r="W4" s="3617"/>
      <c r="X4" s="1468"/>
      <c r="Y4" s="3592" t="s">
        <v>2228</v>
      </c>
      <c r="Z4" s="3593"/>
      <c r="AA4" s="3587" t="s">
        <v>2224</v>
      </c>
      <c r="AB4" s="3588" t="s">
        <v>2225</v>
      </c>
      <c r="AC4" s="3587" t="s">
        <v>2226</v>
      </c>
    </row>
    <row r="5" spans="1:29">
      <c r="A5" s="354"/>
      <c r="B5" s="355"/>
      <c r="C5" s="3598" t="s">
        <v>2119</v>
      </c>
      <c r="D5" s="3599"/>
      <c r="E5" s="3596" t="s">
        <v>2120</v>
      </c>
      <c r="F5" s="3597"/>
      <c r="G5" s="3598" t="s">
        <v>2121</v>
      </c>
      <c r="H5" s="3599"/>
      <c r="I5" s="3598" t="s">
        <v>2122</v>
      </c>
      <c r="J5" s="3599"/>
      <c r="K5" s="557"/>
      <c r="L5" s="2866"/>
      <c r="M5" s="2867"/>
      <c r="N5" s="2867"/>
      <c r="O5" s="2867"/>
      <c r="P5" s="3611"/>
      <c r="Q5" s="3612"/>
      <c r="R5" s="3594"/>
      <c r="S5" s="3595"/>
      <c r="T5" s="3594"/>
      <c r="U5" s="3595"/>
      <c r="V5" s="3617"/>
      <c r="W5" s="3617"/>
      <c r="X5" s="1468"/>
      <c r="Y5" s="3594"/>
      <c r="Z5" s="3595"/>
      <c r="AA5" s="3588"/>
      <c r="AB5" s="3588"/>
      <c r="AC5" s="3588"/>
    </row>
    <row r="6" spans="1:29" ht="15" thickBot="1">
      <c r="A6" s="356"/>
      <c r="B6" s="357"/>
      <c r="C6" s="3685" t="s">
        <v>2372</v>
      </c>
      <c r="D6" s="3686"/>
      <c r="E6" s="3687" t="s">
        <v>2372</v>
      </c>
      <c r="F6" s="3688"/>
      <c r="G6" s="3685" t="s">
        <v>2372</v>
      </c>
      <c r="H6" s="3686"/>
      <c r="I6" s="3685" t="s">
        <v>2372</v>
      </c>
      <c r="J6" s="3686"/>
      <c r="K6" s="557" t="s">
        <v>2124</v>
      </c>
      <c r="L6" s="2866"/>
      <c r="M6" s="2867"/>
      <c r="N6" s="2867"/>
      <c r="O6" s="2867"/>
      <c r="P6" s="3613"/>
      <c r="Q6" s="3614"/>
      <c r="R6" s="3594"/>
      <c r="S6" s="3595"/>
      <c r="T6" s="3615"/>
      <c r="U6" s="3616"/>
      <c r="V6" s="3617"/>
      <c r="W6" s="3617"/>
      <c r="X6" s="1468"/>
      <c r="Y6" s="3615"/>
      <c r="Z6" s="3616"/>
      <c r="AA6" s="3589"/>
      <c r="AB6" s="3589"/>
      <c r="AC6" s="3589"/>
    </row>
    <row r="7" spans="1:29" s="110" customFormat="1" ht="14.5" thickBot="1">
      <c r="A7" s="358" t="s">
        <v>2125</v>
      </c>
      <c r="B7" s="359"/>
      <c r="C7" s="360">
        <f>'数据-取费表'!B2</f>
        <v>44693</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590" t="s">
        <v>2126</v>
      </c>
      <c r="Q7" s="3618"/>
      <c r="R7" s="696" t="s">
        <v>17</v>
      </c>
      <c r="S7" s="697">
        <f t="shared" ref="S7:S15" si="0">F7</f>
        <v>0</v>
      </c>
      <c r="T7" s="696" t="s">
        <v>17</v>
      </c>
      <c r="U7" s="697">
        <f t="shared" ref="U7:U15" si="1">H7</f>
        <v>0</v>
      </c>
      <c r="V7" s="696" t="s">
        <v>17</v>
      </c>
      <c r="W7" s="697">
        <f t="shared" ref="W7:W15" si="2">J7</f>
        <v>0</v>
      </c>
      <c r="X7" s="698"/>
      <c r="Y7" s="3590" t="s">
        <v>2126</v>
      </c>
      <c r="Z7" s="3591"/>
      <c r="AA7" s="699" t="e">
        <f>D7/F7</f>
        <v>#DIV/0!</v>
      </c>
      <c r="AB7" s="699" t="e">
        <f>D7/H7</f>
        <v>#DIV/0!</v>
      </c>
      <c r="AC7" s="699" t="e">
        <f>D7/J7</f>
        <v>#DIV/0!</v>
      </c>
    </row>
    <row r="8" spans="1:29" s="110" customFormat="1" ht="14.5" thickBot="1">
      <c r="A8" s="358" t="s">
        <v>2127</v>
      </c>
      <c r="B8" s="359"/>
      <c r="C8" s="364" t="s">
        <v>2128</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590" t="s">
        <v>2129</v>
      </c>
      <c r="Q8" s="3591"/>
      <c r="R8" s="696" t="s">
        <v>17</v>
      </c>
      <c r="S8" s="697">
        <f t="shared" si="0"/>
        <v>0</v>
      </c>
      <c r="T8" s="696" t="s">
        <v>17</v>
      </c>
      <c r="U8" s="697">
        <f t="shared" si="1"/>
        <v>0</v>
      </c>
      <c r="V8" s="696" t="s">
        <v>17</v>
      </c>
      <c r="W8" s="697">
        <f t="shared" si="2"/>
        <v>0</v>
      </c>
      <c r="X8" s="698"/>
      <c r="Y8" s="3590" t="s">
        <v>2129</v>
      </c>
      <c r="Z8" s="3591"/>
      <c r="AA8" s="699" t="e">
        <f t="shared" ref="AA8:AA40" si="3">D8/F8</f>
        <v>#DIV/0!</v>
      </c>
      <c r="AB8" s="699" t="e">
        <f t="shared" ref="AB8:AB40" si="4">D8/H8</f>
        <v>#DIV/0!</v>
      </c>
      <c r="AC8" s="699" t="e">
        <f t="shared" ref="AC8:AC40" si="5">D8/J8</f>
        <v>#DIV/0!</v>
      </c>
    </row>
    <row r="9" spans="1:29" s="110" customFormat="1">
      <c r="A9" s="365" t="s">
        <v>2130</v>
      </c>
      <c r="B9" s="67" t="s">
        <v>2131</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604" t="s">
        <v>2132</v>
      </c>
      <c r="Q9" s="1456" t="str">
        <f t="shared" ref="Q9:Q15" si="6">B9</f>
        <v>用途</v>
      </c>
      <c r="R9" s="696" t="s">
        <v>17</v>
      </c>
      <c r="S9" s="697">
        <f t="shared" si="0"/>
        <v>100</v>
      </c>
      <c r="T9" s="696" t="s">
        <v>17</v>
      </c>
      <c r="U9" s="697">
        <f t="shared" si="1"/>
        <v>100</v>
      </c>
      <c r="V9" s="696" t="s">
        <v>17</v>
      </c>
      <c r="W9" s="697">
        <f t="shared" si="2"/>
        <v>100</v>
      </c>
      <c r="X9" s="698"/>
      <c r="Y9" s="3563" t="s">
        <v>2133</v>
      </c>
      <c r="Z9" s="55" t="str">
        <f t="shared" ref="Z9:Z15" si="7">Q9</f>
        <v>用途</v>
      </c>
      <c r="AA9" s="699">
        <f t="shared" si="3"/>
        <v>1</v>
      </c>
      <c r="AB9" s="699">
        <f t="shared" si="4"/>
        <v>1</v>
      </c>
      <c r="AC9" s="699">
        <f t="shared" si="5"/>
        <v>1</v>
      </c>
    </row>
    <row r="10" spans="1:29" s="376" customFormat="1" ht="28">
      <c r="A10" s="370"/>
      <c r="B10" s="371" t="s">
        <v>2134</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604"/>
      <c r="Q10" s="1456" t="str">
        <f t="shared" si="6"/>
        <v>土地使用年限（年）</v>
      </c>
      <c r="R10" s="696" t="s">
        <v>17</v>
      </c>
      <c r="S10" s="697">
        <f t="shared" si="0"/>
        <v>105</v>
      </c>
      <c r="T10" s="696" t="s">
        <v>17</v>
      </c>
      <c r="U10" s="697">
        <f t="shared" si="1"/>
        <v>105</v>
      </c>
      <c r="V10" s="696" t="s">
        <v>17</v>
      </c>
      <c r="W10" s="697">
        <f t="shared" si="2"/>
        <v>105</v>
      </c>
      <c r="X10" s="698"/>
      <c r="Y10" s="3563"/>
      <c r="Z10" s="55" t="str">
        <f t="shared" si="7"/>
        <v>土地使用年限（年）</v>
      </c>
      <c r="AA10" s="699">
        <f t="shared" si="3"/>
        <v>0.95238095238095233</v>
      </c>
      <c r="AB10" s="699">
        <f t="shared" si="4"/>
        <v>0.95238095238095233</v>
      </c>
      <c r="AC10" s="699">
        <f t="shared" si="5"/>
        <v>0.95238095238095233</v>
      </c>
    </row>
    <row r="11" spans="1:29" ht="15.5">
      <c r="A11" s="377"/>
      <c r="B11" s="371" t="s">
        <v>2135</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604"/>
      <c r="Q11" s="1456" t="str">
        <f t="shared" si="6"/>
        <v>容积率</v>
      </c>
      <c r="R11" s="696" t="s">
        <v>17</v>
      </c>
      <c r="S11" s="697" t="e">
        <f t="shared" si="0"/>
        <v>#N/A</v>
      </c>
      <c r="T11" s="696" t="s">
        <v>17</v>
      </c>
      <c r="U11" s="697" t="e">
        <f t="shared" si="1"/>
        <v>#N/A</v>
      </c>
      <c r="V11" s="696" t="s">
        <v>17</v>
      </c>
      <c r="W11" s="697" t="e">
        <f t="shared" si="2"/>
        <v>#N/A</v>
      </c>
      <c r="X11" s="698"/>
      <c r="Y11" s="3563"/>
      <c r="Z11" s="55" t="str">
        <f t="shared" si="7"/>
        <v>容积率</v>
      </c>
      <c r="AA11" s="699" t="e">
        <f t="shared" si="3"/>
        <v>#N/A</v>
      </c>
      <c r="AB11" s="699" t="e">
        <f t="shared" si="4"/>
        <v>#N/A</v>
      </c>
      <c r="AC11" s="699" t="e">
        <f t="shared" si="5"/>
        <v>#N/A</v>
      </c>
    </row>
    <row r="12" spans="1:29" s="110" customFormat="1" ht="15.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604"/>
      <c r="Q12" s="1456">
        <f t="shared" si="6"/>
        <v>111</v>
      </c>
      <c r="R12" s="696" t="s">
        <v>17</v>
      </c>
      <c r="S12" s="697">
        <f t="shared" si="0"/>
        <v>100</v>
      </c>
      <c r="T12" s="696" t="s">
        <v>17</v>
      </c>
      <c r="U12" s="697">
        <f t="shared" si="1"/>
        <v>100</v>
      </c>
      <c r="V12" s="696" t="s">
        <v>17</v>
      </c>
      <c r="W12" s="697">
        <f t="shared" si="2"/>
        <v>100</v>
      </c>
      <c r="X12" s="698"/>
      <c r="Y12" s="3563"/>
      <c r="Z12" s="55">
        <f t="shared" si="7"/>
        <v>111</v>
      </c>
      <c r="AA12" s="699">
        <f>D12/F12</f>
        <v>1</v>
      </c>
      <c r="AB12" s="699">
        <f>D12/H12</f>
        <v>1</v>
      </c>
      <c r="AC12" s="699">
        <f>D12/J12</f>
        <v>1</v>
      </c>
    </row>
    <row r="13" spans="1:29" ht="15.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604"/>
      <c r="Q13" s="1456">
        <f t="shared" si="6"/>
        <v>111</v>
      </c>
      <c r="R13" s="696" t="s">
        <v>17</v>
      </c>
      <c r="S13" s="697">
        <f t="shared" si="0"/>
        <v>100</v>
      </c>
      <c r="T13" s="696" t="s">
        <v>17</v>
      </c>
      <c r="U13" s="697">
        <f t="shared" si="1"/>
        <v>100</v>
      </c>
      <c r="V13" s="696" t="s">
        <v>17</v>
      </c>
      <c r="W13" s="697">
        <f t="shared" si="2"/>
        <v>100</v>
      </c>
      <c r="X13" s="698"/>
      <c r="Y13" s="3563"/>
      <c r="Z13" s="55">
        <f t="shared" si="7"/>
        <v>111</v>
      </c>
      <c r="AA13" s="699">
        <f t="shared" si="3"/>
        <v>1</v>
      </c>
      <c r="AB13" s="699">
        <f t="shared" si="4"/>
        <v>1</v>
      </c>
      <c r="AC13" s="699">
        <f t="shared" si="5"/>
        <v>1</v>
      </c>
    </row>
    <row r="14" spans="1:29" ht="16"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604"/>
      <c r="Q14" s="1456">
        <f t="shared" si="6"/>
        <v>111</v>
      </c>
      <c r="R14" s="696" t="s">
        <v>17</v>
      </c>
      <c r="S14" s="697">
        <f t="shared" si="0"/>
        <v>100</v>
      </c>
      <c r="T14" s="696" t="s">
        <v>17</v>
      </c>
      <c r="U14" s="697">
        <f t="shared" si="1"/>
        <v>100</v>
      </c>
      <c r="V14" s="696" t="s">
        <v>17</v>
      </c>
      <c r="W14" s="697">
        <f t="shared" si="2"/>
        <v>100</v>
      </c>
      <c r="X14" s="698"/>
      <c r="Y14" s="3563"/>
      <c r="Z14" s="55">
        <f t="shared" si="7"/>
        <v>111</v>
      </c>
      <c r="AA14" s="699">
        <f t="shared" si="3"/>
        <v>1</v>
      </c>
      <c r="AB14" s="699">
        <f t="shared" si="4"/>
        <v>1</v>
      </c>
      <c r="AC14" s="699">
        <f t="shared" si="5"/>
        <v>1</v>
      </c>
    </row>
    <row r="15" spans="1:29" ht="70">
      <c r="A15" s="389" t="s">
        <v>2136</v>
      </c>
      <c r="B15" s="575" t="s">
        <v>2373</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619" t="s">
        <v>2137</v>
      </c>
      <c r="Q15" s="1465" t="str">
        <f t="shared" si="6"/>
        <v>产业集聚程度</v>
      </c>
      <c r="R15" s="700" t="s">
        <v>17</v>
      </c>
      <c r="S15" s="701">
        <f t="shared" si="0"/>
        <v>100</v>
      </c>
      <c r="T15" s="700" t="s">
        <v>17</v>
      </c>
      <c r="U15" s="701">
        <f t="shared" si="1"/>
        <v>100</v>
      </c>
      <c r="V15" s="700" t="s">
        <v>17</v>
      </c>
      <c r="W15" s="701">
        <f t="shared" si="2"/>
        <v>100</v>
      </c>
      <c r="X15" s="1468"/>
      <c r="Y15" s="3619" t="s">
        <v>2137</v>
      </c>
      <c r="Z15" s="1469" t="str">
        <f t="shared" si="7"/>
        <v>产业集聚程度</v>
      </c>
      <c r="AA15" s="1466">
        <f t="shared" si="3"/>
        <v>1</v>
      </c>
      <c r="AB15" s="1466">
        <f t="shared" si="4"/>
        <v>1</v>
      </c>
      <c r="AC15" s="1466">
        <f t="shared" si="5"/>
        <v>1</v>
      </c>
    </row>
    <row r="16" spans="1:29" ht="15.5">
      <c r="A16" s="377"/>
      <c r="B16" s="576"/>
      <c r="C16" s="396"/>
      <c r="D16" s="397"/>
      <c r="E16" s="2018"/>
      <c r="F16" s="397"/>
      <c r="G16" s="2018"/>
      <c r="H16" s="399"/>
      <c r="I16" s="2018"/>
      <c r="J16" s="397"/>
      <c r="K16" s="618"/>
      <c r="L16" s="2873"/>
      <c r="M16" s="2867"/>
      <c r="N16" s="2867"/>
      <c r="O16" s="2925"/>
      <c r="P16" s="3620"/>
      <c r="Q16" s="1465"/>
      <c r="R16" s="700"/>
      <c r="S16" s="701"/>
      <c r="T16" s="700"/>
      <c r="U16" s="701"/>
      <c r="V16" s="700"/>
      <c r="W16" s="701"/>
      <c r="X16" s="1468"/>
      <c r="Y16" s="3620"/>
      <c r="Z16" s="1469"/>
      <c r="AA16" s="1466">
        <v>1</v>
      </c>
      <c r="AB16" s="1466">
        <v>1</v>
      </c>
      <c r="AC16" s="1466">
        <v>1</v>
      </c>
    </row>
    <row r="17" spans="1:29" ht="98">
      <c r="A17" s="377"/>
      <c r="B17" s="577" t="s">
        <v>2286</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620"/>
      <c r="Q17" s="1465" t="str">
        <f>B17</f>
        <v>交通便捷度</v>
      </c>
      <c r="R17" s="700" t="s">
        <v>17</v>
      </c>
      <c r="S17" s="701">
        <f>F17</f>
        <v>100</v>
      </c>
      <c r="T17" s="700" t="s">
        <v>17</v>
      </c>
      <c r="U17" s="701">
        <f>H17</f>
        <v>100</v>
      </c>
      <c r="V17" s="700" t="s">
        <v>17</v>
      </c>
      <c r="W17" s="701">
        <f>J17</f>
        <v>100</v>
      </c>
      <c r="X17" s="1468"/>
      <c r="Y17" s="3620"/>
      <c r="Z17" s="1469" t="str">
        <f>Q17</f>
        <v>交通便捷度</v>
      </c>
      <c r="AA17" s="1466">
        <f t="shared" si="3"/>
        <v>1</v>
      </c>
      <c r="AB17" s="1466">
        <f t="shared" si="4"/>
        <v>1</v>
      </c>
      <c r="AC17" s="1466">
        <f t="shared" si="5"/>
        <v>1</v>
      </c>
    </row>
    <row r="18" spans="1:29" ht="15.5">
      <c r="A18" s="377"/>
      <c r="B18" s="578"/>
      <c r="C18" s="396"/>
      <c r="D18" s="397"/>
      <c r="E18" s="2012"/>
      <c r="F18" s="397"/>
      <c r="G18" s="2012"/>
      <c r="H18" s="397"/>
      <c r="I18" s="2011"/>
      <c r="J18" s="397"/>
      <c r="K18" s="618"/>
      <c r="L18" s="2873"/>
      <c r="M18" s="2867"/>
      <c r="N18" s="2867"/>
      <c r="O18" s="2925"/>
      <c r="P18" s="3620"/>
      <c r="Q18" s="1465"/>
      <c r="R18" s="700"/>
      <c r="S18" s="701"/>
      <c r="T18" s="700"/>
      <c r="U18" s="701"/>
      <c r="V18" s="700"/>
      <c r="W18" s="701"/>
      <c r="X18" s="1468"/>
      <c r="Y18" s="3620"/>
      <c r="Z18" s="1469"/>
      <c r="AA18" s="1466">
        <v>1</v>
      </c>
      <c r="AB18" s="1466">
        <v>1</v>
      </c>
      <c r="AC18" s="1466">
        <v>1</v>
      </c>
    </row>
    <row r="19" spans="1:29" ht="28">
      <c r="A19" s="377"/>
      <c r="B19" s="577" t="s">
        <v>2324</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620"/>
      <c r="Q19" s="1465" t="str">
        <f t="shared" ref="Q19:Q33" si="8">B19</f>
        <v>区域土地利用方向</v>
      </c>
      <c r="R19" s="700" t="s">
        <v>17</v>
      </c>
      <c r="S19" s="701">
        <f>F19</f>
        <v>100</v>
      </c>
      <c r="T19" s="700" t="s">
        <v>17</v>
      </c>
      <c r="U19" s="701">
        <f>H19</f>
        <v>100</v>
      </c>
      <c r="V19" s="700" t="s">
        <v>17</v>
      </c>
      <c r="W19" s="701">
        <f>J19</f>
        <v>100</v>
      </c>
      <c r="X19" s="1468"/>
      <c r="Y19" s="3620"/>
      <c r="Z19" s="1469" t="str">
        <f>Q19</f>
        <v>区域土地利用方向</v>
      </c>
      <c r="AA19" s="1466">
        <f t="shared" si="3"/>
        <v>1</v>
      </c>
      <c r="AB19" s="1466">
        <f t="shared" si="4"/>
        <v>1</v>
      </c>
      <c r="AC19" s="1466">
        <f t="shared" si="5"/>
        <v>1</v>
      </c>
    </row>
    <row r="20" spans="1:29" ht="15.5">
      <c r="A20" s="354"/>
      <c r="B20" s="578"/>
      <c r="C20" s="396"/>
      <c r="D20" s="397"/>
      <c r="E20" s="2012"/>
      <c r="F20" s="397"/>
      <c r="G20" s="2012"/>
      <c r="H20" s="397"/>
      <c r="I20" s="2012"/>
      <c r="J20" s="397"/>
      <c r="K20" s="731"/>
      <c r="L20" s="2873"/>
      <c r="M20" s="2867"/>
      <c r="N20" s="2867"/>
      <c r="O20" s="2925"/>
      <c r="P20" s="3620"/>
      <c r="Q20" s="1465"/>
      <c r="R20" s="700"/>
      <c r="S20" s="701"/>
      <c r="T20" s="700"/>
      <c r="U20" s="701"/>
      <c r="V20" s="700"/>
      <c r="W20" s="701"/>
      <c r="X20" s="1468"/>
      <c r="Y20" s="3620"/>
      <c r="Z20" s="1469"/>
      <c r="AA20" s="1466"/>
      <c r="AB20" s="1466"/>
      <c r="AC20" s="1466"/>
    </row>
    <row r="21" spans="1:29" ht="84">
      <c r="A21" s="354"/>
      <c r="B21" s="577" t="s">
        <v>2374</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620"/>
      <c r="Q21" s="1465" t="str">
        <f t="shared" si="8"/>
        <v>环境状况</v>
      </c>
      <c r="R21" s="700" t="s">
        <v>17</v>
      </c>
      <c r="S21" s="701">
        <f>F21</f>
        <v>100</v>
      </c>
      <c r="T21" s="700" t="s">
        <v>17</v>
      </c>
      <c r="U21" s="701">
        <f>H21</f>
        <v>100</v>
      </c>
      <c r="V21" s="700" t="s">
        <v>17</v>
      </c>
      <c r="W21" s="701">
        <f>J21</f>
        <v>100</v>
      </c>
      <c r="X21" s="1468"/>
      <c r="Y21" s="3620"/>
      <c r="Z21" s="1469" t="str">
        <f>Q21</f>
        <v>环境状况</v>
      </c>
      <c r="AA21" s="1466">
        <f t="shared" si="3"/>
        <v>1</v>
      </c>
      <c r="AB21" s="1466">
        <f t="shared" si="4"/>
        <v>1</v>
      </c>
      <c r="AC21" s="1466">
        <f t="shared" si="5"/>
        <v>1</v>
      </c>
    </row>
    <row r="22" spans="1:29" ht="15.5">
      <c r="A22" s="354"/>
      <c r="B22" s="578"/>
      <c r="C22" s="396"/>
      <c r="D22" s="397"/>
      <c r="E22" s="2018"/>
      <c r="F22" s="397"/>
      <c r="G22" s="2018"/>
      <c r="H22" s="397"/>
      <c r="I22" s="396"/>
      <c r="J22" s="397"/>
      <c r="K22" s="618"/>
      <c r="L22" s="2873"/>
      <c r="M22" s="2867"/>
      <c r="N22" s="2867"/>
      <c r="O22" s="2925"/>
      <c r="P22" s="3620"/>
      <c r="Q22" s="1465"/>
      <c r="R22" s="700"/>
      <c r="S22" s="701"/>
      <c r="T22" s="700"/>
      <c r="U22" s="701"/>
      <c r="V22" s="700"/>
      <c r="W22" s="701"/>
      <c r="X22" s="1468"/>
      <c r="Y22" s="3620"/>
      <c r="Z22" s="1469"/>
      <c r="AA22" s="1466">
        <v>1</v>
      </c>
      <c r="AB22" s="1466">
        <v>1</v>
      </c>
      <c r="AC22" s="1466">
        <v>1</v>
      </c>
    </row>
    <row r="23" spans="1:29" s="110" customFormat="1" ht="42">
      <c r="A23" s="595"/>
      <c r="B23" s="579" t="s">
        <v>2231</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620"/>
      <c r="Q23" s="1456" t="str">
        <f t="shared" si="8"/>
        <v>公共配套设施</v>
      </c>
      <c r="R23" s="696" t="s">
        <v>17</v>
      </c>
      <c r="S23" s="697">
        <f>F23</f>
        <v>100</v>
      </c>
      <c r="T23" s="696" t="s">
        <v>17</v>
      </c>
      <c r="U23" s="697">
        <f>H23</f>
        <v>100</v>
      </c>
      <c r="V23" s="696" t="s">
        <v>17</v>
      </c>
      <c r="W23" s="697">
        <f>J23</f>
        <v>100</v>
      </c>
      <c r="X23" s="698"/>
      <c r="Y23" s="3620"/>
      <c r="Z23" s="55" t="str">
        <f>Q23</f>
        <v>公共配套设施</v>
      </c>
      <c r="AA23" s="1466">
        <f>D23/F23</f>
        <v>1</v>
      </c>
      <c r="AB23" s="1466">
        <f>D23/H23</f>
        <v>1</v>
      </c>
      <c r="AC23" s="1466">
        <f>D23/J23</f>
        <v>1</v>
      </c>
    </row>
    <row r="24" spans="1:29" s="110" customFormat="1" ht="15.5">
      <c r="A24" s="595"/>
      <c r="B24" s="578"/>
      <c r="C24" s="2092"/>
      <c r="D24" s="397"/>
      <c r="E24" s="2018"/>
      <c r="F24" s="397"/>
      <c r="G24" s="2018"/>
      <c r="H24" s="397"/>
      <c r="I24" s="396"/>
      <c r="J24" s="397"/>
      <c r="K24" s="618"/>
      <c r="L24" s="2868"/>
      <c r="M24" s="2869"/>
      <c r="N24" s="2869"/>
      <c r="O24" s="2923"/>
      <c r="P24" s="3620"/>
      <c r="Q24" s="1456"/>
      <c r="R24" s="696"/>
      <c r="S24" s="697"/>
      <c r="T24" s="696"/>
      <c r="U24" s="697"/>
      <c r="V24" s="696"/>
      <c r="W24" s="697"/>
      <c r="X24" s="698"/>
      <c r="Y24" s="3620"/>
      <c r="Z24" s="55"/>
      <c r="AA24" s="699">
        <v>1</v>
      </c>
      <c r="AB24" s="699">
        <v>1</v>
      </c>
      <c r="AC24" s="699">
        <v>1</v>
      </c>
    </row>
    <row r="25" spans="1:29" s="110" customFormat="1" ht="42">
      <c r="A25" s="595"/>
      <c r="B25" s="579" t="s">
        <v>2232</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620"/>
      <c r="Q25" s="1456" t="str">
        <f t="shared" ref="Q25" si="9">B25</f>
        <v>基础设施水平</v>
      </c>
      <c r="R25" s="696" t="s">
        <v>17</v>
      </c>
      <c r="S25" s="697">
        <f>F25</f>
        <v>100</v>
      </c>
      <c r="T25" s="696" t="s">
        <v>17</v>
      </c>
      <c r="U25" s="697">
        <f>H25</f>
        <v>100</v>
      </c>
      <c r="V25" s="696" t="s">
        <v>17</v>
      </c>
      <c r="W25" s="697">
        <f>J25</f>
        <v>100</v>
      </c>
      <c r="X25" s="698"/>
      <c r="Y25" s="3620"/>
      <c r="Z25" s="55" t="str">
        <f>Q25</f>
        <v>基础设施水平</v>
      </c>
      <c r="AA25" s="1466">
        <f>D25/F25</f>
        <v>1</v>
      </c>
      <c r="AB25" s="1466">
        <f>D25/H25</f>
        <v>1</v>
      </c>
      <c r="AC25" s="1466">
        <f>D25/J25</f>
        <v>1</v>
      </c>
    </row>
    <row r="26" spans="1:29" s="110" customFormat="1" ht="15.5">
      <c r="A26" s="595"/>
      <c r="B26" s="578"/>
      <c r="C26" s="2092"/>
      <c r="D26" s="397"/>
      <c r="E26" s="2093"/>
      <c r="F26" s="397"/>
      <c r="G26" s="2093"/>
      <c r="H26" s="397"/>
      <c r="I26" s="2093"/>
      <c r="J26" s="397"/>
      <c r="K26" s="618"/>
      <c r="L26" s="2868"/>
      <c r="M26" s="2869"/>
      <c r="N26" s="2869"/>
      <c r="O26" s="2923"/>
      <c r="P26" s="3620"/>
      <c r="Q26" s="1456"/>
      <c r="R26" s="696"/>
      <c r="S26" s="697"/>
      <c r="T26" s="696"/>
      <c r="U26" s="697"/>
      <c r="V26" s="696"/>
      <c r="W26" s="697"/>
      <c r="X26" s="698"/>
      <c r="Y26" s="3620"/>
      <c r="Z26" s="55"/>
      <c r="AA26" s="699">
        <v>1</v>
      </c>
      <c r="AB26" s="699">
        <v>1</v>
      </c>
      <c r="AC26" s="699">
        <v>1</v>
      </c>
    </row>
    <row r="27" spans="1:29" ht="15.5">
      <c r="A27" s="377"/>
      <c r="B27" s="578" t="s">
        <v>2233</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620"/>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620"/>
      <c r="Z27" s="1469" t="str">
        <f t="shared" ref="Z27:Z40" si="13">Q27</f>
        <v>临街状况</v>
      </c>
      <c r="AA27" s="1466">
        <f t="shared" si="3"/>
        <v>1</v>
      </c>
      <c r="AB27" s="1466">
        <f t="shared" si="4"/>
        <v>1</v>
      </c>
      <c r="AC27" s="1466">
        <f t="shared" si="5"/>
        <v>1</v>
      </c>
    </row>
    <row r="28" spans="1:29" ht="28">
      <c r="A28" s="377"/>
      <c r="B28" s="579" t="s">
        <v>2268</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620"/>
      <c r="Q28" s="1465" t="str">
        <f t="shared" si="8"/>
        <v>毗邻道路的类型与等级</v>
      </c>
      <c r="R28" s="700" t="s">
        <v>17</v>
      </c>
      <c r="S28" s="701">
        <f t="shared" si="10"/>
        <v>100</v>
      </c>
      <c r="T28" s="700" t="s">
        <v>17</v>
      </c>
      <c r="U28" s="701">
        <f t="shared" si="11"/>
        <v>100</v>
      </c>
      <c r="V28" s="700" t="s">
        <v>17</v>
      </c>
      <c r="W28" s="701">
        <f t="shared" si="12"/>
        <v>100</v>
      </c>
      <c r="X28" s="1468"/>
      <c r="Y28" s="3620"/>
      <c r="Z28" s="1469" t="str">
        <f t="shared" si="13"/>
        <v>毗邻道路的类型与等级</v>
      </c>
      <c r="AA28" s="1466">
        <f t="shared" si="3"/>
        <v>1</v>
      </c>
      <c r="AB28" s="1466">
        <f t="shared" si="4"/>
        <v>1</v>
      </c>
      <c r="AC28" s="1466">
        <f t="shared" si="5"/>
        <v>1</v>
      </c>
    </row>
    <row r="29" spans="1:29" ht="15.5">
      <c r="A29" s="377"/>
      <c r="B29" s="578"/>
      <c r="C29" s="396"/>
      <c r="D29" s="397"/>
      <c r="E29" s="2018"/>
      <c r="F29" s="397"/>
      <c r="G29" s="2018"/>
      <c r="H29" s="397"/>
      <c r="I29" s="2018"/>
      <c r="J29" s="397"/>
      <c r="K29" s="560"/>
      <c r="L29" s="2873"/>
      <c r="M29" s="2867"/>
      <c r="N29" s="2867"/>
      <c r="O29" s="2925"/>
      <c r="P29" s="3620"/>
      <c r="Q29" s="1465"/>
      <c r="R29" s="700"/>
      <c r="S29" s="701"/>
      <c r="T29" s="700"/>
      <c r="U29" s="701"/>
      <c r="V29" s="700"/>
      <c r="W29" s="701"/>
      <c r="X29" s="1468"/>
      <c r="Y29" s="3620"/>
      <c r="Z29" s="1469"/>
      <c r="AA29" s="1466">
        <v>1</v>
      </c>
      <c r="AB29" s="1466">
        <v>1</v>
      </c>
      <c r="AC29" s="1466">
        <v>1</v>
      </c>
    </row>
    <row r="30" spans="1:29" ht="15.5">
      <c r="A30" s="377"/>
      <c r="B30" s="600" t="s">
        <v>2326</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620"/>
      <c r="Q30" s="1465" t="str">
        <f t="shared" si="8"/>
        <v>土地级别</v>
      </c>
      <c r="R30" s="700" t="s">
        <v>17</v>
      </c>
      <c r="S30" s="701">
        <f t="shared" si="10"/>
        <v>100</v>
      </c>
      <c r="T30" s="700" t="s">
        <v>17</v>
      </c>
      <c r="U30" s="701">
        <f t="shared" si="11"/>
        <v>100</v>
      </c>
      <c r="V30" s="700" t="s">
        <v>17</v>
      </c>
      <c r="W30" s="701">
        <f t="shared" si="12"/>
        <v>100</v>
      </c>
      <c r="X30" s="1468"/>
      <c r="Y30" s="3620"/>
      <c r="Z30" s="1469" t="str">
        <f t="shared" si="13"/>
        <v>土地级别</v>
      </c>
      <c r="AA30" s="1466">
        <f t="shared" si="3"/>
        <v>1</v>
      </c>
      <c r="AB30" s="1466">
        <f t="shared" si="4"/>
        <v>1</v>
      </c>
      <c r="AC30" s="1466">
        <f t="shared" si="5"/>
        <v>1</v>
      </c>
    </row>
    <row r="31" spans="1:29" ht="15.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620"/>
      <c r="Q31" s="1465">
        <f t="shared" si="8"/>
        <v>111</v>
      </c>
      <c r="R31" s="700" t="s">
        <v>17</v>
      </c>
      <c r="S31" s="701">
        <f t="shared" si="10"/>
        <v>100</v>
      </c>
      <c r="T31" s="700" t="s">
        <v>17</v>
      </c>
      <c r="U31" s="701">
        <f t="shared" si="11"/>
        <v>100</v>
      </c>
      <c r="V31" s="700" t="s">
        <v>17</v>
      </c>
      <c r="W31" s="701">
        <f t="shared" si="12"/>
        <v>100</v>
      </c>
      <c r="X31" s="1468"/>
      <c r="Y31" s="3620"/>
      <c r="Z31" s="1469">
        <f t="shared" si="13"/>
        <v>111</v>
      </c>
      <c r="AA31" s="1466">
        <f t="shared" si="3"/>
        <v>1</v>
      </c>
      <c r="AB31" s="1466">
        <f t="shared" si="4"/>
        <v>1</v>
      </c>
      <c r="AC31" s="1466">
        <f t="shared" si="5"/>
        <v>1</v>
      </c>
    </row>
    <row r="32" spans="1:29" ht="15.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621" t="s">
        <v>2142</v>
      </c>
      <c r="Q32" s="1465">
        <f t="shared" si="8"/>
        <v>111</v>
      </c>
      <c r="R32" s="700" t="s">
        <v>17</v>
      </c>
      <c r="S32" s="701">
        <f t="shared" si="10"/>
        <v>100</v>
      </c>
      <c r="T32" s="700" t="s">
        <v>17</v>
      </c>
      <c r="U32" s="701">
        <f t="shared" si="11"/>
        <v>100</v>
      </c>
      <c r="V32" s="700" t="s">
        <v>17</v>
      </c>
      <c r="W32" s="701">
        <f t="shared" si="12"/>
        <v>100</v>
      </c>
      <c r="X32" s="1468"/>
      <c r="Y32" s="3622" t="s">
        <v>2142</v>
      </c>
      <c r="Z32" s="1469">
        <f t="shared" si="13"/>
        <v>111</v>
      </c>
      <c r="AA32" s="1466">
        <f t="shared" si="3"/>
        <v>1</v>
      </c>
      <c r="AB32" s="1466">
        <f t="shared" si="4"/>
        <v>1</v>
      </c>
      <c r="AC32" s="1466">
        <f t="shared" si="5"/>
        <v>1</v>
      </c>
    </row>
    <row r="33" spans="1:31" s="420" customFormat="1" ht="16"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622"/>
      <c r="Q33" s="1465">
        <f t="shared" si="8"/>
        <v>111</v>
      </c>
      <c r="R33" s="703" t="s">
        <v>17</v>
      </c>
      <c r="S33" s="704">
        <f t="shared" si="10"/>
        <v>100</v>
      </c>
      <c r="T33" s="703" t="s">
        <v>17</v>
      </c>
      <c r="U33" s="704">
        <f t="shared" si="11"/>
        <v>100</v>
      </c>
      <c r="V33" s="703" t="s">
        <v>17</v>
      </c>
      <c r="W33" s="704">
        <f t="shared" si="12"/>
        <v>100</v>
      </c>
      <c r="X33" s="705"/>
      <c r="Y33" s="3622"/>
      <c r="Z33" s="706">
        <f t="shared" si="13"/>
        <v>111</v>
      </c>
      <c r="AA33" s="1466">
        <f t="shared" si="3"/>
        <v>1</v>
      </c>
      <c r="AB33" s="1466">
        <f t="shared" si="4"/>
        <v>1</v>
      </c>
      <c r="AC33" s="1466">
        <f t="shared" si="5"/>
        <v>1</v>
      </c>
    </row>
    <row r="34" spans="1:31" ht="15.5">
      <c r="A34" s="389" t="s">
        <v>2140</v>
      </c>
      <c r="B34" s="405" t="s">
        <v>2327</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622"/>
      <c r="Q34" s="1465" t="str">
        <f>B34</f>
        <v>宗地面积</v>
      </c>
      <c r="R34" s="700" t="s">
        <v>17</v>
      </c>
      <c r="S34" s="701" t="e">
        <f t="shared" si="10"/>
        <v>#N/A</v>
      </c>
      <c r="T34" s="700" t="s">
        <v>17</v>
      </c>
      <c r="U34" s="701" t="e">
        <f t="shared" si="11"/>
        <v>#N/A</v>
      </c>
      <c r="V34" s="700" t="s">
        <v>17</v>
      </c>
      <c r="W34" s="701" t="e">
        <f t="shared" si="12"/>
        <v>#N/A</v>
      </c>
      <c r="X34" s="1468"/>
      <c r="Y34" s="3622"/>
      <c r="Z34" s="1469" t="str">
        <f t="shared" si="13"/>
        <v>宗地面积</v>
      </c>
      <c r="AA34" s="1466" t="e">
        <f t="shared" si="3"/>
        <v>#N/A</v>
      </c>
      <c r="AB34" s="1466" t="e">
        <f t="shared" si="4"/>
        <v>#N/A</v>
      </c>
      <c r="AC34" s="1466" t="e">
        <f t="shared" si="5"/>
        <v>#N/A</v>
      </c>
    </row>
    <row r="35" spans="1:31" ht="15.5">
      <c r="A35" s="421"/>
      <c r="B35" s="371" t="s">
        <v>2328</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622"/>
      <c r="Q35" s="1465" t="str">
        <f t="shared" ref="Q35:Q40" si="14">B35</f>
        <v>宗地形状</v>
      </c>
      <c r="R35" s="700" t="s">
        <v>17</v>
      </c>
      <c r="S35" s="701">
        <f t="shared" si="10"/>
        <v>100</v>
      </c>
      <c r="T35" s="700" t="s">
        <v>17</v>
      </c>
      <c r="U35" s="701">
        <f t="shared" si="11"/>
        <v>100</v>
      </c>
      <c r="V35" s="700" t="s">
        <v>17</v>
      </c>
      <c r="W35" s="701">
        <f t="shared" si="12"/>
        <v>100</v>
      </c>
      <c r="X35" s="1468"/>
      <c r="Y35" s="3622"/>
      <c r="Z35" s="1469" t="str">
        <f t="shared" si="13"/>
        <v>宗地形状</v>
      </c>
      <c r="AA35" s="1466">
        <f t="shared" si="3"/>
        <v>1</v>
      </c>
      <c r="AB35" s="1466">
        <f t="shared" si="4"/>
        <v>1</v>
      </c>
      <c r="AC35" s="1466">
        <f t="shared" si="5"/>
        <v>1</v>
      </c>
    </row>
    <row r="36" spans="1:31" s="110" customFormat="1" ht="15.5">
      <c r="A36" s="422"/>
      <c r="B36" s="371" t="s">
        <v>2330</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622"/>
      <c r="Q36" s="1465" t="str">
        <f t="shared" si="14"/>
        <v>宗地开发程度</v>
      </c>
      <c r="R36" s="696" t="s">
        <v>17</v>
      </c>
      <c r="S36" s="697">
        <f t="shared" si="10"/>
        <v>100</v>
      </c>
      <c r="T36" s="696" t="s">
        <v>17</v>
      </c>
      <c r="U36" s="697">
        <f t="shared" si="11"/>
        <v>100</v>
      </c>
      <c r="V36" s="696" t="s">
        <v>17</v>
      </c>
      <c r="W36" s="697">
        <f t="shared" si="12"/>
        <v>100</v>
      </c>
      <c r="X36" s="698"/>
      <c r="Y36" s="3622"/>
      <c r="Z36" s="55" t="str">
        <f t="shared" si="13"/>
        <v>宗地开发程度</v>
      </c>
      <c r="AA36" s="699">
        <f t="shared" si="3"/>
        <v>1</v>
      </c>
      <c r="AB36" s="699">
        <f t="shared" si="4"/>
        <v>1</v>
      </c>
      <c r="AC36" s="699">
        <f t="shared" si="5"/>
        <v>1</v>
      </c>
    </row>
    <row r="37" spans="1:31" ht="15.5">
      <c r="A37" s="421"/>
      <c r="B37" s="371" t="s">
        <v>2331</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622" t="s">
        <v>2142</v>
      </c>
      <c r="Q37" s="1465" t="str">
        <f t="shared" si="14"/>
        <v>工程地质条件</v>
      </c>
      <c r="R37" s="700" t="s">
        <v>17</v>
      </c>
      <c r="S37" s="701">
        <f t="shared" si="10"/>
        <v>100</v>
      </c>
      <c r="T37" s="700" t="s">
        <v>17</v>
      </c>
      <c r="U37" s="701">
        <f t="shared" si="11"/>
        <v>100</v>
      </c>
      <c r="V37" s="700" t="s">
        <v>17</v>
      </c>
      <c r="W37" s="701">
        <f t="shared" si="12"/>
        <v>100</v>
      </c>
      <c r="X37" s="1468"/>
      <c r="Y37" s="3622" t="s">
        <v>2142</v>
      </c>
      <c r="Z37" s="1469" t="str">
        <f t="shared" si="13"/>
        <v>工程地质条件</v>
      </c>
      <c r="AA37" s="1466">
        <f t="shared" si="3"/>
        <v>1</v>
      </c>
      <c r="AB37" s="1466">
        <f t="shared" si="4"/>
        <v>1</v>
      </c>
      <c r="AC37" s="1466">
        <f t="shared" si="5"/>
        <v>1</v>
      </c>
    </row>
    <row r="38" spans="1:31" ht="15.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622"/>
      <c r="Q38" s="1465">
        <f t="shared" si="14"/>
        <v>111</v>
      </c>
      <c r="R38" s="700" t="s">
        <v>17</v>
      </c>
      <c r="S38" s="701">
        <f t="shared" si="10"/>
        <v>100</v>
      </c>
      <c r="T38" s="700" t="s">
        <v>17</v>
      </c>
      <c r="U38" s="701">
        <f t="shared" si="11"/>
        <v>100</v>
      </c>
      <c r="V38" s="700" t="s">
        <v>17</v>
      </c>
      <c r="W38" s="701">
        <f t="shared" si="12"/>
        <v>100</v>
      </c>
      <c r="X38" s="1468"/>
      <c r="Y38" s="3622"/>
      <c r="Z38" s="1469">
        <f t="shared" si="13"/>
        <v>111</v>
      </c>
      <c r="AA38" s="1466">
        <f t="shared" si="3"/>
        <v>1</v>
      </c>
      <c r="AB38" s="1466">
        <f t="shared" si="4"/>
        <v>1</v>
      </c>
      <c r="AC38" s="1466">
        <f t="shared" si="5"/>
        <v>1</v>
      </c>
    </row>
    <row r="39" spans="1:31" ht="15.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622"/>
      <c r="Q39" s="1465">
        <f t="shared" si="14"/>
        <v>111</v>
      </c>
      <c r="R39" s="700" t="s">
        <v>17</v>
      </c>
      <c r="S39" s="701">
        <f t="shared" si="10"/>
        <v>100</v>
      </c>
      <c r="T39" s="700" t="s">
        <v>17</v>
      </c>
      <c r="U39" s="701">
        <f t="shared" si="11"/>
        <v>100</v>
      </c>
      <c r="V39" s="700" t="s">
        <v>17</v>
      </c>
      <c r="W39" s="701">
        <f t="shared" si="12"/>
        <v>100</v>
      </c>
      <c r="X39" s="1468"/>
      <c r="Y39" s="3622"/>
      <c r="Z39" s="1469">
        <f t="shared" si="13"/>
        <v>111</v>
      </c>
      <c r="AA39" s="1466">
        <f t="shared" si="3"/>
        <v>1</v>
      </c>
      <c r="AB39" s="1466">
        <f t="shared" si="4"/>
        <v>1</v>
      </c>
      <c r="AC39" s="1466">
        <f t="shared" si="5"/>
        <v>1</v>
      </c>
    </row>
    <row r="40" spans="1:31" s="420" customFormat="1" ht="16"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622"/>
      <c r="Q40" s="1465">
        <f t="shared" si="14"/>
        <v>111</v>
      </c>
      <c r="R40" s="703" t="s">
        <v>17</v>
      </c>
      <c r="S40" s="704">
        <f t="shared" si="10"/>
        <v>100</v>
      </c>
      <c r="T40" s="703" t="s">
        <v>17</v>
      </c>
      <c r="U40" s="704">
        <f t="shared" si="11"/>
        <v>100</v>
      </c>
      <c r="V40" s="703" t="s">
        <v>17</v>
      </c>
      <c r="W40" s="704">
        <f t="shared" si="12"/>
        <v>100</v>
      </c>
      <c r="X40" s="705"/>
      <c r="Y40" s="3622"/>
      <c r="Z40" s="706">
        <f t="shared" si="13"/>
        <v>111</v>
      </c>
      <c r="AA40" s="1466">
        <f t="shared" si="3"/>
        <v>1</v>
      </c>
      <c r="AB40" s="1466">
        <f t="shared" si="4"/>
        <v>1</v>
      </c>
      <c r="AC40" s="1466">
        <f t="shared" si="5"/>
        <v>1</v>
      </c>
    </row>
    <row r="41" spans="1:31">
      <c r="A41" s="428" t="s">
        <v>2297</v>
      </c>
      <c r="B41" s="2096" t="s">
        <v>2375</v>
      </c>
      <c r="C41" s="628" t="s">
        <v>1</v>
      </c>
      <c r="D41" s="430"/>
      <c r="E41" s="431"/>
      <c r="F41" s="432"/>
      <c r="G41" s="433"/>
      <c r="H41" s="434"/>
      <c r="I41" s="431"/>
      <c r="J41" s="434"/>
      <c r="K41" s="709"/>
      <c r="L41" s="2875"/>
      <c r="M41" s="2867"/>
      <c r="N41" s="2867"/>
      <c r="O41" s="2876"/>
      <c r="P41" s="3604" t="str">
        <f>A41</f>
        <v>成交单价</v>
      </c>
      <c r="Q41" s="3604"/>
      <c r="R41" s="3617">
        <f>E41</f>
        <v>0</v>
      </c>
      <c r="S41" s="3617"/>
      <c r="T41" s="3617">
        <f>G41</f>
        <v>0</v>
      </c>
      <c r="U41" s="3617"/>
      <c r="V41" s="3617">
        <f>I41</f>
        <v>0</v>
      </c>
      <c r="W41" s="3617"/>
      <c r="X41" s="685"/>
      <c r="Y41" s="707"/>
      <c r="Z41" s="685"/>
      <c r="AA41" s="685"/>
      <c r="AB41" s="685"/>
      <c r="AC41" s="685"/>
    </row>
    <row r="42" spans="1:31" ht="14.5" thickBot="1">
      <c r="A42" s="435" t="s">
        <v>2246</v>
      </c>
      <c r="B42" s="629"/>
      <c r="C42" s="438" t="e">
        <f>R43</f>
        <v>#DIV/0!</v>
      </c>
      <c r="D42" s="2466" t="s">
        <v>2634</v>
      </c>
      <c r="E42" s="438" t="e">
        <f>R42</f>
        <v>#DIV/0!</v>
      </c>
      <c r="F42" s="2467"/>
      <c r="G42" s="437" t="e">
        <f>T42</f>
        <v>#DIV/0!</v>
      </c>
      <c r="H42" s="2467"/>
      <c r="I42" s="438" t="e">
        <f>V42</f>
        <v>#DIV/0!</v>
      </c>
      <c r="J42" s="2467"/>
      <c r="K42" s="2469">
        <f>F42+H42+J42</f>
        <v>0</v>
      </c>
      <c r="L42" s="2875"/>
      <c r="M42" s="2867"/>
      <c r="N42" s="2867"/>
      <c r="O42" s="2876"/>
      <c r="P42" s="3604" t="str">
        <f>A42</f>
        <v>比较价值（元/平方米）</v>
      </c>
      <c r="Q42" s="3604"/>
      <c r="R42" s="3623" t="e">
        <f>ROUND(PRODUCT(R41,AA7:AA40),0)</f>
        <v>#DIV/0!</v>
      </c>
      <c r="S42" s="3623"/>
      <c r="T42" s="3623" t="e">
        <f>ROUND(PRODUCT(T41,AB7:AB40),0)</f>
        <v>#DIV/0!</v>
      </c>
      <c r="U42" s="3623"/>
      <c r="V42" s="3623" t="e">
        <f>ROUND(PRODUCT(V41,AC7:AC40),0)</f>
        <v>#DIV/0!</v>
      </c>
      <c r="W42" s="3623"/>
      <c r="X42" s="685"/>
      <c r="Y42" s="685"/>
      <c r="Z42" s="685"/>
      <c r="AA42" s="685"/>
      <c r="AB42" s="685"/>
      <c r="AC42" s="685"/>
    </row>
    <row r="43" spans="1:31" ht="14.5" thickBot="1">
      <c r="A43" s="439" t="s">
        <v>2247</v>
      </c>
      <c r="B43" s="440"/>
      <c r="C43" s="441" t="e">
        <f>R43</f>
        <v>#DIV/0!</v>
      </c>
      <c r="D43" s="441"/>
      <c r="E43" s="441"/>
      <c r="F43" s="441"/>
      <c r="G43" s="441"/>
      <c r="H43" s="441"/>
      <c r="I43" s="441"/>
      <c r="J43" s="441"/>
      <c r="K43" s="710"/>
      <c r="L43" s="2875"/>
      <c r="M43" s="2867"/>
      <c r="N43" s="2867"/>
      <c r="O43" s="2876"/>
      <c r="P43" s="3624" t="str">
        <f>A43</f>
        <v>估价对象XX用房的比较价值（楼面单价，元/平方米）</v>
      </c>
      <c r="Q43" s="3625"/>
      <c r="R43" s="3626" t="e">
        <f>ROUND(IF(D42="简单平均",AVERAGE(R42:W42),R42*F42+T42*H42+V42*J42),0)</f>
        <v>#DIV/0!</v>
      </c>
      <c r="S43" s="3626"/>
      <c r="T43" s="3626"/>
      <c r="U43" s="3626"/>
      <c r="V43" s="3626"/>
      <c r="W43" s="3626"/>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4.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8">
      <c r="A50" s="630" t="s">
        <v>2334</v>
      </c>
      <c r="B50" s="631" t="s">
        <v>2335</v>
      </c>
      <c r="C50" s="2097" t="s">
        <v>2336</v>
      </c>
      <c r="D50" s="2098" t="s">
        <v>2337</v>
      </c>
      <c r="E50" s="632" t="s">
        <v>2338</v>
      </c>
      <c r="F50" s="633" t="s">
        <v>2339</v>
      </c>
      <c r="G50" s="3605" t="s">
        <v>2340</v>
      </c>
      <c r="H50" s="3627"/>
      <c r="I50" s="1469" t="s">
        <v>2376</v>
      </c>
      <c r="J50" s="1469">
        <f>项目基本情况!F35</f>
        <v>0</v>
      </c>
      <c r="K50" s="2100" t="s">
        <v>2342</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2343</v>
      </c>
      <c r="B51" s="635" t="e">
        <f>C43</f>
        <v>#DIV/0!</v>
      </c>
      <c r="C51" s="636">
        <v>1</v>
      </c>
      <c r="D51" s="1036">
        <v>1</v>
      </c>
      <c r="E51" s="636">
        <f>'数据-汇总表'!E8+'数据-汇总表'!E9</f>
        <v>105208.37999999999</v>
      </c>
      <c r="F51" s="637" t="e">
        <f t="shared" ref="F51:F60" si="15">ROUND(B51*E51/10000,0)</f>
        <v>#DIV/0!</v>
      </c>
      <c r="G51" s="3628"/>
      <c r="H51" s="3604"/>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2344</v>
      </c>
      <c r="B52" s="214" t="e">
        <f>ROUND($C$43*C52*D52,0)</f>
        <v>#DIV/0!</v>
      </c>
      <c r="C52" s="166">
        <f t="shared" ref="C52:C60" si="16">IF($C$50="北京市系数",I52,J52)</f>
        <v>0.6</v>
      </c>
      <c r="D52" s="1037">
        <v>0.25</v>
      </c>
      <c r="E52" s="640"/>
      <c r="F52" s="637" t="e">
        <f t="shared" si="15"/>
        <v>#DIV/0!</v>
      </c>
      <c r="G52" s="3194" t="s">
        <v>2345</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2346</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2347</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2348</v>
      </c>
      <c r="B56" s="214" t="e">
        <f t="shared" si="17"/>
        <v>#DIV/0!</v>
      </c>
      <c r="C56" s="166">
        <f t="shared" si="16"/>
        <v>0.25</v>
      </c>
      <c r="D56" s="1037">
        <v>0.25</v>
      </c>
      <c r="E56" s="213">
        <f>'数据-汇总表'!E11</f>
        <v>0</v>
      </c>
      <c r="F56" s="637" t="e">
        <f t="shared" si="15"/>
        <v>#DIV/0!</v>
      </c>
      <c r="G56" s="2101" t="s">
        <v>2349</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2350</v>
      </c>
      <c r="B57" s="214" t="e">
        <f t="shared" si="17"/>
        <v>#DIV/0!</v>
      </c>
      <c r="C57" s="166">
        <f t="shared" si="16"/>
        <v>0.25</v>
      </c>
      <c r="D57" s="1037">
        <v>0.25</v>
      </c>
      <c r="E57" s="213">
        <f>'数据-汇总表'!E12</f>
        <v>0</v>
      </c>
      <c r="F57" s="637" t="e">
        <f t="shared" si="15"/>
        <v>#DIV/0!</v>
      </c>
      <c r="G57" s="984" t="s">
        <v>2351</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2352</v>
      </c>
      <c r="B58" s="214" t="e">
        <f t="shared" si="17"/>
        <v>#DIV/0!</v>
      </c>
      <c r="C58" s="166">
        <f t="shared" si="16"/>
        <v>0.15</v>
      </c>
      <c r="D58" s="1037">
        <v>0.25</v>
      </c>
      <c r="E58" s="213">
        <f>'数据-汇总表'!E13</f>
        <v>59578.47</v>
      </c>
      <c r="F58" s="637" t="e">
        <f t="shared" si="15"/>
        <v>#DIV/0!</v>
      </c>
      <c r="G58" s="984" t="s">
        <v>2353</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2354</v>
      </c>
      <c r="B59" s="214" t="e">
        <f t="shared" si="17"/>
        <v>#DIV/0!</v>
      </c>
      <c r="C59" s="166">
        <f t="shared" si="16"/>
        <v>0.15</v>
      </c>
      <c r="D59" s="1037">
        <v>0.25</v>
      </c>
      <c r="E59" s="213">
        <f>'数据-汇总表'!E14</f>
        <v>0</v>
      </c>
      <c r="F59" s="637" t="e">
        <f t="shared" si="15"/>
        <v>#DIV/0!</v>
      </c>
      <c r="G59" s="2101" t="s">
        <v>2345</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4.5" thickBot="1">
      <c r="A60" s="639" t="s">
        <v>2355</v>
      </c>
      <c r="B60" s="214" t="e">
        <f t="shared" si="17"/>
        <v>#DIV/0!</v>
      </c>
      <c r="C60" s="166">
        <f t="shared" si="16"/>
        <v>0.15</v>
      </c>
      <c r="D60" s="1037">
        <v>0.25</v>
      </c>
      <c r="E60" s="213">
        <f>'数据-汇总表'!E15</f>
        <v>0</v>
      </c>
      <c r="F60" s="637" t="e">
        <f t="shared" si="15"/>
        <v>#DIV/0!</v>
      </c>
      <c r="G60" s="2102" t="s">
        <v>2349</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4.5" thickBot="1">
      <c r="A61" s="641" t="s">
        <v>2356</v>
      </c>
      <c r="B61" s="642" t="s">
        <v>28</v>
      </c>
      <c r="C61" s="642" t="s">
        <v>29</v>
      </c>
      <c r="D61" s="642" t="s">
        <v>816</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2022-5-1</v>
      </c>
      <c r="D63" s="687">
        <f>EDATE(C63,-3)</f>
        <v>44593</v>
      </c>
      <c r="E63" s="687">
        <f>EDATE(D63,-3)</f>
        <v>44501</v>
      </c>
      <c r="F63" s="687">
        <f t="shared" ref="F63:O63" si="18">EDATE(E63,-3)</f>
        <v>44409</v>
      </c>
      <c r="G63" s="687">
        <f t="shared" si="18"/>
        <v>44317</v>
      </c>
      <c r="H63" s="687">
        <f t="shared" si="18"/>
        <v>44228</v>
      </c>
      <c r="I63" s="687">
        <f t="shared" si="18"/>
        <v>44136</v>
      </c>
      <c r="J63" s="687">
        <f t="shared" si="18"/>
        <v>44044</v>
      </c>
      <c r="K63" s="687">
        <f t="shared" si="18"/>
        <v>43952</v>
      </c>
      <c r="L63" s="687">
        <f t="shared" si="18"/>
        <v>43862</v>
      </c>
      <c r="M63" s="687">
        <f t="shared" si="18"/>
        <v>43770</v>
      </c>
      <c r="N63" s="687">
        <f t="shared" si="18"/>
        <v>43678</v>
      </c>
      <c r="O63" s="687">
        <f t="shared" si="18"/>
        <v>43586</v>
      </c>
      <c r="P63" s="2876"/>
      <c r="Q63" s="2876"/>
      <c r="R63" s="2876"/>
      <c r="S63" s="2876"/>
      <c r="T63" s="2876"/>
      <c r="U63" s="2876"/>
      <c r="V63" s="2876"/>
      <c r="W63" s="2876"/>
      <c r="X63" s="2876"/>
      <c r="Y63" s="2876"/>
      <c r="Z63" s="2876"/>
      <c r="AA63" s="2876"/>
      <c r="AB63" s="2876"/>
      <c r="AC63" s="2876"/>
      <c r="AD63" s="2876"/>
      <c r="AE63" s="2876"/>
    </row>
    <row r="64" spans="1:31" ht="21.5" thickBot="1">
      <c r="A64" s="689" t="s">
        <v>2251</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c r="A65" s="2103" t="s">
        <v>2357</v>
      </c>
      <c r="B65" s="1201"/>
      <c r="C65" s="1275" t="str">
        <f>YEAR(C63)&amp;"-"&amp;ROUNDUP(MONTH(C63)/3,0)</f>
        <v>2022-2</v>
      </c>
      <c r="D65" s="1275" t="str">
        <f t="shared" ref="D65:O65" si="19">YEAR(D63)&amp;"-"&amp;ROUNDUP(MONTH(D63)/3,0)</f>
        <v>2022-1</v>
      </c>
      <c r="E65" s="1275" t="str">
        <f t="shared" si="19"/>
        <v>2021-4</v>
      </c>
      <c r="F65" s="1275" t="str">
        <f t="shared" si="19"/>
        <v>2021-3</v>
      </c>
      <c r="G65" s="1275" t="str">
        <f t="shared" si="19"/>
        <v>2021-2</v>
      </c>
      <c r="H65" s="1275" t="str">
        <f t="shared" si="19"/>
        <v>2021-1</v>
      </c>
      <c r="I65" s="1275" t="str">
        <f t="shared" si="19"/>
        <v>2020-4</v>
      </c>
      <c r="J65" s="1275" t="str">
        <f t="shared" si="19"/>
        <v>2020-3</v>
      </c>
      <c r="K65" s="1275" t="str">
        <f t="shared" si="19"/>
        <v>2020-2</v>
      </c>
      <c r="L65" s="1275" t="str">
        <f t="shared" si="19"/>
        <v>2020-1</v>
      </c>
      <c r="M65" s="1275" t="str">
        <f t="shared" si="19"/>
        <v>2019-4</v>
      </c>
      <c r="N65" s="1275" t="str">
        <f t="shared" si="19"/>
        <v>2019-3</v>
      </c>
      <c r="O65" s="1275" t="str">
        <f t="shared" si="19"/>
        <v>2019-2</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2377</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4.5" thickBot="1">
      <c r="A67" s="462" t="s">
        <v>2162</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c r="A68" s="468" t="s">
        <v>2127</v>
      </c>
      <c r="B68" s="457"/>
      <c r="C68" s="469" t="s">
        <v>2229</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4.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2165</v>
      </c>
      <c r="B70" s="475" t="s">
        <v>2131</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4.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8.5" thickTop="1">
      <c r="A72" s="481"/>
      <c r="B72" s="485" t="s">
        <v>2134</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4.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4.5" thickTop="1">
      <c r="A74" s="481"/>
      <c r="B74" s="493" t="s">
        <v>2135</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4.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4.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4.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4.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4.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4.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2136</v>
      </c>
      <c r="B83" s="475" t="s">
        <v>2282</v>
      </c>
      <c r="C83" s="520" t="s">
        <v>2174</v>
      </c>
      <c r="D83" s="520" t="s">
        <v>2175</v>
      </c>
      <c r="E83" s="520" t="s">
        <v>2176</v>
      </c>
      <c r="F83" s="520" t="s">
        <v>2177</v>
      </c>
      <c r="G83" s="520" t="s">
        <v>2178</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4.5" thickTop="1">
      <c r="A85" s="481"/>
      <c r="B85" s="485" t="s">
        <v>2179</v>
      </c>
      <c r="C85" s="525" t="s">
        <v>2174</v>
      </c>
      <c r="D85" s="525" t="s">
        <v>2175</v>
      </c>
      <c r="E85" s="525" t="s">
        <v>2176</v>
      </c>
      <c r="F85" s="525" t="s">
        <v>2177</v>
      </c>
      <c r="G85" s="525" t="s">
        <v>2178</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28.5" thickTop="1">
      <c r="A87" s="526"/>
      <c r="B87" s="485" t="s">
        <v>2360</v>
      </c>
      <c r="C87" s="520" t="s">
        <v>2174</v>
      </c>
      <c r="D87" s="520" t="s">
        <v>2175</v>
      </c>
      <c r="E87" s="520" t="s">
        <v>2176</v>
      </c>
      <c r="F87" s="520" t="s">
        <v>2177</v>
      </c>
      <c r="G87" s="520" t="s">
        <v>2178</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8.5" thickTop="1">
      <c r="A89" s="526"/>
      <c r="B89" s="485" t="s">
        <v>2361</v>
      </c>
      <c r="C89" s="520" t="s">
        <v>2174</v>
      </c>
      <c r="D89" s="520" t="s">
        <v>2175</v>
      </c>
      <c r="E89" s="520" t="s">
        <v>2176</v>
      </c>
      <c r="F89" s="520" t="s">
        <v>2177</v>
      </c>
      <c r="G89" s="520" t="s">
        <v>2178</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4.5" thickTop="1">
      <c r="A91" s="500"/>
      <c r="B91" s="485" t="s">
        <v>2231</v>
      </c>
      <c r="C91" s="520" t="s">
        <v>2174</v>
      </c>
      <c r="D91" s="520" t="s">
        <v>2175</v>
      </c>
      <c r="E91" s="520" t="s">
        <v>2176</v>
      </c>
      <c r="F91" s="520" t="s">
        <v>2177</v>
      </c>
      <c r="G91" s="520" t="s">
        <v>2178</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4.5" thickTop="1">
      <c r="A93" s="500"/>
      <c r="B93" s="493" t="s">
        <v>2378</v>
      </c>
      <c r="C93" s="606" t="s">
        <v>2252</v>
      </c>
      <c r="D93" s="606" t="s">
        <v>2253</v>
      </c>
      <c r="E93" s="606" t="s">
        <v>2254</v>
      </c>
      <c r="F93" s="606" t="s">
        <v>2255</v>
      </c>
      <c r="G93" s="606" t="s">
        <v>2256</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4.5" thickTop="1">
      <c r="A95" s="481"/>
      <c r="B95" s="485" t="str">
        <f>B27</f>
        <v>临街状况</v>
      </c>
      <c r="C95" s="486" t="s">
        <v>2362</v>
      </c>
      <c r="D95" s="486" t="s">
        <v>2363</v>
      </c>
      <c r="E95" s="486" t="s">
        <v>2364</v>
      </c>
      <c r="F95" s="486" t="s">
        <v>2365</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8.5" thickTop="1">
      <c r="A97" s="481"/>
      <c r="B97" s="485" t="s">
        <v>2268</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4.5" thickTop="1">
      <c r="A99" s="481"/>
      <c r="B99" s="485" t="s">
        <v>2326</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4.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4.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4.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4.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4.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4.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2140</v>
      </c>
      <c r="B107" s="475" t="s">
        <v>2366</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4.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4.5" thickTop="1">
      <c r="A110" s="546"/>
      <c r="B110" s="485" t="s">
        <v>2367</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4.5" thickTop="1">
      <c r="A112" s="540"/>
      <c r="B112" s="485" t="s">
        <v>2369</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4.5" thickTop="1">
      <c r="A114" s="546"/>
      <c r="B114" s="485" t="s">
        <v>2370</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4.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4.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4.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4.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4.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4.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78" customWidth="1"/>
    <col min="2" max="2" width="19.08984375" style="2281" customWidth="1"/>
    <col min="3" max="4" width="12" style="2112"/>
    <col min="5" max="5" width="14.6328125" style="2112" customWidth="1"/>
    <col min="6" max="8" width="12" style="2112"/>
    <col min="9" max="9" width="12.08984375" style="2112" bestFit="1" customWidth="1"/>
    <col min="10" max="10" width="12" style="2112"/>
    <col min="11" max="11" width="8.08984375" style="2173" customWidth="1"/>
    <col min="12" max="12" width="12" style="2112"/>
    <col min="13" max="13" width="8.453125" style="2112" customWidth="1"/>
    <col min="14" max="14" width="9.90625" style="2112" customWidth="1"/>
    <col min="15" max="25" width="12" style="2112"/>
    <col min="26" max="26" width="9.36328125" style="2178" customWidth="1"/>
    <col min="27" max="32" width="9.36328125" style="1214" customWidth="1"/>
    <col min="33" max="36" width="9.36328125" style="2178" customWidth="1"/>
    <col min="37" max="38" width="9.36328125" style="2112" customWidth="1"/>
    <col min="39" max="16384" width="12" style="2112"/>
  </cols>
  <sheetData>
    <row r="1" spans="1:36" ht="30">
      <c r="A1" s="192" t="s">
        <v>2379</v>
      </c>
      <c r="B1" s="193"/>
      <c r="C1" s="197" t="s">
        <v>2380</v>
      </c>
      <c r="D1" s="338">
        <f>SUM(D29:D30,D33:D39)</f>
        <v>0</v>
      </c>
      <c r="E1" s="2109"/>
      <c r="F1" s="2109"/>
      <c r="G1" s="2109"/>
      <c r="H1" s="2109"/>
      <c r="I1" s="2109"/>
      <c r="J1" s="2109"/>
      <c r="K1" s="1212"/>
      <c r="L1" s="2110" t="s">
        <v>2381</v>
      </c>
      <c r="M1" s="955">
        <f>SUMPRODUCT((区片价!B5:B9=I2)*(区片价!C3:F3=E2)*(区片价!C5:F9))</f>
        <v>0</v>
      </c>
      <c r="N1" s="958">
        <f>SUMPRODUCT((因素修正幅度!B5:B9=I2)*(因素修正幅度!C3:F3=E2)*(因素修正幅度!C5:F9))</f>
        <v>0</v>
      </c>
      <c r="O1" s="2111"/>
      <c r="P1" s="2111"/>
      <c r="Q1" s="1212"/>
      <c r="R1" s="1305" t="s">
        <v>2382</v>
      </c>
      <c r="S1" s="1305" t="s">
        <v>2383</v>
      </c>
      <c r="T1" s="1305" t="s">
        <v>2384</v>
      </c>
      <c r="U1" s="1305" t="s">
        <v>2385</v>
      </c>
      <c r="V1" s="1305" t="s">
        <v>2386</v>
      </c>
      <c r="W1" s="1309"/>
      <c r="X1" s="1309"/>
      <c r="Y1" s="1309"/>
      <c r="Z1" s="1309"/>
      <c r="AA1" s="1309"/>
      <c r="AB1" s="1309"/>
      <c r="AC1" s="1310"/>
      <c r="AD1" s="1311"/>
      <c r="AE1" s="1311"/>
      <c r="AF1" s="1311"/>
      <c r="AG1" s="1311"/>
      <c r="AH1" s="1311"/>
      <c r="AI1" s="1311"/>
      <c r="AJ1" s="1312"/>
    </row>
    <row r="2" spans="1:36" ht="15.5">
      <c r="A2" s="197" t="s">
        <v>2387</v>
      </c>
      <c r="B2" s="200" t="e">
        <f>C26</f>
        <v>#DIV/0!</v>
      </c>
      <c r="C2" s="2113" t="s">
        <v>2388</v>
      </c>
      <c r="D2" s="2114" t="s">
        <v>2389</v>
      </c>
      <c r="E2" s="2115"/>
      <c r="F2" s="2114" t="s">
        <v>2390</v>
      </c>
      <c r="G2" s="2116">
        <f>IF(E2="商业",项目基本情况!B37,IF(E2="办公",项目基本情况!C37,IF(E2="住宅",项目基本情况!D37,项目基本情况!E37)))</f>
        <v>0</v>
      </c>
      <c r="H2" s="2114" t="s">
        <v>2391</v>
      </c>
      <c r="I2" s="2116">
        <f>IF(E2="商业",项目基本情况!B38,IF(E2="办公",项目基本情况!C38,IF(E2="住宅",项目基本情况!D38,项目基本情况!E38)))</f>
        <v>0</v>
      </c>
      <c r="J2" s="2117"/>
      <c r="K2" s="1212"/>
      <c r="L2" s="2118" t="s">
        <v>2392</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5">
      <c r="A3" s="199" t="s">
        <v>2393</v>
      </c>
      <c r="B3" s="200" t="e">
        <f>ROUND(B2*10000/D1,0)</f>
        <v>#DIV/0!</v>
      </c>
      <c r="C3" s="2113" t="s">
        <v>2394</v>
      </c>
      <c r="D3" s="2114" t="s">
        <v>2395</v>
      </c>
      <c r="E3" s="2119"/>
      <c r="F3" s="2120" t="s">
        <v>2396</v>
      </c>
      <c r="G3" s="817">
        <f>IF(F3="宗地容积率",'数据-汇总表'!I4,IF(F3="估价对象容积率",'数据-汇总表'!I6,'数据-汇总表'!I7))</f>
        <v>2.95</v>
      </c>
      <c r="H3" s="165" t="s">
        <v>2397</v>
      </c>
      <c r="I3" s="842"/>
      <c r="J3" s="2117" t="s">
        <v>2398</v>
      </c>
      <c r="K3" s="1212"/>
      <c r="L3" s="2118" t="s">
        <v>2399</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5">
      <c r="A4" s="3708"/>
      <c r="B4" s="3709"/>
      <c r="C4" s="3709"/>
      <c r="D4" s="3710"/>
      <c r="E4" s="3710"/>
      <c r="F4" s="3710"/>
      <c r="G4" s="3710"/>
      <c r="H4" s="3710"/>
      <c r="I4" s="3710"/>
      <c r="J4" s="3711"/>
      <c r="K4" s="1212"/>
      <c r="L4" s="2118" t="s">
        <v>2400</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6" thickBot="1">
      <c r="A5" s="2121" t="s">
        <v>626</v>
      </c>
      <c r="B5" s="2122" t="s">
        <v>2401</v>
      </c>
      <c r="C5" s="818" t="e">
        <f>ROUND(IF(E2="商业",C6*C7+C16,(IF(E2="住宅",C6*C12+C16,C6+C16))),0)</f>
        <v>#DIV/0!</v>
      </c>
      <c r="D5" s="1452" t="e">
        <f>ROUND(C6+C16,0)</f>
        <v>#DIV/0!</v>
      </c>
      <c r="E5" s="1452"/>
      <c r="F5" s="2123"/>
      <c r="G5" s="2124"/>
      <c r="H5" s="2124"/>
      <c r="I5" s="2124"/>
      <c r="J5" s="2125"/>
      <c r="K5" s="2126"/>
      <c r="L5" s="2118" t="s">
        <v>2402</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6" thickBot="1">
      <c r="A6" s="2131" t="s">
        <v>2403</v>
      </c>
      <c r="B6" s="2132" t="s">
        <v>2404</v>
      </c>
      <c r="C6" s="819">
        <f>SUMIF(L1:L12,G2,M1:M12)</f>
        <v>0</v>
      </c>
      <c r="D6" s="2133" t="s">
        <v>2405</v>
      </c>
      <c r="E6" s="2134"/>
      <c r="F6" s="2134"/>
      <c r="G6" s="2135"/>
      <c r="H6" s="2135"/>
      <c r="I6" s="2135"/>
      <c r="J6" s="2136"/>
      <c r="K6" s="1497"/>
      <c r="L6" s="2118" t="s">
        <v>2406</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6">
      <c r="A7" s="3689" t="str">
        <f>IF(E2="商业",IF(C8="不临58条商业街","",2),"")</f>
        <v/>
      </c>
      <c r="B7" s="2137" t="s">
        <v>2407</v>
      </c>
      <c r="C7" s="820" t="e">
        <f>IF(C8="不临58条商业街",1,ROUND(1+(1.6*E8+1.2*E9+0.8*E10+0.4*E11)*C9,4))</f>
        <v>#DIV/0!</v>
      </c>
      <c r="D7" s="2138" t="s">
        <v>2408</v>
      </c>
      <c r="E7" s="843"/>
      <c r="F7" s="2139"/>
      <c r="G7" s="2140"/>
      <c r="H7" s="2140"/>
      <c r="I7" s="2140"/>
      <c r="J7" s="2141"/>
      <c r="K7" s="1497"/>
      <c r="L7" s="2118" t="s">
        <v>2409</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2410</v>
      </c>
      <c r="X7" s="1307">
        <f>G2</f>
        <v>0</v>
      </c>
      <c r="Y7" s="1307" t="s">
        <v>2411</v>
      </c>
      <c r="Z7" s="1308">
        <f>G3</f>
        <v>2.95</v>
      </c>
      <c r="AA7" s="1309"/>
      <c r="AB7" s="1309"/>
      <c r="AC7" s="1310"/>
      <c r="AD7" s="1311"/>
      <c r="AE7" s="1311"/>
      <c r="AF7" s="1311"/>
      <c r="AG7" s="1311"/>
      <c r="AH7" s="1311"/>
      <c r="AI7" s="1311"/>
      <c r="AJ7" s="1312"/>
    </row>
    <row r="8" spans="1:36" ht="15.5">
      <c r="A8" s="3712"/>
      <c r="B8" s="165" t="s">
        <v>2412</v>
      </c>
      <c r="C8" s="2142"/>
      <c r="D8" s="821" t="s">
        <v>139</v>
      </c>
      <c r="E8" s="822" t="e">
        <f>ROUND(C11/E7,4)</f>
        <v>#DIV/0!</v>
      </c>
      <c r="F8" s="2143" t="s">
        <v>2413</v>
      </c>
      <c r="G8" s="2144"/>
      <c r="H8" s="2144"/>
      <c r="I8" s="2144"/>
      <c r="J8" s="2145"/>
      <c r="K8" s="1212"/>
      <c r="L8" s="2118" t="s">
        <v>2414</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705" t="s">
        <v>2415</v>
      </c>
      <c r="X8" s="3706"/>
      <c r="Y8" s="1313" t="s">
        <v>2416</v>
      </c>
      <c r="Z8" s="1313" t="s">
        <v>2417</v>
      </c>
      <c r="AA8" s="1313" t="s">
        <v>2418</v>
      </c>
      <c r="AB8" s="1313" t="s">
        <v>2419</v>
      </c>
      <c r="AC8" s="1313" t="s">
        <v>2420</v>
      </c>
      <c r="AD8" s="1313" t="s">
        <v>2421</v>
      </c>
      <c r="AE8" s="1313" t="s">
        <v>2422</v>
      </c>
      <c r="AF8" s="1313" t="s">
        <v>2423</v>
      </c>
      <c r="AG8" s="1313" t="s">
        <v>2424</v>
      </c>
      <c r="AH8" s="1313" t="s">
        <v>2425</v>
      </c>
      <c r="AI8" s="1313" t="s">
        <v>2426</v>
      </c>
      <c r="AJ8" s="1313" t="s">
        <v>2427</v>
      </c>
    </row>
    <row r="9" spans="1:36" ht="15.5">
      <c r="A9" s="3712"/>
      <c r="B9" s="165" t="s">
        <v>2428</v>
      </c>
      <c r="C9" s="823">
        <f>SUMIF(修正!C71:C138,C8,修正!E71:E138)</f>
        <v>0</v>
      </c>
      <c r="D9" s="166" t="s">
        <v>140</v>
      </c>
      <c r="E9" s="166" t="e">
        <f>ROUND(C11/E7,4)</f>
        <v>#DIV/0!</v>
      </c>
      <c r="F9" s="2143" t="s">
        <v>2429</v>
      </c>
      <c r="G9" s="2144"/>
      <c r="H9" s="2144"/>
      <c r="I9" s="2144"/>
      <c r="J9" s="2145"/>
      <c r="K9" s="1212"/>
      <c r="L9" s="2118" t="s">
        <v>2430</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707" t="s">
        <v>2431</v>
      </c>
      <c r="X9" s="1314" t="s">
        <v>2432</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5">
      <c r="A10" s="3712"/>
      <c r="B10" s="165" t="s">
        <v>2433</v>
      </c>
      <c r="C10" s="166">
        <f>SUMIF(修正!C71:C138,C8,修正!F71:F138)</f>
        <v>0</v>
      </c>
      <c r="D10" s="166" t="s">
        <v>141</v>
      </c>
      <c r="E10" s="166" t="e">
        <f>ROUND(C11/E7,4)</f>
        <v>#DIV/0!</v>
      </c>
      <c r="F10" s="2143" t="s">
        <v>2434</v>
      </c>
      <c r="G10" s="2144"/>
      <c r="H10" s="2144"/>
      <c r="I10" s="2144"/>
      <c r="J10" s="2145"/>
      <c r="K10" s="1212"/>
      <c r="L10" s="2118" t="s">
        <v>2435</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707"/>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6" thickBot="1">
      <c r="A11" s="3712"/>
      <c r="B11" s="2146" t="s">
        <v>2436</v>
      </c>
      <c r="C11" s="824">
        <f>C10/4</f>
        <v>0</v>
      </c>
      <c r="D11" s="824" t="s">
        <v>142</v>
      </c>
      <c r="E11" s="824" t="e">
        <f>ROUND(C11/E7,4)</f>
        <v>#DIV/0!</v>
      </c>
      <c r="F11" s="2147" t="s">
        <v>2437</v>
      </c>
      <c r="G11" s="2148"/>
      <c r="H11" s="2148"/>
      <c r="I11" s="2148"/>
      <c r="J11" s="2149"/>
      <c r="K11" s="1212"/>
      <c r="L11" s="2118" t="s">
        <v>2438</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707" t="s">
        <v>2439</v>
      </c>
      <c r="X11" s="1317" t="s">
        <v>2440</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6.5" thickBot="1">
      <c r="A12" s="3689" t="s">
        <v>2441</v>
      </c>
      <c r="B12" s="2150" t="s">
        <v>2442</v>
      </c>
      <c r="C12" s="820">
        <f>ROUND(C15*D15*E15*F15*G15*H15*I15*J15,4)</f>
        <v>1</v>
      </c>
      <c r="D12" s="2151" t="s">
        <v>2443</v>
      </c>
      <c r="E12" s="2152"/>
      <c r="F12" s="2152"/>
      <c r="G12" s="2153"/>
      <c r="H12" s="2153"/>
      <c r="I12" s="2153"/>
      <c r="J12" s="2154"/>
      <c r="K12" s="1212"/>
      <c r="L12" s="2155" t="s">
        <v>2444</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707"/>
      <c r="X12" s="1319" t="s">
        <v>2445</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6">
      <c r="A13" s="3713"/>
      <c r="B13" s="2156" t="s">
        <v>2446</v>
      </c>
      <c r="C13" s="2157" t="s">
        <v>2447</v>
      </c>
      <c r="D13" s="1463" t="s">
        <v>2448</v>
      </c>
      <c r="E13" s="1463" t="s">
        <v>2449</v>
      </c>
      <c r="F13" s="30" t="s">
        <v>2450</v>
      </c>
      <c r="G13" s="2158" t="s">
        <v>2451</v>
      </c>
      <c r="H13" s="2158" t="s">
        <v>2451</v>
      </c>
      <c r="I13" s="2158" t="s">
        <v>2451</v>
      </c>
      <c r="J13" s="2159" t="s">
        <v>2451</v>
      </c>
      <c r="K13" s="1212"/>
      <c r="L13" s="1212"/>
      <c r="M13" s="1212"/>
      <c r="N13" s="1212"/>
      <c r="O13" s="1212"/>
      <c r="P13" s="1212"/>
      <c r="Q13" s="1212"/>
      <c r="R13" s="1305">
        <v>12</v>
      </c>
      <c r="S13" s="1306"/>
      <c r="T13" s="1305" t="e">
        <f t="shared" si="0"/>
        <v>#DIV/0!</v>
      </c>
      <c r="U13" s="1306"/>
      <c r="V13" s="1305" t="e">
        <f t="shared" si="1"/>
        <v>#DIV/0!</v>
      </c>
      <c r="W13" s="3707"/>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5">
      <c r="A14" s="3713"/>
      <c r="B14" s="2160"/>
      <c r="C14" s="2161"/>
      <c r="D14" s="2162"/>
      <c r="E14" s="2162"/>
      <c r="F14" s="2163"/>
      <c r="G14" s="2164" t="s">
        <v>2452</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6" thickBot="1">
      <c r="A15" s="3714"/>
      <c r="B15" s="2168" t="s">
        <v>2453</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5" customHeight="1">
      <c r="A16" s="3689" t="s">
        <v>2458</v>
      </c>
      <c r="B16" s="2137" t="s">
        <v>2459</v>
      </c>
      <c r="C16" s="2299" t="e">
        <f>ROUND(IF(F17="与级别开发程度一致",0,(G17-E17)/C17),0)</f>
        <v>#DIV/0!</v>
      </c>
      <c r="D16" s="3702" t="s">
        <v>2463</v>
      </c>
      <c r="E16" s="3703"/>
      <c r="F16" s="3702" t="s">
        <v>2460</v>
      </c>
      <c r="G16" s="3703"/>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690"/>
      <c r="B17" s="2310" t="s">
        <v>2462</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4.5" thickBot="1">
      <c r="A18" s="2304" t="s">
        <v>627</v>
      </c>
      <c r="B18" s="2305" t="s">
        <v>2465</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8.5" thickBot="1">
      <c r="A19" s="2174" t="s">
        <v>628</v>
      </c>
      <c r="B19" s="2175" t="s">
        <v>2466</v>
      </c>
      <c r="C19" s="825" t="e">
        <f>ROUND(IF(H19="按公示增长率计算",SUMPRODUCT((地价!A3:A37=YEAR(G19)&amp;"-"&amp;ROUNDUP(MONTH(G19)/3,0))*(地价!X2:AB2=E2)*(地价!X3:AB37)),IF(H19="地价指数",M20/M19,(1+I19)^O19)),4)</f>
        <v>#VALUE!</v>
      </c>
      <c r="D19" s="2179" t="s">
        <v>2467</v>
      </c>
      <c r="E19" s="826">
        <v>41640</v>
      </c>
      <c r="F19" s="2179" t="s">
        <v>2468</v>
      </c>
      <c r="G19" s="827">
        <f>'数据-取费表'!B2</f>
        <v>44693</v>
      </c>
      <c r="H19" s="2180"/>
      <c r="I19" s="828" t="str">
        <f>IF(H19="季度增幅（自定义）",SUMIF(N21:N24,E2,O21:O24),"")</f>
        <v/>
      </c>
      <c r="J19" s="2177"/>
      <c r="K19" s="1219"/>
      <c r="L19" s="2181" t="s">
        <v>2469</v>
      </c>
      <c r="M19" s="1427">
        <f>ROUND(SUMIF(地价!B2:F2,E2,地价!B37:F37),0)</f>
        <v>0</v>
      </c>
      <c r="N19" s="2182" t="s">
        <v>2470</v>
      </c>
      <c r="O19" s="829">
        <f>ROUNDDOWN(DATEDIF(E19,G19,"M")/3,0)</f>
        <v>33</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8.5" thickBot="1">
      <c r="A20" s="2184" t="s">
        <v>629</v>
      </c>
      <c r="B20" s="2185" t="s">
        <v>2471</v>
      </c>
      <c r="C20" s="830" t="e">
        <f>ROUND(POWER(1+G20,J20-I20)*(POWER(1+G20,I20)-1)/(POWER(1+G20,J20)-1),4)</f>
        <v>#DIV/0!</v>
      </c>
      <c r="D20" s="2186" t="s">
        <v>2472</v>
      </c>
      <c r="E20" s="1434">
        <f>存贷款利率!E20/100</f>
        <v>4.3499999999999997E-2</v>
      </c>
      <c r="F20" s="2186" t="s">
        <v>2464</v>
      </c>
      <c r="G20" s="834">
        <f>SUMIF(M26:P26,E2,M28:P28)</f>
        <v>0</v>
      </c>
      <c r="H20" s="2186" t="s">
        <v>2473</v>
      </c>
      <c r="I20" s="835" t="e">
        <f>SUMIF('数据-取费表'!C6:C15,E2,'数据-取费表'!F6:F15)/COUNTIF('数据-取费表'!C6:C15,E2)</f>
        <v>#DIV/0!</v>
      </c>
      <c r="J20" s="836">
        <f>IF(E2="住宅",70,IF(E2="商业",40,50))</f>
        <v>50</v>
      </c>
      <c r="K20" s="1219"/>
      <c r="L20" s="2187" t="s">
        <v>2474</v>
      </c>
      <c r="M20" s="1428">
        <f>ROUND(SUMPRODUCT((地价!A4:A37=YEAR(G19)&amp;"-"&amp;ROUNDUP(MONTH(G19)/3,0))*(地价!B2:F2=E2)*(地价!B4:F37)),0)</f>
        <v>0</v>
      </c>
      <c r="N20" s="2188" t="s">
        <v>2475</v>
      </c>
      <c r="O20" s="2189" t="s">
        <v>2476</v>
      </c>
      <c r="P20" s="2190" t="s">
        <v>2477</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4">
      <c r="A21" s="2191" t="s">
        <v>630</v>
      </c>
      <c r="B21" s="2192" t="s">
        <v>2478</v>
      </c>
      <c r="C21" s="837">
        <f>IF(B21="容积率修正",IF(G3&lt;=10,D22,J22),C23)</f>
        <v>0</v>
      </c>
      <c r="D21" s="2193"/>
      <c r="E21" s="2193"/>
      <c r="F21" s="2193"/>
      <c r="G21" s="2193"/>
      <c r="H21" s="2193"/>
      <c r="I21" s="2193"/>
      <c r="J21" s="2194"/>
      <c r="K21" s="1219"/>
      <c r="L21" s="2941"/>
      <c r="M21" s="2941"/>
      <c r="N21" s="2195" t="s">
        <v>2479</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5">
      <c r="A22" s="2069" t="s">
        <v>2480</v>
      </c>
      <c r="B22" s="2196" t="s">
        <v>2481</v>
      </c>
      <c r="C22" s="1465" t="s">
        <v>2482</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155</v>
      </c>
      <c r="J22" s="838" t="str">
        <f>IF(G3&gt;10,D113,"——")</f>
        <v>——</v>
      </c>
      <c r="K22" s="1219"/>
      <c r="L22" s="2941"/>
      <c r="M22" s="2941"/>
      <c r="N22" s="2195" t="s">
        <v>2483</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8.5" thickBot="1">
      <c r="A23" s="2069" t="s">
        <v>2484</v>
      </c>
      <c r="B23" s="2197" t="s">
        <v>2485</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2486</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4.5" thickBot="1">
      <c r="A24" s="2184" t="s">
        <v>631</v>
      </c>
      <c r="B24" s="2175" t="s">
        <v>2487</v>
      </c>
      <c r="C24" s="825">
        <f>SUMIF(A45:A88,E2,B45:B88)</f>
        <v>0</v>
      </c>
      <c r="D24" s="2176"/>
      <c r="E24" s="2203"/>
      <c r="F24" s="2203"/>
      <c r="G24" s="2203"/>
      <c r="H24" s="2203"/>
      <c r="I24" s="2203"/>
      <c r="J24" s="2204"/>
      <c r="K24" s="1219"/>
      <c r="L24" s="2941"/>
      <c r="M24" s="2941"/>
      <c r="N24" s="2205" t="s">
        <v>2488</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4.5" thickBot="1">
      <c r="A25" s="2184" t="s">
        <v>632</v>
      </c>
      <c r="B25" s="2206" t="s">
        <v>2489</v>
      </c>
      <c r="C25" s="831"/>
      <c r="D25" s="2140"/>
      <c r="E25" s="2140"/>
      <c r="F25" s="2207"/>
      <c r="G25" s="2140"/>
      <c r="H25" s="2140"/>
      <c r="I25" s="2140"/>
      <c r="J25" s="2141"/>
      <c r="K25" s="1212"/>
      <c r="L25" s="2111"/>
      <c r="M25" s="2111"/>
      <c r="N25" s="2936" t="s">
        <v>2490</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4">
      <c r="A26" s="2208"/>
      <c r="B26" s="2196" t="s">
        <v>2491</v>
      </c>
      <c r="C26" s="2470" t="e">
        <f>IF(B21="容积率修正",E29+SUM(E33:E39),SUM(V2:V16)+SUM(E33:E39))</f>
        <v>#DIV/0!</v>
      </c>
      <c r="D26" s="2209"/>
      <c r="E26" s="2165"/>
      <c r="F26" s="2210"/>
      <c r="G26" s="2165"/>
      <c r="H26" s="2165"/>
      <c r="I26" s="2165"/>
      <c r="J26" s="2211"/>
      <c r="K26" s="1212"/>
      <c r="L26" s="2939" t="s">
        <v>2389</v>
      </c>
      <c r="M26" s="2138" t="s">
        <v>2454</v>
      </c>
      <c r="N26" s="2138" t="s">
        <v>2455</v>
      </c>
      <c r="O26" s="2138" t="s">
        <v>2456</v>
      </c>
      <c r="P26" s="2940" t="s">
        <v>2457</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4.5" thickBot="1">
      <c r="A27" s="2208"/>
      <c r="B27" s="2212" t="s">
        <v>2492</v>
      </c>
      <c r="C27" s="832" t="e">
        <f>E30+SUM(I33:I39)</f>
        <v>#DIV/0!</v>
      </c>
      <c r="D27" s="2213"/>
      <c r="E27" s="2214"/>
      <c r="F27" s="2215"/>
      <c r="G27" s="2214"/>
      <c r="H27" s="2214"/>
      <c r="I27" s="2214"/>
      <c r="J27" s="2216"/>
      <c r="K27" s="1212"/>
      <c r="L27" s="2171" t="s">
        <v>2461</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4.5" thickBot="1">
      <c r="A28" s="2217"/>
      <c r="B28" s="2218" t="s">
        <v>2493</v>
      </c>
      <c r="C28" s="2219" t="s">
        <v>2494</v>
      </c>
      <c r="D28" s="2219" t="s">
        <v>2495</v>
      </c>
      <c r="E28" s="2220" t="s">
        <v>2496</v>
      </c>
      <c r="F28" s="2221"/>
      <c r="G28" s="2153"/>
      <c r="H28" s="2153"/>
      <c r="I28" s="2153"/>
      <c r="J28" s="2154"/>
      <c r="K28" s="1212"/>
      <c r="L28" s="2172" t="s">
        <v>2464</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2497</v>
      </c>
      <c r="C29" s="170" t="e">
        <f>ROUND(C5*C18*C19*C20*C21*C24,0)</f>
        <v>#DIV/0!</v>
      </c>
      <c r="D29" s="2224"/>
      <c r="E29" s="840" t="e">
        <f>ROUND(C29*D29/10000,0)</f>
        <v>#DIV/0!</v>
      </c>
      <c r="F29" s="2225" t="s">
        <v>2498</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6.5" thickBot="1">
      <c r="A30" s="2228"/>
      <c r="B30" s="2229" t="s">
        <v>2499</v>
      </c>
      <c r="C30" s="183" t="e">
        <f>ROUND(IF(E2="工业",C29*M39,C29*M38),0)</f>
        <v>#DIV/0!</v>
      </c>
      <c r="D30" s="2230"/>
      <c r="E30" s="840" t="e">
        <f>ROUND(C30*D30/10000,0)</f>
        <v>#DIV/0!</v>
      </c>
      <c r="F30" s="2231" t="s">
        <v>2500</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
      <c r="A31" s="2234"/>
      <c r="B31" s="2235" t="s">
        <v>2501</v>
      </c>
      <c r="C31" s="2236" t="s">
        <v>2502</v>
      </c>
      <c r="D31" s="2153"/>
      <c r="E31" s="2236"/>
      <c r="F31" s="2236"/>
      <c r="G31" s="2151" t="s">
        <v>2503</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6">
      <c r="A32" s="2222"/>
      <c r="B32" s="2238"/>
      <c r="C32" s="448" t="s">
        <v>2494</v>
      </c>
      <c r="D32" s="445" t="s">
        <v>2495</v>
      </c>
      <c r="E32" s="445" t="s">
        <v>2496</v>
      </c>
      <c r="F32" s="338" t="s">
        <v>2504</v>
      </c>
      <c r="G32" s="2239" t="s">
        <v>2494</v>
      </c>
      <c r="H32" s="2239" t="s">
        <v>2495</v>
      </c>
      <c r="I32" s="2239" t="s">
        <v>2496</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699"/>
      <c r="B33" s="2240" t="s">
        <v>2505</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04" t="s">
        <v>2802</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
      <c r="A34" s="3700"/>
      <c r="B34" s="2157" t="s">
        <v>2506</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00"/>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ht="13">
      <c r="A35" s="3700"/>
      <c r="B35" s="2157" t="s">
        <v>2507</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700"/>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701"/>
      <c r="B36" s="2157" t="s">
        <v>2508</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701"/>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ht="13">
      <c r="A37" s="2242"/>
      <c r="B37" s="2157" t="s">
        <v>2509</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2510</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ht="13">
      <c r="A38" s="2242"/>
      <c r="B38" s="2157" t="s">
        <v>2511</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2512</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2513</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2457</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ht="26">
      <c r="A41" s="1213"/>
      <c r="B41" s="2298" t="s">
        <v>2617</v>
      </c>
      <c r="C41" s="338" t="e">
        <f>ROUND(POWER(1+E41,H41-G41)*(POWER(1+E41,G41)-1)/(POWER(1+E41,H41)-1),4)</f>
        <v>#DIV/0!</v>
      </c>
      <c r="D41" s="166" t="s">
        <v>2464</v>
      </c>
      <c r="E41" s="2297">
        <f>G20</f>
        <v>0</v>
      </c>
      <c r="F41" s="166" t="s">
        <v>2473</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4.5" thickBot="1">
      <c r="A45" s="2251" t="s">
        <v>2514</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4">
      <c r="A46" s="2253" t="s">
        <v>2515</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6">
      <c r="A47" s="2257" t="s">
        <v>2516</v>
      </c>
      <c r="B47" s="1464" t="s">
        <v>2517</v>
      </c>
      <c r="C47" s="1464" t="s">
        <v>2518</v>
      </c>
      <c r="D47" s="1464" t="s">
        <v>2519</v>
      </c>
      <c r="E47" s="738" t="s">
        <v>2520</v>
      </c>
      <c r="F47" s="2258" t="s">
        <v>2521</v>
      </c>
      <c r="G47" s="1464" t="s">
        <v>574</v>
      </c>
      <c r="H47" s="2259" t="s">
        <v>2522</v>
      </c>
      <c r="I47" s="1464" t="s">
        <v>2523</v>
      </c>
      <c r="J47" s="550" t="s">
        <v>2174</v>
      </c>
      <c r="K47" s="550" t="s">
        <v>2175</v>
      </c>
      <c r="L47" s="550" t="s">
        <v>2176</v>
      </c>
      <c r="M47" s="550" t="s">
        <v>2177</v>
      </c>
      <c r="N47" s="550" t="s">
        <v>2178</v>
      </c>
      <c r="AA47" s="1213"/>
      <c r="AB47" s="1213"/>
      <c r="AC47" s="1213"/>
      <c r="AD47" s="1213"/>
      <c r="AE47" s="1213"/>
      <c r="AF47" s="1213"/>
      <c r="AG47" s="1213"/>
      <c r="AH47" s="1213"/>
      <c r="AI47" s="1213"/>
      <c r="AJ47" s="1213"/>
      <c r="AK47" s="1213"/>
    </row>
    <row r="48" spans="1:37" s="1212" customFormat="1" ht="62.5">
      <c r="A48" s="2257" t="s">
        <v>2524</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5">
      <c r="A49" s="2257" t="s">
        <v>2525</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6">
      <c r="A50" s="2257" t="s">
        <v>2526</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52">
      <c r="A51" s="2257" t="s">
        <v>2527</v>
      </c>
      <c r="B51" s="2262" t="s">
        <v>2528</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6">
      <c r="A52" s="2257" t="s">
        <v>2529</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6">
      <c r="A53" s="2257" t="s">
        <v>2530</v>
      </c>
      <c r="B53" s="2263" t="s">
        <v>2531</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6">
      <c r="A54" s="2264" t="s">
        <v>2532</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6">
      <c r="A55" s="2264" t="s">
        <v>2533</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3" thickBot="1">
      <c r="A56" s="2265" t="s">
        <v>2534</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4">
      <c r="A57" s="2253" t="s">
        <v>2535</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6">
      <c r="A58" s="2257" t="s">
        <v>2516</v>
      </c>
      <c r="B58" s="1464"/>
      <c r="C58" s="1464" t="s">
        <v>2518</v>
      </c>
      <c r="D58" s="1464" t="s">
        <v>2519</v>
      </c>
      <c r="E58" s="738" t="s">
        <v>2520</v>
      </c>
      <c r="F58" s="2258" t="s">
        <v>2536</v>
      </c>
      <c r="G58" s="1464" t="s">
        <v>574</v>
      </c>
      <c r="H58" s="2259" t="s">
        <v>2522</v>
      </c>
      <c r="I58" s="1464" t="s">
        <v>2523</v>
      </c>
      <c r="J58" s="550" t="s">
        <v>2174</v>
      </c>
      <c r="K58" s="550" t="s">
        <v>2175</v>
      </c>
      <c r="L58" s="550" t="s">
        <v>2176</v>
      </c>
      <c r="M58" s="550" t="s">
        <v>2177</v>
      </c>
      <c r="N58" s="550" t="s">
        <v>2178</v>
      </c>
      <c r="AA58" s="1213"/>
      <c r="AB58" s="1213"/>
      <c r="AC58" s="1213"/>
      <c r="AD58" s="1213"/>
      <c r="AE58" s="1213"/>
      <c r="AF58" s="1213"/>
      <c r="AG58" s="1213"/>
      <c r="AH58" s="1213"/>
      <c r="AI58" s="1213"/>
      <c r="AJ58" s="1213"/>
      <c r="AK58" s="1213"/>
    </row>
    <row r="59" spans="1:37" s="1212" customFormat="1" ht="62.5">
      <c r="A59" s="2257" t="s">
        <v>2537</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5">
      <c r="A60" s="2257" t="s">
        <v>2525</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6">
      <c r="A61" s="2257" t="s">
        <v>2526</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52">
      <c r="A62" s="2257" t="s">
        <v>2527</v>
      </c>
      <c r="B62" s="2262" t="s">
        <v>2528</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6">
      <c r="A63" s="2257" t="s">
        <v>2529</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6">
      <c r="A64" s="2257" t="s">
        <v>2530</v>
      </c>
      <c r="B64" s="2263" t="s">
        <v>2531</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6">
      <c r="A65" s="2257" t="s">
        <v>2532</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6">
      <c r="A66" s="2257" t="s">
        <v>2533</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3" thickBot="1">
      <c r="A67" s="2265" t="s">
        <v>2534</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4">
      <c r="A68" s="2253" t="s">
        <v>2538</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6">
      <c r="A69" s="2257" t="s">
        <v>2516</v>
      </c>
      <c r="B69" s="1464"/>
      <c r="C69" s="1464" t="s">
        <v>2518</v>
      </c>
      <c r="D69" s="1464" t="s">
        <v>2519</v>
      </c>
      <c r="E69" s="738" t="s">
        <v>2520</v>
      </c>
      <c r="F69" s="2258" t="s">
        <v>2536</v>
      </c>
      <c r="G69" s="1464" t="s">
        <v>574</v>
      </c>
      <c r="H69" s="2259" t="s">
        <v>2522</v>
      </c>
      <c r="I69" s="1464" t="s">
        <v>2523</v>
      </c>
      <c r="J69" s="550" t="s">
        <v>2174</v>
      </c>
      <c r="K69" s="550" t="s">
        <v>2175</v>
      </c>
      <c r="L69" s="550" t="s">
        <v>2176</v>
      </c>
      <c r="M69" s="550" t="s">
        <v>2177</v>
      </c>
      <c r="N69" s="550" t="s">
        <v>2178</v>
      </c>
      <c r="AA69" s="1213"/>
      <c r="AB69" s="1213"/>
      <c r="AC69" s="1213"/>
      <c r="AD69" s="1213"/>
      <c r="AE69" s="1213"/>
      <c r="AF69" s="1213"/>
      <c r="AG69" s="1213"/>
      <c r="AH69" s="1213"/>
      <c r="AI69" s="1213"/>
      <c r="AJ69" s="1213"/>
      <c r="AK69" s="1213"/>
    </row>
    <row r="70" spans="1:37" s="1212" customFormat="1" ht="26">
      <c r="A70" s="2257" t="s">
        <v>2539</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5">
      <c r="A71" s="2257" t="s">
        <v>2525</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6">
      <c r="A72" s="2257" t="s">
        <v>2526</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
      <c r="A73" s="2257" t="s">
        <v>2540</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6">
      <c r="A74" s="2257" t="s">
        <v>2532</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6">
      <c r="A75" s="2257" t="s">
        <v>2533</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6">
      <c r="A76" s="2257" t="s">
        <v>2530</v>
      </c>
      <c r="B76" s="2263" t="s">
        <v>2531</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2.5">
      <c r="A77" s="2257" t="s">
        <v>2534</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6.5" thickBot="1">
      <c r="A78" s="2265" t="s">
        <v>2541</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4">
      <c r="A79" s="2253" t="s">
        <v>2542</v>
      </c>
      <c r="B79" s="2254">
        <f>1+E81</f>
        <v>1</v>
      </c>
      <c r="C79" s="733"/>
      <c r="D79" s="733"/>
      <c r="E79" s="734"/>
      <c r="F79" s="2256"/>
      <c r="G79" s="6"/>
      <c r="H79" s="6"/>
      <c r="I79" s="6"/>
      <c r="J79" s="7"/>
      <c r="K79" s="7"/>
      <c r="L79" s="7"/>
      <c r="M79" s="7"/>
      <c r="N79" s="7"/>
      <c r="Z79" s="2112"/>
      <c r="AA79" s="2178"/>
      <c r="AG79" s="1214"/>
      <c r="AK79" s="2178"/>
    </row>
    <row r="80" spans="1:37" ht="26">
      <c r="A80" s="2257" t="s">
        <v>2516</v>
      </c>
      <c r="B80" s="1464"/>
      <c r="C80" s="1464" t="s">
        <v>2518</v>
      </c>
      <c r="D80" s="1464" t="s">
        <v>2519</v>
      </c>
      <c r="E80" s="738" t="s">
        <v>2520</v>
      </c>
      <c r="F80" s="2258" t="s">
        <v>2536</v>
      </c>
      <c r="G80" s="1464" t="s">
        <v>574</v>
      </c>
      <c r="H80" s="2259" t="s">
        <v>2522</v>
      </c>
      <c r="I80" s="1464" t="s">
        <v>2523</v>
      </c>
      <c r="J80" s="550" t="s">
        <v>2174</v>
      </c>
      <c r="K80" s="550" t="s">
        <v>2175</v>
      </c>
      <c r="L80" s="550" t="s">
        <v>2176</v>
      </c>
      <c r="M80" s="550" t="s">
        <v>2177</v>
      </c>
      <c r="N80" s="550" t="s">
        <v>2178</v>
      </c>
      <c r="Z80" s="2112"/>
      <c r="AA80" s="2178"/>
      <c r="AG80" s="1214"/>
      <c r="AK80" s="2178"/>
    </row>
    <row r="81" spans="1:37" ht="37.5">
      <c r="A81" s="2257" t="s">
        <v>2543</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0">
      <c r="A82" s="2257" t="s">
        <v>2525</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6">
      <c r="A83" s="2257" t="s">
        <v>2526</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
      <c r="A84" s="2257" t="s">
        <v>2540</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6">
      <c r="A85" s="2257" t="s">
        <v>2532</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6">
      <c r="A86" s="2257" t="s">
        <v>2533</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6">
      <c r="A87" s="2257" t="s">
        <v>2530</v>
      </c>
      <c r="B87" s="2263" t="s">
        <v>2544</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50.5" thickBot="1">
      <c r="A88" s="2265" t="s">
        <v>2545</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ht="13">
      <c r="A90" s="3691" t="s">
        <v>2546</v>
      </c>
      <c r="B90" s="3691"/>
      <c r="C90" s="3691"/>
      <c r="D90" s="3691"/>
      <c r="E90" s="3691"/>
      <c r="F90" s="3691"/>
      <c r="G90" s="3691"/>
      <c r="H90" s="3691"/>
      <c r="I90" s="3691"/>
      <c r="J90" s="3691"/>
      <c r="K90" s="2271"/>
      <c r="L90" s="2271"/>
      <c r="M90" s="2271"/>
      <c r="N90" s="2271"/>
    </row>
    <row r="91" spans="1:37" ht="13">
      <c r="A91" s="3693" t="s">
        <v>2547</v>
      </c>
      <c r="B91" s="3693" t="s">
        <v>2548</v>
      </c>
      <c r="C91" s="2225" t="s">
        <v>2549</v>
      </c>
      <c r="D91" s="2226"/>
      <c r="E91" s="2226"/>
      <c r="F91" s="2226"/>
      <c r="G91" s="2226"/>
      <c r="H91" s="2226"/>
      <c r="I91" s="2226"/>
      <c r="J91" s="2272"/>
      <c r="K91" s="2273"/>
      <c r="L91" s="2273"/>
      <c r="M91" s="2273"/>
      <c r="N91" s="2273"/>
    </row>
    <row r="92" spans="1:37" ht="13">
      <c r="A92" s="3693"/>
      <c r="B92" s="3693"/>
      <c r="C92" s="840" t="s">
        <v>2416</v>
      </c>
      <c r="D92" s="840" t="s">
        <v>2417</v>
      </c>
      <c r="E92" s="840" t="s">
        <v>2418</v>
      </c>
      <c r="F92" s="840" t="s">
        <v>2419</v>
      </c>
      <c r="G92" s="840" t="s">
        <v>2420</v>
      </c>
      <c r="H92" s="840" t="s">
        <v>2421</v>
      </c>
      <c r="I92" s="840" t="s">
        <v>2422</v>
      </c>
      <c r="J92" s="840" t="s">
        <v>2423</v>
      </c>
      <c r="K92" s="840" t="s">
        <v>2424</v>
      </c>
      <c r="L92" s="840" t="s">
        <v>2425</v>
      </c>
      <c r="M92" s="840" t="s">
        <v>2426</v>
      </c>
      <c r="N92" s="840" t="s">
        <v>2427</v>
      </c>
    </row>
    <row r="93" spans="1:37">
      <c r="A93" s="3694" t="s">
        <v>2550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695"/>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695"/>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695"/>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695"/>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695"/>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ht="13">
      <c r="A99" s="3695"/>
      <c r="B99" s="2274" t="s">
        <v>2432</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696"/>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ht="13">
      <c r="A101" s="3694" t="s">
        <v>2551</v>
      </c>
      <c r="B101" s="2278" t="s">
        <v>2552</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695"/>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695"/>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695"/>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695"/>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695"/>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695"/>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695"/>
      <c r="B108" s="3697" t="s">
        <v>2553</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696"/>
      <c r="B109" s="3698"/>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ht="13">
      <c r="A110" s="3692" t="s">
        <v>2554</v>
      </c>
      <c r="B110" s="3692"/>
      <c r="C110" s="3692"/>
      <c r="D110" s="3692"/>
      <c r="E110" s="3692"/>
      <c r="F110" s="3692"/>
      <c r="G110" s="3692"/>
      <c r="H110" s="3692"/>
      <c r="I110" s="3692"/>
      <c r="J110" s="3692"/>
      <c r="K110" s="2280"/>
      <c r="L110" s="2280"/>
      <c r="M110" s="2280"/>
      <c r="N110" s="2280"/>
    </row>
    <row r="112" spans="1:14" ht="13" thickBot="1"/>
    <row r="113" spans="1:13" ht="26" thickBot="1">
      <c r="A113" s="804" t="s">
        <v>2555</v>
      </c>
      <c r="B113" s="1157">
        <f>G3</f>
        <v>2.95</v>
      </c>
      <c r="C113" s="805" t="s">
        <v>2556</v>
      </c>
      <c r="D113" s="806">
        <f>SUMPRODUCT((A115:A118=F113)*(B114:M114=H113)*B115:M118)</f>
        <v>0</v>
      </c>
      <c r="E113" s="2116" t="s">
        <v>2389</v>
      </c>
      <c r="F113" s="2282">
        <f>E2</f>
        <v>0</v>
      </c>
      <c r="G113" s="2116" t="s">
        <v>2390</v>
      </c>
      <c r="H113" s="2282">
        <f>G2</f>
        <v>0</v>
      </c>
      <c r="I113" s="2116"/>
      <c r="J113" s="2283"/>
      <c r="K113" s="2283"/>
      <c r="L113" s="2283"/>
      <c r="M113" s="2283"/>
    </row>
    <row r="114" spans="1:13" ht="13">
      <c r="A114" s="809"/>
      <c r="B114" s="2284" t="s">
        <v>2557</v>
      </c>
      <c r="C114" s="2284" t="s">
        <v>2558</v>
      </c>
      <c r="D114" s="2284" t="s">
        <v>2559</v>
      </c>
      <c r="E114" s="2285" t="s">
        <v>2560</v>
      </c>
      <c r="F114" s="2285" t="s">
        <v>2561</v>
      </c>
      <c r="G114" s="2285" t="s">
        <v>2562</v>
      </c>
      <c r="H114" s="2286" t="s">
        <v>2563</v>
      </c>
      <c r="I114" s="2286" t="s">
        <v>2564</v>
      </c>
      <c r="J114" s="2287" t="s">
        <v>2565</v>
      </c>
      <c r="K114" s="2287" t="s">
        <v>2566</v>
      </c>
      <c r="L114" s="2287" t="s">
        <v>2567</v>
      </c>
      <c r="M114" s="2288" t="s">
        <v>2568</v>
      </c>
    </row>
    <row r="115" spans="1:13" ht="13">
      <c r="A115" s="810" t="s">
        <v>2454</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ht="13">
      <c r="A116" s="810" t="s">
        <v>2455</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ht="13">
      <c r="A117" s="810" t="s">
        <v>2456</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2457</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1"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6328125" defaultRowHeight="19.5" customHeight="1"/>
  <cols>
    <col min="1" max="1" width="14.36328125" style="735"/>
    <col min="2" max="9" width="14.36328125" style="781"/>
    <col min="10" max="16384" width="14.36328125" style="735"/>
  </cols>
  <sheetData>
    <row r="1" spans="1:13" ht="19.5" customHeight="1" thickBot="1">
      <c r="A1" s="775" t="s">
        <v>545</v>
      </c>
      <c r="B1" s="750" t="s">
        <v>157</v>
      </c>
      <c r="C1" s="750" t="s">
        <v>158</v>
      </c>
      <c r="D1" s="750" t="s">
        <v>159</v>
      </c>
      <c r="E1" s="750" t="s">
        <v>160</v>
      </c>
      <c r="F1" s="750" t="s">
        <v>161</v>
      </c>
      <c r="G1" s="750" t="s">
        <v>162</v>
      </c>
      <c r="H1" s="750" t="s">
        <v>163</v>
      </c>
      <c r="I1" s="750" t="s">
        <v>164</v>
      </c>
      <c r="J1" s="750" t="s">
        <v>165</v>
      </c>
      <c r="K1" s="750" t="s">
        <v>166</v>
      </c>
      <c r="L1" s="750" t="s">
        <v>167</v>
      </c>
      <c r="M1" s="751" t="s">
        <v>168</v>
      </c>
    </row>
    <row r="2" spans="1:13" ht="19.5" customHeight="1">
      <c r="A2" s="3153" t="s">
        <v>2935</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2936</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2937</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2938</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2939</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2940</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546</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547</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548</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549</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550</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551</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552</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553</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554</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2619</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555</v>
      </c>
      <c r="B18" s="779"/>
      <c r="C18" s="780"/>
      <c r="D18" s="780"/>
      <c r="E18" s="779"/>
      <c r="F18" s="780"/>
      <c r="G18" s="780"/>
    </row>
    <row r="19" spans="1:13" ht="19.5" customHeight="1" thickBot="1">
      <c r="A19" s="3174" t="s">
        <v>2941</v>
      </c>
      <c r="B19" s="3176" t="s">
        <v>2942</v>
      </c>
      <c r="C19" s="3177" t="s">
        <v>2943</v>
      </c>
      <c r="D19" s="3178"/>
      <c r="E19" s="3172" t="s">
        <v>2944</v>
      </c>
      <c r="F19" s="783"/>
      <c r="G19" s="783"/>
    </row>
    <row r="20" spans="1:13" s="788" customFormat="1" ht="19.5" customHeight="1">
      <c r="A20" s="3722" t="s">
        <v>2945</v>
      </c>
      <c r="B20" s="3715" t="s">
        <v>2946</v>
      </c>
      <c r="C20" s="3179" t="s">
        <v>2947</v>
      </c>
      <c r="D20" s="3180"/>
      <c r="E20" s="3181">
        <v>1</v>
      </c>
      <c r="F20" s="3182" t="s">
        <v>2948</v>
      </c>
      <c r="G20" s="787"/>
      <c r="H20" s="781"/>
      <c r="I20" s="781"/>
    </row>
    <row r="21" spans="1:13" s="788" customFormat="1" ht="19.5" customHeight="1">
      <c r="A21" s="3723"/>
      <c r="B21" s="3716"/>
      <c r="C21" s="785" t="s">
        <v>2949</v>
      </c>
      <c r="D21" s="786"/>
      <c r="E21" s="3183">
        <v>1</v>
      </c>
      <c r="F21" s="3182" t="s">
        <v>2950</v>
      </c>
      <c r="G21" s="787"/>
      <c r="H21" s="781"/>
      <c r="I21" s="781"/>
    </row>
    <row r="22" spans="1:13" s="788" customFormat="1" ht="19.5" customHeight="1">
      <c r="A22" s="3723"/>
      <c r="B22" s="3716"/>
      <c r="C22" s="785" t="s">
        <v>2951</v>
      </c>
      <c r="D22" s="786"/>
      <c r="E22" s="3183">
        <v>0.9</v>
      </c>
      <c r="F22" s="3182" t="s">
        <v>2952</v>
      </c>
      <c r="G22" s="787"/>
      <c r="H22" s="781"/>
      <c r="I22" s="781"/>
    </row>
    <row r="23" spans="1:13" s="788" customFormat="1" ht="19.5" customHeight="1">
      <c r="A23" s="3723"/>
      <c r="B23" s="3716"/>
      <c r="C23" s="785" t="s">
        <v>2953</v>
      </c>
      <c r="D23" s="786"/>
      <c r="E23" s="3183">
        <v>0.9</v>
      </c>
      <c r="F23" s="3182" t="s">
        <v>2954</v>
      </c>
      <c r="G23" s="787"/>
      <c r="H23" s="781"/>
      <c r="I23" s="781"/>
    </row>
    <row r="24" spans="1:13" s="788" customFormat="1" ht="19.5" customHeight="1">
      <c r="A24" s="3723"/>
      <c r="B24" s="3716"/>
      <c r="C24" s="785" t="s">
        <v>2955</v>
      </c>
      <c r="D24" s="786"/>
      <c r="E24" s="3183">
        <v>0.8</v>
      </c>
      <c r="F24" s="3182" t="s">
        <v>2956</v>
      </c>
      <c r="G24" s="787"/>
      <c r="H24" s="781"/>
      <c r="I24" s="781"/>
    </row>
    <row r="25" spans="1:13" s="788" customFormat="1" ht="19.5" customHeight="1" thickBot="1">
      <c r="A25" s="3724"/>
      <c r="B25" s="3717"/>
      <c r="C25" s="3184" t="s">
        <v>2957</v>
      </c>
      <c r="D25" s="3185"/>
      <c r="E25" s="3186">
        <v>0.8</v>
      </c>
      <c r="F25" s="3182" t="s">
        <v>2958</v>
      </c>
      <c r="G25" s="787"/>
      <c r="H25" s="781"/>
      <c r="I25" s="781"/>
    </row>
    <row r="26" spans="1:13" s="788" customFormat="1" ht="19.5" customHeight="1" thickBot="1">
      <c r="A26" s="3187" t="s">
        <v>2959</v>
      </c>
      <c r="B26" s="3188" t="s">
        <v>2946</v>
      </c>
      <c r="C26" s="3189" t="s">
        <v>2960</v>
      </c>
      <c r="D26" s="3190"/>
      <c r="E26" s="3191">
        <v>1</v>
      </c>
      <c r="F26" s="3182" t="s">
        <v>2961</v>
      </c>
      <c r="G26" s="787"/>
      <c r="H26" s="781"/>
      <c r="I26" s="781"/>
    </row>
    <row r="27" spans="1:13" s="788" customFormat="1" ht="19.5" customHeight="1">
      <c r="A27" s="3718" t="s">
        <v>2962</v>
      </c>
      <c r="B27" s="3715" t="s">
        <v>2962</v>
      </c>
      <c r="C27" s="3179" t="s">
        <v>2963</v>
      </c>
      <c r="D27" s="3180"/>
      <c r="E27" s="3181">
        <v>1</v>
      </c>
      <c r="F27" s="3182" t="s">
        <v>2964</v>
      </c>
      <c r="G27" s="787"/>
      <c r="H27" s="781"/>
      <c r="I27" s="781"/>
    </row>
    <row r="28" spans="1:13" s="788" customFormat="1" ht="19.5" customHeight="1">
      <c r="A28" s="3719"/>
      <c r="B28" s="3716"/>
      <c r="C28" s="785" t="s">
        <v>2965</v>
      </c>
      <c r="D28" s="786"/>
      <c r="E28" s="3183">
        <v>1</v>
      </c>
      <c r="F28" s="3182" t="s">
        <v>2966</v>
      </c>
      <c r="G28" s="787"/>
      <c r="H28" s="781"/>
      <c r="I28" s="781"/>
    </row>
    <row r="29" spans="1:13" s="788" customFormat="1" ht="19.5" customHeight="1">
      <c r="A29" s="3719"/>
      <c r="B29" s="3716"/>
      <c r="C29" s="785" t="s">
        <v>2967</v>
      </c>
      <c r="D29" s="786"/>
      <c r="E29" s="3183">
        <v>0.8</v>
      </c>
      <c r="F29" s="3182" t="s">
        <v>2968</v>
      </c>
      <c r="G29" s="787"/>
      <c r="H29" s="781"/>
      <c r="I29" s="781"/>
    </row>
    <row r="30" spans="1:13" s="788" customFormat="1" ht="19.5" customHeight="1">
      <c r="A30" s="3719"/>
      <c r="B30" s="3716"/>
      <c r="C30" s="785" t="s">
        <v>2969</v>
      </c>
      <c r="D30" s="786"/>
      <c r="E30" s="3183">
        <v>0.8</v>
      </c>
      <c r="F30" s="3182" t="s">
        <v>2970</v>
      </c>
      <c r="G30" s="787"/>
      <c r="H30" s="781"/>
      <c r="I30" s="781"/>
    </row>
    <row r="31" spans="1:13" s="788" customFormat="1" ht="19.5" customHeight="1">
      <c r="A31" s="3719"/>
      <c r="B31" s="3716"/>
      <c r="C31" s="785" t="s">
        <v>2971</v>
      </c>
      <c r="D31" s="786"/>
      <c r="E31" s="3183">
        <v>0.8</v>
      </c>
      <c r="F31" s="3182" t="s">
        <v>2972</v>
      </c>
      <c r="G31" s="787"/>
      <c r="H31" s="781"/>
      <c r="I31" s="781"/>
    </row>
    <row r="32" spans="1:13" s="788" customFormat="1" ht="19.5" customHeight="1">
      <c r="A32" s="3719"/>
      <c r="B32" s="3716"/>
      <c r="C32" s="785" t="s">
        <v>2973</v>
      </c>
      <c r="D32" s="786"/>
      <c r="E32" s="3183">
        <v>0.7</v>
      </c>
      <c r="F32" s="3182" t="s">
        <v>2974</v>
      </c>
      <c r="G32" s="787"/>
      <c r="H32" s="781"/>
      <c r="I32" s="781"/>
    </row>
    <row r="33" spans="1:9" s="788" customFormat="1" ht="19.5" customHeight="1">
      <c r="A33" s="3719"/>
      <c r="B33" s="3716"/>
      <c r="C33" s="785" t="s">
        <v>2975</v>
      </c>
      <c r="D33" s="786"/>
      <c r="E33" s="3183">
        <v>0.8</v>
      </c>
      <c r="F33" s="3182" t="s">
        <v>2976</v>
      </c>
      <c r="G33" s="787"/>
      <c r="H33" s="781"/>
      <c r="I33" s="781"/>
    </row>
    <row r="34" spans="1:9" s="788" customFormat="1" ht="19.5" customHeight="1">
      <c r="A34" s="3719"/>
      <c r="B34" s="3716"/>
      <c r="C34" s="785" t="s">
        <v>2977</v>
      </c>
      <c r="D34" s="786"/>
      <c r="E34" s="3183">
        <v>0.6</v>
      </c>
      <c r="F34" s="3182" t="s">
        <v>2978</v>
      </c>
      <c r="G34" s="787"/>
      <c r="H34" s="781"/>
      <c r="I34" s="781"/>
    </row>
    <row r="35" spans="1:9" s="788" customFormat="1" ht="19.5" customHeight="1">
      <c r="A35" s="3719"/>
      <c r="B35" s="3716"/>
      <c r="C35" s="785" t="s">
        <v>2979</v>
      </c>
      <c r="D35" s="786"/>
      <c r="E35" s="3183">
        <v>0.2</v>
      </c>
      <c r="F35" s="3182" t="s">
        <v>2980</v>
      </c>
      <c r="G35" s="787"/>
      <c r="H35" s="781"/>
      <c r="I35" s="781"/>
    </row>
    <row r="36" spans="1:9" s="788" customFormat="1" ht="19.5" customHeight="1">
      <c r="A36" s="3719"/>
      <c r="B36" s="3716"/>
      <c r="C36" s="785" t="s">
        <v>2981</v>
      </c>
      <c r="D36" s="786"/>
      <c r="E36" s="3183">
        <v>0.2</v>
      </c>
      <c r="F36" s="3182" t="s">
        <v>2982</v>
      </c>
      <c r="G36" s="787"/>
      <c r="H36" s="781"/>
      <c r="I36" s="781"/>
    </row>
    <row r="37" spans="1:9" s="788" customFormat="1" ht="19.5" customHeight="1">
      <c r="A37" s="3719"/>
      <c r="B37" s="3721" t="s">
        <v>2983</v>
      </c>
      <c r="C37" s="785" t="s">
        <v>2984</v>
      </c>
      <c r="D37" s="786"/>
      <c r="E37" s="3183">
        <v>0.6</v>
      </c>
      <c r="F37" s="3182" t="s">
        <v>2985</v>
      </c>
      <c r="G37" s="787"/>
      <c r="H37" s="781"/>
      <c r="I37" s="781"/>
    </row>
    <row r="38" spans="1:9" s="788" customFormat="1" ht="19.5" customHeight="1">
      <c r="A38" s="3719"/>
      <c r="B38" s="3716"/>
      <c r="C38" s="785" t="s">
        <v>2986</v>
      </c>
      <c r="D38" s="786"/>
      <c r="E38" s="3183">
        <v>0.6</v>
      </c>
      <c r="F38" s="3182" t="s">
        <v>2987</v>
      </c>
      <c r="G38" s="787"/>
      <c r="H38" s="781"/>
      <c r="I38" s="781"/>
    </row>
    <row r="39" spans="1:9" s="788" customFormat="1" ht="19.5" customHeight="1" thickBot="1">
      <c r="A39" s="3720"/>
      <c r="B39" s="3717"/>
      <c r="C39" s="3184" t="s">
        <v>2988</v>
      </c>
      <c r="D39" s="3185"/>
      <c r="E39" s="3186">
        <v>0.6</v>
      </c>
      <c r="F39" s="3182" t="s">
        <v>2989</v>
      </c>
      <c r="G39" s="787"/>
      <c r="H39" s="781"/>
      <c r="I39" s="781"/>
    </row>
    <row r="40" spans="1:9" s="788" customFormat="1" ht="19.5" customHeight="1" thickBot="1">
      <c r="A40" s="3187" t="s">
        <v>2990</v>
      </c>
      <c r="B40" s="3188" t="s">
        <v>2990</v>
      </c>
      <c r="C40" s="3189" t="s">
        <v>2991</v>
      </c>
      <c r="D40" s="3190"/>
      <c r="E40" s="3191">
        <v>1</v>
      </c>
      <c r="F40" s="3182" t="s">
        <v>2992</v>
      </c>
      <c r="G40" s="787"/>
      <c r="H40" s="781"/>
      <c r="I40" s="781"/>
    </row>
    <row r="41" spans="1:9" s="788" customFormat="1" ht="19.5" customHeight="1">
      <c r="A41" s="3722" t="s">
        <v>2993</v>
      </c>
      <c r="B41" s="3715" t="s">
        <v>2994</v>
      </c>
      <c r="C41" s="3179" t="s">
        <v>2995</v>
      </c>
      <c r="D41" s="3180"/>
      <c r="E41" s="3181">
        <v>1</v>
      </c>
      <c r="F41" s="3182" t="s">
        <v>2996</v>
      </c>
      <c r="G41" s="787"/>
      <c r="H41" s="781"/>
      <c r="I41" s="781"/>
    </row>
    <row r="42" spans="1:9" s="788" customFormat="1" ht="19.5" customHeight="1">
      <c r="A42" s="3723"/>
      <c r="B42" s="3716"/>
      <c r="C42" s="785" t="s">
        <v>2997</v>
      </c>
      <c r="D42" s="786"/>
      <c r="E42" s="3183">
        <v>1</v>
      </c>
      <c r="F42" s="3182" t="s">
        <v>2998</v>
      </c>
      <c r="G42" s="787"/>
      <c r="H42" s="781"/>
      <c r="I42" s="781"/>
    </row>
    <row r="43" spans="1:9" s="788" customFormat="1" ht="19.5" customHeight="1">
      <c r="A43" s="3723"/>
      <c r="B43" s="3725"/>
      <c r="C43" s="785" t="s">
        <v>2999</v>
      </c>
      <c r="D43" s="786"/>
      <c r="E43" s="3183">
        <v>1.5</v>
      </c>
      <c r="F43" s="3182" t="s">
        <v>3000</v>
      </c>
      <c r="G43" s="787"/>
      <c r="H43" s="781"/>
      <c r="I43" s="781"/>
    </row>
    <row r="44" spans="1:9" s="788" customFormat="1" ht="19.5" customHeight="1">
      <c r="A44" s="3723"/>
      <c r="B44" s="3192" t="s">
        <v>2962</v>
      </c>
      <c r="C44" s="785" t="s">
        <v>3001</v>
      </c>
      <c r="D44" s="786"/>
      <c r="E44" s="3183">
        <v>2</v>
      </c>
      <c r="F44" s="3182" t="s">
        <v>3002</v>
      </c>
      <c r="G44" s="787"/>
      <c r="H44" s="781"/>
      <c r="I44" s="781"/>
    </row>
    <row r="45" spans="1:9" s="788" customFormat="1" ht="19.5" customHeight="1">
      <c r="A45" s="3723"/>
      <c r="B45" s="3721" t="s">
        <v>3003</v>
      </c>
      <c r="C45" s="785" t="s">
        <v>3004</v>
      </c>
      <c r="D45" s="786"/>
      <c r="E45" s="3183">
        <v>1</v>
      </c>
      <c r="F45" s="3182" t="s">
        <v>3005</v>
      </c>
      <c r="G45" s="787"/>
      <c r="H45" s="781"/>
      <c r="I45" s="781"/>
    </row>
    <row r="46" spans="1:9" s="788" customFormat="1" ht="19.5" customHeight="1">
      <c r="A46" s="3723"/>
      <c r="B46" s="3716"/>
      <c r="C46" s="785" t="s">
        <v>3006</v>
      </c>
      <c r="D46" s="786"/>
      <c r="E46" s="3183">
        <v>1</v>
      </c>
      <c r="F46" s="3182" t="s">
        <v>3007</v>
      </c>
      <c r="G46" s="787"/>
      <c r="H46" s="781"/>
      <c r="I46" s="781"/>
    </row>
    <row r="47" spans="1:9" s="788" customFormat="1" ht="19.5" customHeight="1">
      <c r="A47" s="3723"/>
      <c r="B47" s="3716"/>
      <c r="C47" s="785" t="s">
        <v>3008</v>
      </c>
      <c r="D47" s="786"/>
      <c r="E47" s="3183">
        <v>1</v>
      </c>
      <c r="F47" s="3182" t="s">
        <v>3009</v>
      </c>
      <c r="G47" s="787"/>
      <c r="H47" s="781"/>
      <c r="I47" s="781"/>
    </row>
    <row r="48" spans="1:9" s="788" customFormat="1" ht="19.5" customHeight="1">
      <c r="A48" s="3723"/>
      <c r="B48" s="3716"/>
      <c r="C48" s="785" t="s">
        <v>3010</v>
      </c>
      <c r="D48" s="786"/>
      <c r="E48" s="3183">
        <v>1</v>
      </c>
      <c r="F48" s="3182" t="s">
        <v>3011</v>
      </c>
      <c r="G48" s="787"/>
      <c r="H48" s="781"/>
      <c r="I48" s="781"/>
    </row>
    <row r="49" spans="1:9" s="788" customFormat="1" ht="19.5" customHeight="1">
      <c r="A49" s="3723"/>
      <c r="B49" s="3716"/>
      <c r="C49" s="785" t="s">
        <v>3012</v>
      </c>
      <c r="D49" s="786"/>
      <c r="E49" s="3183">
        <v>1</v>
      </c>
      <c r="F49" s="3182" t="s">
        <v>3013</v>
      </c>
      <c r="G49" s="787"/>
      <c r="H49" s="781"/>
      <c r="I49" s="781"/>
    </row>
    <row r="50" spans="1:9" s="788" customFormat="1" ht="19.5" customHeight="1">
      <c r="A50" s="3723"/>
      <c r="B50" s="3716"/>
      <c r="C50" s="785" t="s">
        <v>3014</v>
      </c>
      <c r="D50" s="786"/>
      <c r="E50" s="3183">
        <v>1</v>
      </c>
      <c r="F50" s="3182" t="s">
        <v>3015</v>
      </c>
      <c r="G50" s="787"/>
      <c r="H50" s="781"/>
      <c r="I50" s="781"/>
    </row>
    <row r="51" spans="1:9" s="788" customFormat="1" ht="19.5" customHeight="1" thickBot="1">
      <c r="A51" s="3724"/>
      <c r="B51" s="3717"/>
      <c r="C51" s="3184" t="s">
        <v>3016</v>
      </c>
      <c r="D51" s="3185"/>
      <c r="E51" s="3186">
        <v>1</v>
      </c>
      <c r="F51" s="3182" t="s">
        <v>3017</v>
      </c>
      <c r="G51" s="787"/>
      <c r="H51" s="781"/>
      <c r="I51" s="781"/>
    </row>
    <row r="52" spans="1:9" s="788" customFormat="1" ht="19.5" customHeight="1">
      <c r="A52" s="789"/>
      <c r="B52" s="789"/>
      <c r="C52" s="789"/>
      <c r="D52" s="789"/>
      <c r="E52" s="789"/>
      <c r="F52" s="790"/>
      <c r="G52" s="790"/>
      <c r="H52" s="781"/>
      <c r="I52" s="781"/>
    </row>
    <row r="54" spans="1:9" ht="19.5" customHeight="1">
      <c r="A54" s="791"/>
      <c r="B54" s="737" t="s">
        <v>556</v>
      </c>
      <c r="C54" s="737" t="s">
        <v>556</v>
      </c>
      <c r="D54" s="737" t="s">
        <v>556</v>
      </c>
      <c r="E54" s="742" t="s">
        <v>556</v>
      </c>
      <c r="F54" s="742" t="s">
        <v>557</v>
      </c>
      <c r="G54" s="742" t="s">
        <v>556</v>
      </c>
      <c r="I54" s="735"/>
    </row>
    <row r="55" spans="1:9" ht="19.5" customHeight="1">
      <c r="A55" s="792"/>
      <c r="B55" s="742" t="s">
        <v>183</v>
      </c>
      <c r="C55" s="742" t="s">
        <v>183</v>
      </c>
      <c r="D55" s="742" t="s">
        <v>183</v>
      </c>
      <c r="E55" s="737" t="s">
        <v>184</v>
      </c>
      <c r="F55" s="737" t="s">
        <v>185</v>
      </c>
      <c r="G55" s="737" t="s">
        <v>558</v>
      </c>
      <c r="I55" s="735"/>
    </row>
    <row r="56" spans="1:9" ht="19.5" customHeight="1">
      <c r="A56" s="793"/>
      <c r="B56" s="737">
        <v>1</v>
      </c>
      <c r="C56" s="737">
        <v>2</v>
      </c>
      <c r="D56" s="737">
        <v>3</v>
      </c>
      <c r="E56" s="782" t="s">
        <v>559</v>
      </c>
      <c r="F56" s="782" t="s">
        <v>559</v>
      </c>
      <c r="G56" s="782" t="s">
        <v>559</v>
      </c>
      <c r="I56" s="735"/>
    </row>
    <row r="57" spans="1:9" ht="19.5" customHeight="1">
      <c r="A57" s="794" t="s">
        <v>157</v>
      </c>
      <c r="B57" s="3172">
        <v>0.7</v>
      </c>
      <c r="C57" s="3172">
        <v>0.4</v>
      </c>
      <c r="D57" s="3172">
        <v>0.3</v>
      </c>
      <c r="E57" s="3178">
        <v>0.3</v>
      </c>
      <c r="F57" s="3172">
        <v>0.3</v>
      </c>
      <c r="G57" s="3172">
        <v>0.2</v>
      </c>
      <c r="I57" s="735"/>
    </row>
    <row r="58" spans="1:9" ht="19.5" customHeight="1">
      <c r="A58" s="794" t="s">
        <v>158</v>
      </c>
      <c r="B58" s="3172">
        <v>0.7</v>
      </c>
      <c r="C58" s="3172">
        <v>0.4</v>
      </c>
      <c r="D58" s="3172">
        <v>0.3</v>
      </c>
      <c r="E58" s="3172">
        <v>0.3</v>
      </c>
      <c r="F58" s="3172">
        <v>0.3</v>
      </c>
      <c r="G58" s="3172">
        <v>0.2</v>
      </c>
      <c r="I58" s="735"/>
    </row>
    <row r="59" spans="1:9" ht="19.5" customHeight="1">
      <c r="A59" s="794" t="s">
        <v>159</v>
      </c>
      <c r="B59" s="3172">
        <v>0.6</v>
      </c>
      <c r="C59" s="3172">
        <v>0.3</v>
      </c>
      <c r="D59" s="3172">
        <v>0.25</v>
      </c>
      <c r="E59" s="3172">
        <v>0.25</v>
      </c>
      <c r="F59" s="3172">
        <v>0.25</v>
      </c>
      <c r="G59" s="3172">
        <v>0.15</v>
      </c>
      <c r="I59" s="735"/>
    </row>
    <row r="60" spans="1:9" ht="19.5" customHeight="1">
      <c r="A60" s="794" t="s">
        <v>160</v>
      </c>
      <c r="B60" s="3172">
        <v>0.6</v>
      </c>
      <c r="C60" s="3172">
        <v>0.3</v>
      </c>
      <c r="D60" s="3172">
        <v>0.25</v>
      </c>
      <c r="E60" s="3172">
        <v>0.25</v>
      </c>
      <c r="F60" s="3172">
        <v>0.25</v>
      </c>
      <c r="G60" s="3172">
        <v>0.15</v>
      </c>
      <c r="I60" s="735"/>
    </row>
    <row r="61" spans="1:9" s="781" customFormat="1" ht="19.5" customHeight="1">
      <c r="A61" s="794" t="s">
        <v>161</v>
      </c>
      <c r="B61" s="3172">
        <v>0.6</v>
      </c>
      <c r="C61" s="3172">
        <v>0.3</v>
      </c>
      <c r="D61" s="3172">
        <v>0.25</v>
      </c>
      <c r="E61" s="3172">
        <v>0.25</v>
      </c>
      <c r="F61" s="3172">
        <v>0.25</v>
      </c>
      <c r="G61" s="3172">
        <v>0.15</v>
      </c>
    </row>
    <row r="62" spans="1:9" s="781" customFormat="1" ht="19.5" customHeight="1">
      <c r="A62" s="794" t="s">
        <v>162</v>
      </c>
      <c r="B62" s="3172">
        <v>0.6</v>
      </c>
      <c r="C62" s="3172">
        <v>0.3</v>
      </c>
      <c r="D62" s="3172">
        <v>0.25</v>
      </c>
      <c r="E62" s="3172">
        <v>0.25</v>
      </c>
      <c r="F62" s="3172">
        <v>0.25</v>
      </c>
      <c r="G62" s="3172">
        <v>0.15</v>
      </c>
    </row>
    <row r="63" spans="1:9" s="781" customFormat="1" ht="19.5" customHeight="1">
      <c r="A63" s="794" t="s">
        <v>163</v>
      </c>
      <c r="B63" s="3172">
        <v>0.6</v>
      </c>
      <c r="C63" s="3172">
        <v>0.3</v>
      </c>
      <c r="D63" s="3172">
        <v>0.25</v>
      </c>
      <c r="E63" s="3172">
        <v>0.25</v>
      </c>
      <c r="F63" s="3172">
        <v>0.25</v>
      </c>
      <c r="G63" s="3172">
        <v>0.15</v>
      </c>
    </row>
    <row r="64" spans="1:9" s="781" customFormat="1" ht="19.5" customHeight="1">
      <c r="A64" s="794" t="s">
        <v>164</v>
      </c>
      <c r="B64" s="3172">
        <v>0.5</v>
      </c>
      <c r="C64" s="3172">
        <v>0.2</v>
      </c>
      <c r="D64" s="3172">
        <v>0.2</v>
      </c>
      <c r="E64" s="3172">
        <v>0.2</v>
      </c>
      <c r="F64" s="3172">
        <v>0.2</v>
      </c>
      <c r="G64" s="3172">
        <v>0.1</v>
      </c>
    </row>
    <row r="65" spans="1:7" s="781" customFormat="1" ht="19.5" customHeight="1">
      <c r="A65" s="794" t="s">
        <v>165</v>
      </c>
      <c r="B65" s="3172">
        <v>0.5</v>
      </c>
      <c r="C65" s="3172">
        <v>0.2</v>
      </c>
      <c r="D65" s="3172">
        <v>0.2</v>
      </c>
      <c r="E65" s="3172">
        <v>0.2</v>
      </c>
      <c r="F65" s="3172">
        <v>0.2</v>
      </c>
      <c r="G65" s="3172">
        <v>0.1</v>
      </c>
    </row>
    <row r="66" spans="1:7" s="781" customFormat="1" ht="19.5" customHeight="1">
      <c r="A66" s="794" t="s">
        <v>166</v>
      </c>
      <c r="B66" s="3172">
        <v>0.5</v>
      </c>
      <c r="C66" s="3172">
        <v>0.2</v>
      </c>
      <c r="D66" s="3172">
        <v>0.2</v>
      </c>
      <c r="E66" s="3172">
        <v>0.2</v>
      </c>
      <c r="F66" s="3172">
        <v>0.2</v>
      </c>
      <c r="G66" s="3172">
        <v>0.1</v>
      </c>
    </row>
    <row r="67" spans="1:7" s="781" customFormat="1" ht="19.5" customHeight="1">
      <c r="A67" s="794" t="s">
        <v>167</v>
      </c>
      <c r="B67" s="3172">
        <v>0.5</v>
      </c>
      <c r="C67" s="3172">
        <v>0.2</v>
      </c>
      <c r="D67" s="3172">
        <v>0.2</v>
      </c>
      <c r="E67" s="3172">
        <v>0.2</v>
      </c>
      <c r="F67" s="3172">
        <v>0.2</v>
      </c>
      <c r="G67" s="3172">
        <v>0.1</v>
      </c>
    </row>
    <row r="68" spans="1:7" s="781" customFormat="1" ht="19.5" customHeight="1">
      <c r="A68" s="794" t="s">
        <v>168</v>
      </c>
      <c r="B68" s="3172">
        <v>0.5</v>
      </c>
      <c r="C68" s="3172">
        <v>0.2</v>
      </c>
      <c r="D68" s="3172">
        <v>0.2</v>
      </c>
      <c r="E68" s="3172">
        <v>0.2</v>
      </c>
      <c r="F68" s="3172">
        <v>0.2</v>
      </c>
      <c r="G68" s="3172">
        <v>0.1</v>
      </c>
    </row>
    <row r="70" spans="1:7" s="781" customFormat="1" ht="19.5" customHeight="1">
      <c r="A70" s="795"/>
      <c r="B70" s="779"/>
      <c r="C70" s="779"/>
      <c r="D70" s="779" t="s">
        <v>560</v>
      </c>
      <c r="E70" s="779"/>
      <c r="F70" s="779"/>
    </row>
    <row r="71" spans="1:7" s="781" customFormat="1" ht="19.5" customHeight="1">
      <c r="A71" s="784" t="s">
        <v>561</v>
      </c>
      <c r="B71" s="784" t="s">
        <v>562</v>
      </c>
      <c r="C71" s="784" t="s">
        <v>563</v>
      </c>
      <c r="D71" s="784" t="s">
        <v>564</v>
      </c>
      <c r="E71" s="784" t="s">
        <v>565</v>
      </c>
      <c r="F71" s="784" t="s">
        <v>566</v>
      </c>
    </row>
    <row r="72" spans="1:7" ht="14">
      <c r="A72" s="839"/>
      <c r="B72" s="839"/>
      <c r="C72" s="839" t="s">
        <v>3018</v>
      </c>
      <c r="D72" s="839"/>
      <c r="E72" s="796" t="s">
        <v>1</v>
      </c>
      <c r="F72" s="839" t="s">
        <v>1</v>
      </c>
    </row>
    <row r="73" spans="1:7" s="781" customFormat="1" ht="14">
      <c r="A73" s="3192">
        <v>1</v>
      </c>
      <c r="B73" s="3721" t="s">
        <v>3019</v>
      </c>
      <c r="C73" s="3172" t="s">
        <v>3020</v>
      </c>
      <c r="D73" s="3172" t="s">
        <v>3021</v>
      </c>
      <c r="E73" s="3193">
        <v>0.2</v>
      </c>
      <c r="F73" s="3192">
        <v>25</v>
      </c>
    </row>
    <row r="74" spans="1:7" s="781" customFormat="1" ht="26">
      <c r="A74" s="3192">
        <v>2</v>
      </c>
      <c r="B74" s="3716"/>
      <c r="C74" s="3172" t="s">
        <v>3022</v>
      </c>
      <c r="D74" s="3172" t="s">
        <v>3023</v>
      </c>
      <c r="E74" s="3193">
        <v>0.2</v>
      </c>
      <c r="F74" s="3192">
        <v>25</v>
      </c>
    </row>
    <row r="75" spans="1:7" s="781" customFormat="1" ht="26">
      <c r="A75" s="3192">
        <v>3</v>
      </c>
      <c r="B75" s="3716"/>
      <c r="C75" s="3172" t="s">
        <v>3024</v>
      </c>
      <c r="D75" s="3172" t="s">
        <v>3025</v>
      </c>
      <c r="E75" s="3193">
        <v>0.2</v>
      </c>
      <c r="F75" s="3192">
        <v>25</v>
      </c>
    </row>
    <row r="76" spans="1:7" s="781" customFormat="1" ht="14">
      <c r="A76" s="3192">
        <v>4</v>
      </c>
      <c r="B76" s="3716"/>
      <c r="C76" s="3172" t="s">
        <v>3026</v>
      </c>
      <c r="D76" s="3172" t="s">
        <v>3027</v>
      </c>
      <c r="E76" s="3193">
        <v>0.15</v>
      </c>
      <c r="F76" s="3192">
        <v>20</v>
      </c>
    </row>
    <row r="77" spans="1:7" s="781" customFormat="1" ht="26">
      <c r="A77" s="3192">
        <v>5</v>
      </c>
      <c r="B77" s="3716"/>
      <c r="C77" s="3172" t="s">
        <v>3028</v>
      </c>
      <c r="D77" s="3172" t="s">
        <v>3029</v>
      </c>
      <c r="E77" s="3193">
        <v>0.15</v>
      </c>
      <c r="F77" s="3192">
        <v>20</v>
      </c>
    </row>
    <row r="78" spans="1:7" s="781" customFormat="1" ht="26">
      <c r="A78" s="3192">
        <v>6</v>
      </c>
      <c r="B78" s="3716"/>
      <c r="C78" s="3172" t="s">
        <v>3030</v>
      </c>
      <c r="D78" s="3172" t="s">
        <v>3031</v>
      </c>
      <c r="E78" s="3193">
        <v>0.15</v>
      </c>
      <c r="F78" s="3192">
        <v>20</v>
      </c>
    </row>
    <row r="79" spans="1:7" s="781" customFormat="1" ht="26">
      <c r="A79" s="3192">
        <v>7</v>
      </c>
      <c r="B79" s="3716"/>
      <c r="C79" s="3172" t="s">
        <v>3032</v>
      </c>
      <c r="D79" s="3172" t="s">
        <v>3033</v>
      </c>
      <c r="E79" s="3193">
        <v>0.15</v>
      </c>
      <c r="F79" s="3192">
        <v>20</v>
      </c>
    </row>
    <row r="80" spans="1:7" s="781" customFormat="1" ht="26">
      <c r="A80" s="3192">
        <v>8</v>
      </c>
      <c r="B80" s="3716"/>
      <c r="C80" s="3172" t="s">
        <v>3034</v>
      </c>
      <c r="D80" s="3172" t="s">
        <v>3035</v>
      </c>
      <c r="E80" s="3193">
        <v>0.1</v>
      </c>
      <c r="F80" s="3192">
        <v>15</v>
      </c>
    </row>
    <row r="81" spans="1:6" s="781" customFormat="1" ht="26">
      <c r="A81" s="3192">
        <v>9</v>
      </c>
      <c r="B81" s="3716"/>
      <c r="C81" s="3172" t="s">
        <v>3036</v>
      </c>
      <c r="D81" s="3172" t="s">
        <v>3037</v>
      </c>
      <c r="E81" s="3193">
        <v>0.1</v>
      </c>
      <c r="F81" s="3192">
        <v>15</v>
      </c>
    </row>
    <row r="82" spans="1:6" s="781" customFormat="1" ht="26">
      <c r="A82" s="3192">
        <v>10</v>
      </c>
      <c r="B82" s="3716"/>
      <c r="C82" s="3172" t="s">
        <v>3038</v>
      </c>
      <c r="D82" s="3172" t="s">
        <v>3039</v>
      </c>
      <c r="E82" s="3193">
        <v>0.1</v>
      </c>
      <c r="F82" s="3192">
        <v>15</v>
      </c>
    </row>
    <row r="83" spans="1:6" s="781" customFormat="1" ht="26">
      <c r="A83" s="3192">
        <v>11</v>
      </c>
      <c r="B83" s="3716"/>
      <c r="C83" s="3172" t="s">
        <v>3040</v>
      </c>
      <c r="D83" s="3172" t="s">
        <v>3041</v>
      </c>
      <c r="E83" s="3193">
        <v>0.1</v>
      </c>
      <c r="F83" s="3192">
        <v>15</v>
      </c>
    </row>
    <row r="84" spans="1:6" s="781" customFormat="1" ht="26">
      <c r="A84" s="3192">
        <v>12</v>
      </c>
      <c r="B84" s="3716"/>
      <c r="C84" s="3172" t="s">
        <v>3042</v>
      </c>
      <c r="D84" s="3172" t="s">
        <v>3043</v>
      </c>
      <c r="E84" s="3193">
        <v>0.1</v>
      </c>
      <c r="F84" s="3192">
        <v>15</v>
      </c>
    </row>
    <row r="85" spans="1:6" s="781" customFormat="1" ht="26">
      <c r="A85" s="3192">
        <v>13</v>
      </c>
      <c r="B85" s="3716"/>
      <c r="C85" s="3172" t="s">
        <v>3044</v>
      </c>
      <c r="D85" s="3172" t="s">
        <v>3045</v>
      </c>
      <c r="E85" s="3193">
        <v>0.1</v>
      </c>
      <c r="F85" s="3192">
        <v>15</v>
      </c>
    </row>
    <row r="86" spans="1:6" s="781" customFormat="1" ht="26">
      <c r="A86" s="3192">
        <v>14</v>
      </c>
      <c r="B86" s="3716"/>
      <c r="C86" s="3172" t="s">
        <v>3046</v>
      </c>
      <c r="D86" s="3172" t="s">
        <v>3047</v>
      </c>
      <c r="E86" s="3193">
        <v>0.1</v>
      </c>
      <c r="F86" s="3192">
        <v>15</v>
      </c>
    </row>
    <row r="87" spans="1:6" s="781" customFormat="1" ht="26">
      <c r="A87" s="3192">
        <v>15</v>
      </c>
      <c r="B87" s="3716"/>
      <c r="C87" s="3172" t="s">
        <v>3048</v>
      </c>
      <c r="D87" s="3172" t="s">
        <v>3049</v>
      </c>
      <c r="E87" s="3193">
        <v>0.1</v>
      </c>
      <c r="F87" s="3192">
        <v>15</v>
      </c>
    </row>
    <row r="88" spans="1:6" s="781" customFormat="1" ht="26">
      <c r="A88" s="3192">
        <v>16</v>
      </c>
      <c r="B88" s="3716"/>
      <c r="C88" s="3172" t="s">
        <v>3050</v>
      </c>
      <c r="D88" s="3172" t="s">
        <v>3051</v>
      </c>
      <c r="E88" s="3193">
        <v>0.1</v>
      </c>
      <c r="F88" s="3192">
        <v>15</v>
      </c>
    </row>
    <row r="89" spans="1:6" s="781" customFormat="1" ht="26">
      <c r="A89" s="3192">
        <v>17</v>
      </c>
      <c r="B89" s="3725"/>
      <c r="C89" s="3172" t="s">
        <v>3052</v>
      </c>
      <c r="D89" s="3172" t="s">
        <v>3053</v>
      </c>
      <c r="E89" s="3193">
        <v>0.1</v>
      </c>
      <c r="F89" s="3192">
        <v>15</v>
      </c>
    </row>
    <row r="90" spans="1:6" s="781" customFormat="1" ht="14">
      <c r="A90" s="3192">
        <v>18</v>
      </c>
      <c r="B90" s="3721" t="s">
        <v>3054</v>
      </c>
      <c r="C90" s="3172" t="s">
        <v>3055</v>
      </c>
      <c r="D90" s="3172" t="s">
        <v>3056</v>
      </c>
      <c r="E90" s="3193">
        <v>0.2</v>
      </c>
      <c r="F90" s="3192">
        <v>25</v>
      </c>
    </row>
    <row r="91" spans="1:6" s="781" customFormat="1" ht="26">
      <c r="A91" s="3192">
        <v>19</v>
      </c>
      <c r="B91" s="3716"/>
      <c r="C91" s="3172" t="s">
        <v>3057</v>
      </c>
      <c r="D91" s="3172" t="s">
        <v>3058</v>
      </c>
      <c r="E91" s="3193">
        <v>0.2</v>
      </c>
      <c r="F91" s="3192">
        <v>25</v>
      </c>
    </row>
    <row r="92" spans="1:6" s="781" customFormat="1" ht="14">
      <c r="A92" s="3192">
        <v>20</v>
      </c>
      <c r="B92" s="3716"/>
      <c r="C92" s="3172" t="s">
        <v>3059</v>
      </c>
      <c r="D92" s="3172" t="s">
        <v>3060</v>
      </c>
      <c r="E92" s="3193">
        <v>0.15</v>
      </c>
      <c r="F92" s="3192">
        <v>20</v>
      </c>
    </row>
    <row r="93" spans="1:6" s="781" customFormat="1" ht="26">
      <c r="A93" s="3192">
        <v>21</v>
      </c>
      <c r="B93" s="3716"/>
      <c r="C93" s="3172" t="s">
        <v>3061</v>
      </c>
      <c r="D93" s="3172" t="s">
        <v>3062</v>
      </c>
      <c r="E93" s="3193">
        <v>0.15</v>
      </c>
      <c r="F93" s="3192">
        <v>20</v>
      </c>
    </row>
    <row r="94" spans="1:6" s="781" customFormat="1" ht="26">
      <c r="A94" s="3192">
        <v>22</v>
      </c>
      <c r="B94" s="3716"/>
      <c r="C94" s="3172" t="s">
        <v>3063</v>
      </c>
      <c r="D94" s="3172" t="s">
        <v>3064</v>
      </c>
      <c r="E94" s="3193">
        <v>0.15</v>
      </c>
      <c r="F94" s="3192">
        <v>20</v>
      </c>
    </row>
    <row r="95" spans="1:6" s="781" customFormat="1" ht="39">
      <c r="A95" s="3192">
        <v>23</v>
      </c>
      <c r="B95" s="3716"/>
      <c r="C95" s="3172" t="s">
        <v>3065</v>
      </c>
      <c r="D95" s="3172" t="s">
        <v>3066</v>
      </c>
      <c r="E95" s="3193">
        <v>0.15</v>
      </c>
      <c r="F95" s="3192">
        <v>20</v>
      </c>
    </row>
    <row r="96" spans="1:6" s="781" customFormat="1" ht="26">
      <c r="A96" s="3192">
        <v>24</v>
      </c>
      <c r="B96" s="3716"/>
      <c r="C96" s="3172" t="s">
        <v>3067</v>
      </c>
      <c r="D96" s="3172" t="s">
        <v>3068</v>
      </c>
      <c r="E96" s="3193">
        <v>0.1</v>
      </c>
      <c r="F96" s="3192">
        <v>15</v>
      </c>
    </row>
    <row r="97" spans="1:6" s="781" customFormat="1" ht="26">
      <c r="A97" s="3192">
        <v>25</v>
      </c>
      <c r="B97" s="3716"/>
      <c r="C97" s="3172" t="s">
        <v>3069</v>
      </c>
      <c r="D97" s="3172" t="s">
        <v>3070</v>
      </c>
      <c r="E97" s="3193">
        <v>0.1</v>
      </c>
      <c r="F97" s="3192">
        <v>15</v>
      </c>
    </row>
    <row r="98" spans="1:6" s="781" customFormat="1" ht="26">
      <c r="A98" s="3192">
        <v>26</v>
      </c>
      <c r="B98" s="3716"/>
      <c r="C98" s="3172" t="s">
        <v>3071</v>
      </c>
      <c r="D98" s="3172" t="s">
        <v>3072</v>
      </c>
      <c r="E98" s="3193">
        <v>0.1</v>
      </c>
      <c r="F98" s="3192">
        <v>15</v>
      </c>
    </row>
    <row r="99" spans="1:6" s="781" customFormat="1" ht="26">
      <c r="A99" s="3192">
        <v>27</v>
      </c>
      <c r="B99" s="3716"/>
      <c r="C99" s="3172" t="s">
        <v>3073</v>
      </c>
      <c r="D99" s="3172" t="s">
        <v>3074</v>
      </c>
      <c r="E99" s="3193">
        <v>0.1</v>
      </c>
      <c r="F99" s="3192">
        <v>15</v>
      </c>
    </row>
    <row r="100" spans="1:6" s="781" customFormat="1" ht="26">
      <c r="A100" s="3192">
        <v>28</v>
      </c>
      <c r="B100" s="3716"/>
      <c r="C100" s="3172" t="s">
        <v>3075</v>
      </c>
      <c r="D100" s="3172" t="s">
        <v>3076</v>
      </c>
      <c r="E100" s="3193">
        <v>0.1</v>
      </c>
      <c r="F100" s="3192">
        <v>15</v>
      </c>
    </row>
    <row r="101" spans="1:6" s="781" customFormat="1" ht="26">
      <c r="A101" s="3192">
        <v>29</v>
      </c>
      <c r="B101" s="3716"/>
      <c r="C101" s="3172" t="s">
        <v>3077</v>
      </c>
      <c r="D101" s="3172" t="s">
        <v>3078</v>
      </c>
      <c r="E101" s="3193">
        <v>0.1</v>
      </c>
      <c r="F101" s="3192">
        <v>15</v>
      </c>
    </row>
    <row r="102" spans="1:6" s="781" customFormat="1" ht="26">
      <c r="A102" s="3192">
        <v>30</v>
      </c>
      <c r="B102" s="3716"/>
      <c r="C102" s="3172" t="s">
        <v>3079</v>
      </c>
      <c r="D102" s="3172" t="s">
        <v>3080</v>
      </c>
      <c r="E102" s="3193">
        <v>0.1</v>
      </c>
      <c r="F102" s="3192">
        <v>15</v>
      </c>
    </row>
    <row r="103" spans="1:6" s="781" customFormat="1" ht="26">
      <c r="A103" s="3192">
        <v>31</v>
      </c>
      <c r="B103" s="3716"/>
      <c r="C103" s="3172" t="s">
        <v>3081</v>
      </c>
      <c r="D103" s="3172" t="s">
        <v>3082</v>
      </c>
      <c r="E103" s="3193">
        <v>0.1</v>
      </c>
      <c r="F103" s="3192">
        <v>15</v>
      </c>
    </row>
    <row r="104" spans="1:6" s="781" customFormat="1" ht="26">
      <c r="A104" s="3192">
        <v>32</v>
      </c>
      <c r="B104" s="3716"/>
      <c r="C104" s="3172" t="s">
        <v>3083</v>
      </c>
      <c r="D104" s="3172" t="s">
        <v>3084</v>
      </c>
      <c r="E104" s="3193">
        <v>0.1</v>
      </c>
      <c r="F104" s="3192">
        <v>15</v>
      </c>
    </row>
    <row r="105" spans="1:6" s="781" customFormat="1" ht="26">
      <c r="A105" s="3192">
        <v>33</v>
      </c>
      <c r="B105" s="3716"/>
      <c r="C105" s="3172" t="s">
        <v>3085</v>
      </c>
      <c r="D105" s="3172" t="s">
        <v>3086</v>
      </c>
      <c r="E105" s="3193">
        <v>0.1</v>
      </c>
      <c r="F105" s="3192">
        <v>15</v>
      </c>
    </row>
    <row r="106" spans="1:6" s="781" customFormat="1" ht="26">
      <c r="A106" s="3192">
        <v>34</v>
      </c>
      <c r="B106" s="3725"/>
      <c r="C106" s="3172" t="s">
        <v>3087</v>
      </c>
      <c r="D106" s="3172" t="s">
        <v>3088</v>
      </c>
      <c r="E106" s="3193">
        <v>0.1</v>
      </c>
      <c r="F106" s="3192">
        <v>15</v>
      </c>
    </row>
    <row r="107" spans="1:6" s="781" customFormat="1" ht="39">
      <c r="A107" s="3192">
        <v>35</v>
      </c>
      <c r="B107" s="3721" t="s">
        <v>3089</v>
      </c>
      <c r="C107" s="3192" t="s">
        <v>3090</v>
      </c>
      <c r="D107" s="3172" t="s">
        <v>3091</v>
      </c>
      <c r="E107" s="3193">
        <v>0.15</v>
      </c>
      <c r="F107" s="3192">
        <v>20</v>
      </c>
    </row>
    <row r="108" spans="1:6" s="781" customFormat="1" ht="26">
      <c r="A108" s="3192">
        <v>36</v>
      </c>
      <c r="B108" s="3716"/>
      <c r="C108" s="3192" t="s">
        <v>3092</v>
      </c>
      <c r="D108" s="3172" t="s">
        <v>3093</v>
      </c>
      <c r="E108" s="3193">
        <v>0.15</v>
      </c>
      <c r="F108" s="3192">
        <v>20</v>
      </c>
    </row>
    <row r="109" spans="1:6" s="781" customFormat="1" ht="26">
      <c r="A109" s="3192">
        <v>37</v>
      </c>
      <c r="B109" s="3716"/>
      <c r="C109" s="3192" t="s">
        <v>3094</v>
      </c>
      <c r="D109" s="3172" t="s">
        <v>3095</v>
      </c>
      <c r="E109" s="3193">
        <v>0.15</v>
      </c>
      <c r="F109" s="3192">
        <v>20</v>
      </c>
    </row>
    <row r="110" spans="1:6" s="781" customFormat="1" ht="26">
      <c r="A110" s="3192">
        <v>38</v>
      </c>
      <c r="B110" s="3716"/>
      <c r="C110" s="3192" t="s">
        <v>3096</v>
      </c>
      <c r="D110" s="3172" t="s">
        <v>3097</v>
      </c>
      <c r="E110" s="3193">
        <v>0.1</v>
      </c>
      <c r="F110" s="3192">
        <v>15</v>
      </c>
    </row>
    <row r="111" spans="1:6" s="781" customFormat="1" ht="26">
      <c r="A111" s="3192">
        <v>39</v>
      </c>
      <c r="B111" s="3716"/>
      <c r="C111" s="3192" t="s">
        <v>3098</v>
      </c>
      <c r="D111" s="3172" t="s">
        <v>3099</v>
      </c>
      <c r="E111" s="3193">
        <v>0.1</v>
      </c>
      <c r="F111" s="3192">
        <v>15</v>
      </c>
    </row>
    <row r="112" spans="1:6" s="781" customFormat="1" ht="26">
      <c r="A112" s="3192">
        <v>40</v>
      </c>
      <c r="B112" s="3725"/>
      <c r="C112" s="3192" t="s">
        <v>3100</v>
      </c>
      <c r="D112" s="3172" t="s">
        <v>3101</v>
      </c>
      <c r="E112" s="3193">
        <v>0.1</v>
      </c>
      <c r="F112" s="3192">
        <v>15</v>
      </c>
    </row>
    <row r="113" spans="1:6" s="781" customFormat="1" ht="26">
      <c r="A113" s="3192">
        <v>41</v>
      </c>
      <c r="B113" s="3726" t="s">
        <v>3102</v>
      </c>
      <c r="C113" s="3192" t="s">
        <v>3103</v>
      </c>
      <c r="D113" s="3172" t="s">
        <v>3104</v>
      </c>
      <c r="E113" s="3193">
        <v>0.1</v>
      </c>
      <c r="F113" s="3192">
        <v>15</v>
      </c>
    </row>
    <row r="114" spans="1:6" s="781" customFormat="1" ht="26">
      <c r="A114" s="3192">
        <v>42</v>
      </c>
      <c r="B114" s="3726"/>
      <c r="C114" s="3192" t="s">
        <v>3105</v>
      </c>
      <c r="D114" s="3172" t="s">
        <v>3106</v>
      </c>
      <c r="E114" s="3193">
        <v>0.1</v>
      </c>
      <c r="F114" s="3192">
        <v>15</v>
      </c>
    </row>
    <row r="115" spans="1:6" s="781" customFormat="1" ht="26">
      <c r="A115" s="3192">
        <v>43</v>
      </c>
      <c r="B115" s="3726"/>
      <c r="C115" s="3192" t="s">
        <v>3107</v>
      </c>
      <c r="D115" s="3172" t="s">
        <v>3108</v>
      </c>
      <c r="E115" s="3193">
        <v>0.1</v>
      </c>
      <c r="F115" s="3192">
        <v>15</v>
      </c>
    </row>
    <row r="116" spans="1:6" s="781" customFormat="1" ht="26">
      <c r="A116" s="3192">
        <v>44</v>
      </c>
      <c r="B116" s="3721" t="s">
        <v>3109</v>
      </c>
      <c r="C116" s="3192" t="s">
        <v>3110</v>
      </c>
      <c r="D116" s="3172" t="s">
        <v>3111</v>
      </c>
      <c r="E116" s="3193">
        <v>0.1</v>
      </c>
      <c r="F116" s="3192">
        <v>15</v>
      </c>
    </row>
    <row r="117" spans="1:6" s="781" customFormat="1" ht="26">
      <c r="A117" s="3192">
        <v>45</v>
      </c>
      <c r="B117" s="3725"/>
      <c r="C117" s="3172" t="s">
        <v>3112</v>
      </c>
      <c r="D117" s="3172" t="s">
        <v>3113</v>
      </c>
      <c r="E117" s="3193">
        <v>0.1</v>
      </c>
      <c r="F117" s="3192">
        <v>15</v>
      </c>
    </row>
    <row r="118" spans="1:6" s="781" customFormat="1" ht="26">
      <c r="A118" s="3192">
        <v>46</v>
      </c>
      <c r="B118" s="3721" t="s">
        <v>3114</v>
      </c>
      <c r="C118" s="3192" t="s">
        <v>3115</v>
      </c>
      <c r="D118" s="3172" t="s">
        <v>3116</v>
      </c>
      <c r="E118" s="3193">
        <v>0.1</v>
      </c>
      <c r="F118" s="3192">
        <v>15</v>
      </c>
    </row>
    <row r="119" spans="1:6" s="781" customFormat="1" ht="26">
      <c r="A119" s="3192">
        <v>47</v>
      </c>
      <c r="B119" s="3725"/>
      <c r="C119" s="3192" t="s">
        <v>3117</v>
      </c>
      <c r="D119" s="3172" t="s">
        <v>3118</v>
      </c>
      <c r="E119" s="3193">
        <v>0.1</v>
      </c>
      <c r="F119" s="3192">
        <v>15</v>
      </c>
    </row>
    <row r="120" spans="1:6" s="781" customFormat="1" ht="26">
      <c r="A120" s="3192">
        <v>48</v>
      </c>
      <c r="B120" s="3721" t="s">
        <v>3119</v>
      </c>
      <c r="C120" s="3192" t="s">
        <v>3120</v>
      </c>
      <c r="D120" s="3172" t="s">
        <v>3121</v>
      </c>
      <c r="E120" s="3193">
        <v>0.1</v>
      </c>
      <c r="F120" s="3192">
        <v>15</v>
      </c>
    </row>
    <row r="121" spans="1:6" s="781" customFormat="1" ht="26">
      <c r="A121" s="3192">
        <v>49</v>
      </c>
      <c r="B121" s="3725"/>
      <c r="C121" s="3192" t="s">
        <v>3122</v>
      </c>
      <c r="D121" s="3172" t="s">
        <v>3123</v>
      </c>
      <c r="E121" s="3193">
        <v>0.1</v>
      </c>
      <c r="F121" s="3192">
        <v>15</v>
      </c>
    </row>
    <row r="122" spans="1:6" s="781" customFormat="1" ht="26">
      <c r="A122" s="3192">
        <v>50</v>
      </c>
      <c r="B122" s="3726" t="s">
        <v>3124</v>
      </c>
      <c r="C122" s="3192" t="s">
        <v>3125</v>
      </c>
      <c r="D122" s="3172" t="s">
        <v>3126</v>
      </c>
      <c r="E122" s="3193">
        <v>0.1</v>
      </c>
      <c r="F122" s="3192">
        <v>15</v>
      </c>
    </row>
    <row r="123" spans="1:6" s="781" customFormat="1" ht="26">
      <c r="A123" s="3192">
        <v>51</v>
      </c>
      <c r="B123" s="3726"/>
      <c r="C123" s="3192" t="s">
        <v>3127</v>
      </c>
      <c r="D123" s="3172" t="s">
        <v>3128</v>
      </c>
      <c r="E123" s="3193">
        <v>0.1</v>
      </c>
      <c r="F123" s="3192">
        <v>15</v>
      </c>
    </row>
    <row r="124" spans="1:6" s="781" customFormat="1" ht="26">
      <c r="A124" s="3192">
        <v>52</v>
      </c>
      <c r="B124" s="3726" t="s">
        <v>3129</v>
      </c>
      <c r="C124" s="3192" t="s">
        <v>3130</v>
      </c>
      <c r="D124" s="3172" t="s">
        <v>3131</v>
      </c>
      <c r="E124" s="3193">
        <v>0.1</v>
      </c>
      <c r="F124" s="3192">
        <v>15</v>
      </c>
    </row>
    <row r="125" spans="1:6" s="781" customFormat="1" ht="26">
      <c r="A125" s="3192">
        <v>53</v>
      </c>
      <c r="B125" s="3726"/>
      <c r="C125" s="3192" t="s">
        <v>3132</v>
      </c>
      <c r="D125" s="3172" t="s">
        <v>3133</v>
      </c>
      <c r="E125" s="3193">
        <v>0.1</v>
      </c>
      <c r="F125" s="3192">
        <v>15</v>
      </c>
    </row>
    <row r="126" spans="1:6" ht="26">
      <c r="A126" s="3192">
        <v>54</v>
      </c>
      <c r="B126" s="3192" t="s">
        <v>3134</v>
      </c>
      <c r="C126" s="3192" t="s">
        <v>3135</v>
      </c>
      <c r="D126" s="3172" t="s">
        <v>3136</v>
      </c>
      <c r="E126" s="3193">
        <v>0.1</v>
      </c>
      <c r="F126" s="3192">
        <v>15</v>
      </c>
    </row>
    <row r="127" spans="1:6" ht="26">
      <c r="A127" s="3192">
        <v>55</v>
      </c>
      <c r="B127" s="3726" t="s">
        <v>3137</v>
      </c>
      <c r="C127" s="3192" t="s">
        <v>3138</v>
      </c>
      <c r="D127" s="3172" t="s">
        <v>3139</v>
      </c>
      <c r="E127" s="3193">
        <v>0.1</v>
      </c>
      <c r="F127" s="3192">
        <v>15</v>
      </c>
    </row>
    <row r="128" spans="1:6" ht="26">
      <c r="A128" s="3192">
        <v>56</v>
      </c>
      <c r="B128" s="3726"/>
      <c r="C128" s="3192" t="s">
        <v>3140</v>
      </c>
      <c r="D128" s="3172" t="s">
        <v>3141</v>
      </c>
      <c r="E128" s="3193">
        <v>0.1</v>
      </c>
      <c r="F128" s="3192">
        <v>15</v>
      </c>
    </row>
    <row r="129" spans="1:6" ht="26">
      <c r="A129" s="3192">
        <v>57</v>
      </c>
      <c r="B129" s="3726"/>
      <c r="C129" s="3192" t="s">
        <v>3142</v>
      </c>
      <c r="D129" s="3172" t="s">
        <v>3143</v>
      </c>
      <c r="E129" s="3193">
        <v>0.1</v>
      </c>
      <c r="F129" s="3192">
        <v>15</v>
      </c>
    </row>
    <row r="130" spans="1:6" ht="26">
      <c r="A130" s="3192">
        <v>58</v>
      </c>
      <c r="B130" s="3726" t="s">
        <v>3144</v>
      </c>
      <c r="C130" s="3192" t="s">
        <v>3145</v>
      </c>
      <c r="D130" s="3172" t="s">
        <v>3146</v>
      </c>
      <c r="E130" s="3193">
        <v>0.1</v>
      </c>
      <c r="F130" s="3192">
        <v>15</v>
      </c>
    </row>
    <row r="131" spans="1:6" ht="26">
      <c r="A131" s="3192">
        <v>59</v>
      </c>
      <c r="B131" s="3726"/>
      <c r="C131" s="3192" t="s">
        <v>3147</v>
      </c>
      <c r="D131" s="3172" t="s">
        <v>3148</v>
      </c>
      <c r="E131" s="3193">
        <v>0.1</v>
      </c>
      <c r="F131" s="3192">
        <v>15</v>
      </c>
    </row>
    <row r="132" spans="1:6" ht="26">
      <c r="A132" s="3192">
        <v>60</v>
      </c>
      <c r="B132" s="3721" t="s">
        <v>3149</v>
      </c>
      <c r="C132" s="3192" t="s">
        <v>3150</v>
      </c>
      <c r="D132" s="3172" t="s">
        <v>3151</v>
      </c>
      <c r="E132" s="3193">
        <v>0.1</v>
      </c>
      <c r="F132" s="3192">
        <v>15</v>
      </c>
    </row>
    <row r="133" spans="1:6" ht="26">
      <c r="A133" s="3192">
        <v>61</v>
      </c>
      <c r="B133" s="3725"/>
      <c r="C133" s="3192" t="s">
        <v>3152</v>
      </c>
      <c r="D133" s="3172" t="s">
        <v>3153</v>
      </c>
      <c r="E133" s="3193">
        <v>0.1</v>
      </c>
      <c r="F133" s="3192">
        <v>15</v>
      </c>
    </row>
    <row r="134" spans="1:6" ht="26">
      <c r="A134" s="3192">
        <v>62</v>
      </c>
      <c r="B134" s="3192" t="s">
        <v>3154</v>
      </c>
      <c r="C134" s="3192" t="s">
        <v>3155</v>
      </c>
      <c r="D134" s="3172" t="s">
        <v>3156</v>
      </c>
      <c r="E134" s="3193">
        <v>0.1</v>
      </c>
      <c r="F134" s="3192">
        <v>15</v>
      </c>
    </row>
    <row r="135" spans="1:6" ht="26">
      <c r="A135" s="3192">
        <v>63</v>
      </c>
      <c r="B135" s="3726" t="s">
        <v>3157</v>
      </c>
      <c r="C135" s="3192" t="s">
        <v>3158</v>
      </c>
      <c r="D135" s="3172" t="s">
        <v>3159</v>
      </c>
      <c r="E135" s="3193">
        <v>0.1</v>
      </c>
      <c r="F135" s="3192">
        <v>15</v>
      </c>
    </row>
    <row r="136" spans="1:6" ht="26">
      <c r="A136" s="3192">
        <v>64</v>
      </c>
      <c r="B136" s="3726"/>
      <c r="C136" s="3192" t="s">
        <v>3160</v>
      </c>
      <c r="D136" s="3172" t="s">
        <v>3161</v>
      </c>
      <c r="E136" s="3193">
        <v>0.1</v>
      </c>
      <c r="F136" s="3192">
        <v>15</v>
      </c>
    </row>
    <row r="137" spans="1:6" ht="26">
      <c r="A137" s="3192">
        <v>65</v>
      </c>
      <c r="B137" s="3192" t="s">
        <v>3162</v>
      </c>
      <c r="C137" s="3192" t="s">
        <v>3163</v>
      </c>
      <c r="D137" s="3172" t="s">
        <v>3164</v>
      </c>
      <c r="E137" s="3193">
        <v>0.1</v>
      </c>
      <c r="F137" s="3192">
        <v>15</v>
      </c>
    </row>
    <row r="138" spans="1:6" ht="14">
      <c r="A138" s="784"/>
      <c r="B138" s="784"/>
      <c r="C138" s="784"/>
      <c r="D138" s="784"/>
      <c r="E138" s="796"/>
      <c r="F138" s="78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1"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816"/>
    <col min="2" max="16384" width="9" style="799"/>
  </cols>
  <sheetData>
    <row r="1" spans="1:14" ht="15">
      <c r="A1" s="797" t="s">
        <v>568</v>
      </c>
      <c r="B1" s="798"/>
      <c r="C1" s="798"/>
      <c r="D1" s="798"/>
      <c r="E1" s="798"/>
      <c r="F1" s="798"/>
      <c r="G1" s="798"/>
      <c r="H1" s="798"/>
      <c r="I1" s="798"/>
      <c r="J1" s="798"/>
      <c r="K1" s="798"/>
      <c r="L1" s="798"/>
      <c r="M1" s="798"/>
      <c r="N1" s="798"/>
    </row>
    <row r="2" spans="1:14">
      <c r="A2" s="800" t="s">
        <v>567</v>
      </c>
      <c r="B2" s="801" t="s">
        <v>157</v>
      </c>
      <c r="C2" s="801" t="s">
        <v>158</v>
      </c>
      <c r="D2" s="801" t="s">
        <v>159</v>
      </c>
      <c r="E2" s="801" t="s">
        <v>160</v>
      </c>
      <c r="F2" s="801" t="s">
        <v>161</v>
      </c>
      <c r="G2" s="801" t="s">
        <v>162</v>
      </c>
      <c r="H2" s="802" t="s">
        <v>163</v>
      </c>
      <c r="I2" s="802" t="s">
        <v>164</v>
      </c>
      <c r="J2" s="803" t="s">
        <v>165</v>
      </c>
      <c r="K2" s="803" t="s">
        <v>166</v>
      </c>
      <c r="L2" s="803" t="s">
        <v>167</v>
      </c>
      <c r="M2" s="803" t="s">
        <v>168</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5">
      <c r="A103" s="797" t="s">
        <v>569</v>
      </c>
      <c r="B103" s="798"/>
      <c r="C103" s="798"/>
      <c r="D103" s="798"/>
      <c r="E103" s="798"/>
      <c r="F103" s="798"/>
      <c r="G103" s="798"/>
      <c r="H103" s="798"/>
      <c r="I103" s="798"/>
      <c r="J103" s="798"/>
      <c r="K103" s="798"/>
      <c r="L103" s="798"/>
      <c r="M103" s="798"/>
      <c r="N103" s="798"/>
    </row>
    <row r="104" spans="1:14" ht="15">
      <c r="A104" s="800" t="s">
        <v>567</v>
      </c>
      <c r="B104" s="801" t="s">
        <v>157</v>
      </c>
      <c r="C104" s="801" t="s">
        <v>158</v>
      </c>
      <c r="D104" s="801" t="s">
        <v>159</v>
      </c>
      <c r="E104" s="801" t="s">
        <v>160</v>
      </c>
      <c r="F104" s="801" t="s">
        <v>161</v>
      </c>
      <c r="G104" s="801" t="s">
        <v>162</v>
      </c>
      <c r="H104" s="802" t="s">
        <v>163</v>
      </c>
      <c r="I104" s="802" t="s">
        <v>164</v>
      </c>
      <c r="J104" s="803" t="s">
        <v>165</v>
      </c>
      <c r="K104" s="803" t="s">
        <v>166</v>
      </c>
      <c r="L104" s="803" t="s">
        <v>167</v>
      </c>
      <c r="M104" s="803" t="s">
        <v>168</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5">
      <c r="A205" s="797" t="s">
        <v>570</v>
      </c>
      <c r="B205" s="798"/>
      <c r="C205" s="798"/>
      <c r="D205" s="798"/>
      <c r="E205" s="798"/>
      <c r="F205" s="798"/>
      <c r="G205" s="798"/>
      <c r="H205" s="798"/>
      <c r="I205" s="798"/>
      <c r="J205" s="798"/>
      <c r="K205" s="798"/>
      <c r="L205" s="798"/>
      <c r="M205" s="798"/>
    </row>
    <row r="206" spans="1:13">
      <c r="A206" s="800" t="s">
        <v>567</v>
      </c>
      <c r="B206" s="801" t="s">
        <v>157</v>
      </c>
      <c r="C206" s="801" t="s">
        <v>158</v>
      </c>
      <c r="D206" s="801" t="s">
        <v>159</v>
      </c>
      <c r="E206" s="801" t="s">
        <v>160</v>
      </c>
      <c r="F206" s="801" t="s">
        <v>161</v>
      </c>
      <c r="G206" s="801" t="s">
        <v>162</v>
      </c>
      <c r="H206" s="802" t="s">
        <v>163</v>
      </c>
      <c r="I206" s="802" t="s">
        <v>164</v>
      </c>
      <c r="J206" s="803" t="s">
        <v>165</v>
      </c>
      <c r="K206" s="803" t="s">
        <v>166</v>
      </c>
      <c r="L206" s="803" t="s">
        <v>167</v>
      </c>
      <c r="M206" s="803" t="s">
        <v>168</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5">
      <c r="A307" s="797" t="s">
        <v>571</v>
      </c>
      <c r="B307" s="798"/>
      <c r="C307" s="798"/>
      <c r="D307" s="798"/>
      <c r="E307" s="798"/>
      <c r="F307" s="798"/>
      <c r="G307" s="798"/>
      <c r="H307" s="798"/>
      <c r="I307" s="798"/>
      <c r="J307" s="798"/>
      <c r="K307" s="798"/>
      <c r="L307" s="798"/>
      <c r="M307" s="798"/>
    </row>
    <row r="308" spans="1:13">
      <c r="A308" s="800" t="s">
        <v>567</v>
      </c>
      <c r="B308" s="801" t="s">
        <v>157</v>
      </c>
      <c r="C308" s="801" t="s">
        <v>158</v>
      </c>
      <c r="D308" s="801" t="s">
        <v>159</v>
      </c>
      <c r="E308" s="801" t="s">
        <v>160</v>
      </c>
      <c r="F308" s="801" t="s">
        <v>161</v>
      </c>
      <c r="G308" s="801" t="s">
        <v>162</v>
      </c>
      <c r="H308" s="802" t="s">
        <v>163</v>
      </c>
      <c r="I308" s="802" t="s">
        <v>164</v>
      </c>
      <c r="J308" s="803" t="s">
        <v>165</v>
      </c>
      <c r="K308" s="803" t="s">
        <v>166</v>
      </c>
      <c r="L308" s="803" t="s">
        <v>167</v>
      </c>
      <c r="M308" s="803" t="s">
        <v>168</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06" customWidth="1"/>
    <col min="2" max="2" width="37.08984375" style="1606" customWidth="1"/>
    <col min="3" max="3" width="11.36328125" style="1606" customWidth="1"/>
    <col min="4" max="4" width="31.90625" style="1606" customWidth="1"/>
    <col min="5" max="5" width="0.453125" style="1606" customWidth="1"/>
    <col min="6" max="7" width="13" style="1606" customWidth="1"/>
    <col min="8" max="16384" width="9" style="1606"/>
  </cols>
  <sheetData>
    <row r="1" spans="1:5" ht="18">
      <c r="A1" s="1604" t="s">
        <v>1342</v>
      </c>
      <c r="B1" s="1605"/>
      <c r="C1" s="1605"/>
      <c r="D1" s="1605"/>
      <c r="E1" s="1605"/>
    </row>
    <row r="2" spans="1:5" ht="78" customHeight="1">
      <c r="A2" s="33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4"/>
      <c r="C2" s="3384"/>
      <c r="D2" s="3384"/>
      <c r="E2" s="3384"/>
    </row>
    <row r="3" spans="1:5" ht="18">
      <c r="A3" s="3385" t="str">
        <f>IF(项目基本情况!B9="房地产市场价值","估价结果一览表（市场价值不需“结果表-1”）","估价结果一览表")</f>
        <v>估价结果一览表</v>
      </c>
      <c r="B3" s="3385"/>
      <c r="C3" s="3385"/>
      <c r="D3" s="3385"/>
      <c r="E3" s="3385"/>
    </row>
    <row r="4" spans="1:5" ht="18.5" thickBot="1">
      <c r="A4" s="1607"/>
      <c r="B4" s="3383" t="s">
        <v>1351</v>
      </c>
      <c r="C4" s="3383"/>
      <c r="D4" s="3383"/>
      <c r="E4" s="1607"/>
    </row>
    <row r="5" spans="1:5" ht="16" thickTop="1">
      <c r="A5" s="1605"/>
      <c r="B5" s="3381" t="s">
        <v>1343</v>
      </c>
      <c r="C5" s="1608" t="s">
        <v>1344</v>
      </c>
      <c r="D5" s="920">
        <f ca="1">结果表!H101</f>
        <v>253308</v>
      </c>
      <c r="E5" s="1605"/>
    </row>
    <row r="6" spans="1:5" ht="15.5">
      <c r="A6" s="1605"/>
      <c r="B6" s="3381"/>
      <c r="C6" s="1608" t="s">
        <v>1345</v>
      </c>
      <c r="D6" s="920" t="str">
        <f ca="1">NUMBERSTRING(INT(D5*10000),2)&amp;"元整"</f>
        <v>贰拾伍亿叁仟叁佰零捌万元整</v>
      </c>
      <c r="E6" s="1605"/>
    </row>
    <row r="7" spans="1:5" ht="15.5">
      <c r="A7" s="1605"/>
      <c r="B7" s="3386"/>
      <c r="C7" s="1609" t="s">
        <v>1346</v>
      </c>
      <c r="D7" s="921">
        <f ca="1">结果表!H102</f>
        <v>14411</v>
      </c>
      <c r="E7" s="1605"/>
    </row>
    <row r="8" spans="1:5" ht="15.5">
      <c r="A8" s="1605"/>
      <c r="B8" s="3387" t="str">
        <f>结果表!E103</f>
        <v>2.估价师知悉的法定优先受偿款</v>
      </c>
      <c r="C8" s="1610" t="s">
        <v>1347</v>
      </c>
      <c r="D8" s="921">
        <f>结果表!H103</f>
        <v>0</v>
      </c>
      <c r="E8" s="1605"/>
    </row>
    <row r="9" spans="1:5" ht="15.5">
      <c r="A9" s="1605"/>
      <c r="B9" s="3389"/>
      <c r="C9" s="1608" t="s">
        <v>1345</v>
      </c>
      <c r="D9" s="920" t="str">
        <f>NUMBERSTRING(INT(D8*10000),2)&amp;"元整"</f>
        <v>零元整</v>
      </c>
      <c r="E9" s="1605"/>
    </row>
    <row r="10" spans="1:5" ht="31">
      <c r="A10" s="1605"/>
      <c r="B10" s="1611" t="s">
        <v>1350</v>
      </c>
      <c r="C10" s="1612" t="s">
        <v>1348</v>
      </c>
      <c r="D10" s="922" t="str">
        <f>结果表!H104</f>
        <v>（续贷，未扣减，详见特别提示）</v>
      </c>
      <c r="E10" s="1605"/>
    </row>
    <row r="11" spans="1:5" ht="16">
      <c r="A11" s="1605"/>
      <c r="B11" s="1611" t="s">
        <v>1352</v>
      </c>
      <c r="C11" s="1612" t="s">
        <v>1353</v>
      </c>
      <c r="D11" s="922">
        <f>结果表!H105</f>
        <v>0</v>
      </c>
      <c r="E11" s="1605"/>
    </row>
    <row r="12" spans="1:5" ht="16">
      <c r="A12" s="1605"/>
      <c r="B12" s="1611" t="s">
        <v>1354</v>
      </c>
      <c r="C12" s="1612" t="s">
        <v>1353</v>
      </c>
      <c r="D12" s="922">
        <f>结果表!H106</f>
        <v>0</v>
      </c>
      <c r="E12" s="1605"/>
    </row>
    <row r="13" spans="1:5" ht="15.5">
      <c r="A13" s="1605"/>
      <c r="B13" s="3380" t="str">
        <f>结果表!E107</f>
        <v>3.房地产抵押价值</v>
      </c>
      <c r="C13" s="1613" t="s">
        <v>1344</v>
      </c>
      <c r="D13" s="923">
        <f ca="1">结果表!H107</f>
        <v>253308</v>
      </c>
      <c r="E13" s="1605"/>
    </row>
    <row r="14" spans="1:5" ht="15.5">
      <c r="A14" s="1605"/>
      <c r="B14" s="3381"/>
      <c r="C14" s="1608" t="s">
        <v>1345</v>
      </c>
      <c r="D14" s="920" t="str">
        <f ca="1">NUMBERSTRING(INT(D13*10000),2)&amp;"元整"</f>
        <v>贰拾伍亿叁仟叁佰零捌万元整</v>
      </c>
      <c r="E14" s="1605"/>
    </row>
    <row r="15" spans="1:5" ht="15.5">
      <c r="A15" s="1605"/>
      <c r="B15" s="3386"/>
      <c r="C15" s="1609" t="s">
        <v>1355</v>
      </c>
      <c r="D15" s="929">
        <f ca="1">结果表!H108</f>
        <v>14411</v>
      </c>
      <c r="E15" s="1605"/>
    </row>
    <row r="16" spans="1:5" ht="15">
      <c r="A16" s="1605"/>
      <c r="B16" s="3387" t="str">
        <f>结果表!E109</f>
        <v>——</v>
      </c>
      <c r="C16" s="1613" t="s">
        <v>1356</v>
      </c>
      <c r="D16" s="1614" t="str">
        <f>结果表!H109</f>
        <v>——</v>
      </c>
      <c r="E16" s="1605"/>
    </row>
    <row r="17" spans="1:5" ht="15.5">
      <c r="A17" s="1605"/>
      <c r="B17" s="3388"/>
      <c r="C17" s="1608" t="s">
        <v>1357</v>
      </c>
      <c r="D17" s="920" t="e">
        <f>NUMBERSTRING(INT(D16*10000),2)&amp;"元整"</f>
        <v>#VALUE!</v>
      </c>
      <c r="E17" s="1605"/>
    </row>
    <row r="18" spans="1:5" ht="15.5">
      <c r="A18" s="1605"/>
      <c r="B18" s="3389"/>
      <c r="C18" s="1609" t="s">
        <v>1346</v>
      </c>
      <c r="D18" s="929" t="str">
        <f>结果表!H110</f>
        <v>——</v>
      </c>
      <c r="E18" s="1605"/>
    </row>
    <row r="19" spans="1:5" ht="15.5">
      <c r="A19" s="1605"/>
      <c r="B19" s="3380" t="str">
        <f>结果表!E111</f>
        <v>——</v>
      </c>
      <c r="C19" s="1613" t="s">
        <v>1344</v>
      </c>
      <c r="D19" s="921" t="str">
        <f>结果表!H111</f>
        <v>——</v>
      </c>
      <c r="E19" s="1605"/>
    </row>
    <row r="20" spans="1:5" ht="15.5">
      <c r="A20" s="1605"/>
      <c r="B20" s="3381"/>
      <c r="C20" s="1608" t="s">
        <v>1357</v>
      </c>
      <c r="D20" s="920" t="e">
        <f>NUMBERSTRING(INT(D19*10000),2)&amp;"元整"</f>
        <v>#VALUE!</v>
      </c>
      <c r="E20" s="1605"/>
    </row>
    <row r="21" spans="1:5" ht="16" thickBot="1">
      <c r="A21" s="1605"/>
      <c r="B21" s="3382"/>
      <c r="C21" s="1615" t="s">
        <v>1355</v>
      </c>
      <c r="D21" s="930" t="str">
        <f>结果表!H112</f>
        <v>——</v>
      </c>
      <c r="E21" s="1605"/>
    </row>
    <row r="22" spans="1:5" ht="14.5" thickTop="1">
      <c r="A22" s="1605"/>
      <c r="B22" s="1616" t="s">
        <v>1358</v>
      </c>
      <c r="C22" s="1605"/>
      <c r="D22" s="1605"/>
      <c r="E22" s="1605"/>
    </row>
    <row r="23" spans="1:5">
      <c r="A23" s="1605"/>
      <c r="B23" s="1605"/>
      <c r="C23" s="1605"/>
      <c r="D23" s="1605"/>
      <c r="E23" s="1605"/>
    </row>
    <row r="24" spans="1:5" ht="17.5">
      <c r="A24" s="1617"/>
      <c r="B24" s="1618" t="s">
        <v>1349</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591" customWidth="1"/>
    <col min="2" max="2" width="12.453125" style="1591" customWidth="1"/>
    <col min="3" max="3" width="12.08984375" style="1591" customWidth="1"/>
    <col min="4" max="4" width="14.08984375" style="1591" customWidth="1"/>
    <col min="5" max="5" width="12.453125" style="1591" customWidth="1"/>
    <col min="6" max="16384" width="9" style="1591"/>
  </cols>
  <sheetData>
    <row r="1" spans="1:16" ht="21">
      <c r="A1" s="1981" t="s">
        <v>2577</v>
      </c>
      <c r="B1" s="2291"/>
      <c r="C1" s="2291"/>
      <c r="D1" s="2291"/>
      <c r="E1" s="2291"/>
      <c r="F1" s="2946"/>
      <c r="G1" s="2946"/>
      <c r="H1" s="2946"/>
      <c r="I1" s="2946"/>
      <c r="J1" s="2946"/>
      <c r="K1" s="2946"/>
      <c r="L1" s="2946"/>
      <c r="M1" s="2946"/>
      <c r="N1" s="2946"/>
      <c r="O1" s="2946"/>
      <c r="P1" s="2946"/>
    </row>
    <row r="2" spans="1:16" ht="15.5">
      <c r="A2" s="2289" t="s">
        <v>2569</v>
      </c>
      <c r="B2" s="2751" t="e">
        <f ca="1">SUMIF(B6:B13,"&lt;&gt;#ref!",B6:B13)</f>
        <v>#DIV/0!</v>
      </c>
      <c r="C2" s="2289" t="s">
        <v>2570</v>
      </c>
      <c r="D2" s="2289" t="s">
        <v>2571</v>
      </c>
      <c r="E2" s="2761">
        <f ca="1">SUMIF(E6:E13,"&lt;&gt;#ref!",E6:E13)</f>
        <v>0</v>
      </c>
      <c r="F2" s="2946"/>
      <c r="G2" s="2946"/>
      <c r="H2" s="2946"/>
      <c r="I2" s="2946"/>
      <c r="J2" s="2946"/>
      <c r="K2" s="2946"/>
      <c r="L2" s="2946"/>
      <c r="M2" s="2946"/>
      <c r="N2" s="2946"/>
      <c r="O2" s="2946"/>
      <c r="P2" s="2946"/>
    </row>
    <row r="3" spans="1:16" ht="15.5">
      <c r="A3" s="2289" t="s">
        <v>2572</v>
      </c>
      <c r="B3" s="2751" t="e">
        <f ca="1">ROUND(B2*10000/E2,0)</f>
        <v>#DIV/0!</v>
      </c>
      <c r="C3" s="2289" t="s">
        <v>2578</v>
      </c>
      <c r="D3" s="2946"/>
      <c r="E3" s="2946"/>
      <c r="F3" s="2946"/>
      <c r="G3" s="2946"/>
      <c r="H3" s="2946"/>
      <c r="I3" s="2946"/>
      <c r="J3" s="2946"/>
      <c r="K3" s="2946"/>
      <c r="L3" s="2946"/>
      <c r="M3" s="2946"/>
      <c r="N3" s="2946"/>
      <c r="O3" s="2946"/>
      <c r="P3" s="2946"/>
    </row>
    <row r="4" spans="1:16" ht="15.5">
      <c r="A4" s="2947"/>
      <c r="B4" s="2946"/>
      <c r="C4" s="2946"/>
      <c r="D4" s="2946"/>
      <c r="E4" s="2946"/>
      <c r="F4" s="2946"/>
      <c r="G4" s="2946"/>
      <c r="H4" s="2946"/>
      <c r="I4" s="2946"/>
      <c r="J4" s="2946"/>
      <c r="K4" s="2946"/>
      <c r="L4" s="2946"/>
      <c r="M4" s="2946"/>
      <c r="N4" s="2946"/>
      <c r="O4" s="2946"/>
      <c r="P4" s="2946"/>
    </row>
    <row r="5" spans="1:16" ht="30">
      <c r="A5" s="2757" t="s">
        <v>2573</v>
      </c>
      <c r="B5" s="2759" t="s">
        <v>2574</v>
      </c>
      <c r="C5" s="2290"/>
      <c r="D5" s="2946"/>
      <c r="E5" s="2760" t="s">
        <v>2575</v>
      </c>
      <c r="F5" s="2946"/>
      <c r="G5" s="2946"/>
      <c r="H5" s="2946"/>
      <c r="I5" s="2946"/>
      <c r="J5" s="2946"/>
      <c r="K5" s="2946"/>
      <c r="L5" s="2946"/>
      <c r="M5" s="2946"/>
      <c r="N5" s="2946"/>
      <c r="O5" s="2946"/>
      <c r="P5" s="2946"/>
    </row>
    <row r="6" spans="1:16" ht="15.5">
      <c r="A6" s="2758" t="s">
        <v>2576</v>
      </c>
      <c r="B6" s="2751" t="e">
        <f ca="1">SUMIF(INDIRECT("'"&amp;A6&amp;"'"&amp;"!A:A"),"总价",INDIRECT("'"&amp;A6&amp;"'"&amp;"!B:B"))</f>
        <v>#DIV/0!</v>
      </c>
      <c r="C6" s="2289" t="s">
        <v>2570</v>
      </c>
      <c r="D6" s="2946"/>
      <c r="E6" s="2761">
        <f ca="1">SUMIF(INDIRECT("'"&amp;A6&amp;"'"&amp;"!C:C"),"建筑面积",INDIRECT("'"&amp;A6&amp;"'"&amp;"!D:D"))</f>
        <v>0</v>
      </c>
      <c r="F6" s="2946"/>
      <c r="G6" s="2946"/>
      <c r="H6" s="2946"/>
      <c r="I6" s="2946"/>
      <c r="J6" s="2946"/>
      <c r="K6" s="2946"/>
      <c r="L6" s="2946"/>
      <c r="M6" s="2946"/>
      <c r="N6" s="2946"/>
      <c r="O6" s="2946"/>
      <c r="P6" s="2946"/>
    </row>
    <row r="7" spans="1:16" ht="15.5">
      <c r="A7" s="2758"/>
      <c r="B7" s="2751" t="e">
        <f ca="1">SUMIF(INDIRECT("'"&amp;A7&amp;"'"&amp;"!A:A"),"总价",INDIRECT("'"&amp;A7&amp;"'"&amp;"!B:B"))</f>
        <v>#REF!</v>
      </c>
      <c r="C7" s="2289" t="s">
        <v>2570</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5">
      <c r="A8" s="2758"/>
      <c r="B8" s="2751" t="e">
        <f t="shared" ref="B8:B13" ca="1" si="1">SUMIF(INDIRECT("'"&amp;A8&amp;"'"&amp;"!A:A"),"总价",INDIRECT("'"&amp;A8&amp;"'"&amp;"!B:B"))</f>
        <v>#REF!</v>
      </c>
      <c r="C8" s="2289" t="s">
        <v>2570</v>
      </c>
      <c r="D8" s="2946"/>
      <c r="E8" s="2761" t="e">
        <f t="shared" ca="1" si="0"/>
        <v>#REF!</v>
      </c>
      <c r="F8" s="2946"/>
      <c r="G8" s="2946"/>
      <c r="H8" s="2946"/>
      <c r="I8" s="2946"/>
      <c r="J8" s="2946"/>
      <c r="K8" s="2946"/>
      <c r="L8" s="2946"/>
      <c r="M8" s="2946"/>
      <c r="N8" s="2946"/>
      <c r="O8" s="2946"/>
      <c r="P8" s="2946"/>
    </row>
    <row r="9" spans="1:16" ht="15.5">
      <c r="A9" s="2758"/>
      <c r="B9" s="2751" t="e">
        <f t="shared" ca="1" si="1"/>
        <v>#REF!</v>
      </c>
      <c r="C9" s="2289" t="s">
        <v>2570</v>
      </c>
      <c r="D9" s="2946"/>
      <c r="E9" s="2761" t="e">
        <f t="shared" ca="1" si="0"/>
        <v>#REF!</v>
      </c>
      <c r="F9" s="2946"/>
      <c r="G9" s="2946"/>
      <c r="H9" s="2946"/>
      <c r="I9" s="2946"/>
      <c r="J9" s="2946"/>
      <c r="K9" s="2946"/>
      <c r="L9" s="2946"/>
      <c r="M9" s="2946"/>
      <c r="N9" s="2946"/>
      <c r="O9" s="2946"/>
      <c r="P9" s="2946"/>
    </row>
    <row r="10" spans="1:16" ht="15.5">
      <c r="A10" s="2758"/>
      <c r="B10" s="2751" t="e">
        <f t="shared" ca="1" si="1"/>
        <v>#REF!</v>
      </c>
      <c r="C10" s="2289" t="s">
        <v>2570</v>
      </c>
      <c r="D10" s="2946"/>
      <c r="E10" s="2761" t="e">
        <f t="shared" ca="1" si="0"/>
        <v>#REF!</v>
      </c>
      <c r="F10" s="2946"/>
      <c r="G10" s="2946"/>
      <c r="H10" s="2946"/>
      <c r="I10" s="2946"/>
      <c r="J10" s="2946"/>
      <c r="K10" s="2946"/>
      <c r="L10" s="2946"/>
      <c r="M10" s="2946"/>
      <c r="N10" s="2946"/>
      <c r="O10" s="2946"/>
      <c r="P10" s="2946"/>
    </row>
    <row r="11" spans="1:16" ht="15.5">
      <c r="A11" s="2758"/>
      <c r="B11" s="2751" t="e">
        <f t="shared" ca="1" si="1"/>
        <v>#REF!</v>
      </c>
      <c r="C11" s="2289" t="s">
        <v>2570</v>
      </c>
      <c r="D11" s="2946"/>
      <c r="E11" s="2761" t="e">
        <f t="shared" ca="1" si="0"/>
        <v>#REF!</v>
      </c>
      <c r="F11" s="2946"/>
      <c r="G11" s="2946"/>
      <c r="H11" s="2946"/>
      <c r="I11" s="2946"/>
      <c r="J11" s="2946"/>
      <c r="K11" s="2946"/>
      <c r="L11" s="2946"/>
      <c r="M11" s="2946"/>
      <c r="N11" s="2946"/>
      <c r="O11" s="2946"/>
      <c r="P11" s="2946"/>
    </row>
    <row r="12" spans="1:16" ht="15.5">
      <c r="A12" s="2758"/>
      <c r="B12" s="2751" t="e">
        <f t="shared" ca="1" si="1"/>
        <v>#REF!</v>
      </c>
      <c r="C12" s="2289" t="s">
        <v>2570</v>
      </c>
      <c r="D12" s="2946"/>
      <c r="E12" s="2761" t="e">
        <f t="shared" ca="1" si="0"/>
        <v>#REF!</v>
      </c>
      <c r="F12" s="2946"/>
      <c r="G12" s="2946"/>
      <c r="H12" s="2946"/>
      <c r="I12" s="2946"/>
      <c r="J12" s="2946"/>
      <c r="K12" s="2946"/>
      <c r="L12" s="2946"/>
      <c r="M12" s="2946"/>
      <c r="N12" s="2946"/>
      <c r="O12" s="2946"/>
      <c r="P12" s="2946"/>
    </row>
    <row r="13" spans="1:16" ht="15.5">
      <c r="A13" s="2758"/>
      <c r="B13" s="2751" t="e">
        <f t="shared" ca="1" si="1"/>
        <v>#REF!</v>
      </c>
      <c r="C13" s="2289" t="s">
        <v>2570</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27</v>
      </c>
      <c r="C1" s="194"/>
      <c r="D1" s="194"/>
      <c r="E1" s="194"/>
      <c r="F1" s="194"/>
      <c r="G1" s="1220">
        <f>MATCH(B1,'数据-取费表'!A6:A16,0)+5</f>
        <v>9</v>
      </c>
    </row>
    <row r="2" spans="1:9" s="196" customFormat="1" ht="18" customHeight="1">
      <c r="A2" s="197" t="s">
        <v>1115</v>
      </c>
      <c r="B2" s="198">
        <f ca="1">IF(D2="——",C52,C52-E2)</f>
        <v>167630</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24290</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85818</v>
      </c>
      <c r="D5" s="207" t="s">
        <v>1911</v>
      </c>
      <c r="E5" s="208" t="s">
        <v>1912</v>
      </c>
      <c r="F5" s="208" t="s">
        <v>1913</v>
      </c>
      <c r="G5" s="209"/>
    </row>
    <row r="6" spans="1:9" s="210" customFormat="1" ht="13.5" customHeight="1">
      <c r="A6" s="847" t="s">
        <v>610</v>
      </c>
      <c r="B6" s="211" t="s">
        <v>1915</v>
      </c>
      <c r="C6" s="212">
        <f>ROUND('土地比较法-住宅、综合'!C47*'数据-汇总表'!F22/10000,0)</f>
        <v>82006</v>
      </c>
      <c r="D6" s="213"/>
      <c r="E6" s="214"/>
      <c r="F6" s="214"/>
      <c r="G6" s="215"/>
    </row>
    <row r="7" spans="1:9" s="210" customFormat="1" ht="13.5" customHeight="1">
      <c r="A7" s="847" t="s">
        <v>611</v>
      </c>
      <c r="B7" s="211" t="s">
        <v>1917</v>
      </c>
      <c r="C7" s="216">
        <f>ROUND(C6*F7,0)</f>
        <v>2501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1311</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69011.599999999991</v>
      </c>
      <c r="E19" s="207">
        <f>'数据-取费表'!B31</f>
        <v>200</v>
      </c>
      <c r="F19" s="227"/>
      <c r="G19" s="1970" t="s">
        <v>3649</v>
      </c>
    </row>
    <row r="20" spans="1:7" s="210" customFormat="1" ht="13.5" customHeight="1">
      <c r="A20" s="251" t="s">
        <v>1935</v>
      </c>
      <c r="B20" s="206" t="s">
        <v>1936</v>
      </c>
      <c r="C20" s="228">
        <f ca="1">ROUND((C5+C19)*F20,0)</f>
        <v>1716</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11383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11274</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109</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17507</v>
      </c>
      <c r="D27" s="231">
        <f ca="1">C29</f>
        <v>4.0000000000000001E-3</v>
      </c>
      <c r="E27" s="232" t="s">
        <v>1940</v>
      </c>
      <c r="F27" s="242">
        <f ca="1">IF(B1="",'数据-取费表'!Q16,INDIRECT("'数据-取费表'!q"&amp;$G$1))</f>
        <v>0.2</v>
      </c>
      <c r="G27" s="243" t="s">
        <v>1957</v>
      </c>
    </row>
    <row r="28" spans="1:7" s="210" customFormat="1" ht="13.5" customHeight="1">
      <c r="A28" s="849" t="s">
        <v>610</v>
      </c>
      <c r="B28" s="244" t="s">
        <v>1958</v>
      </c>
      <c r="C28" s="245">
        <f ca="1">ROUND((C5+C19+C20)*F27*'数据-取费表'!B21/'数据-取费表'!B20,0)</f>
        <v>17507</v>
      </c>
      <c r="D28" s="231"/>
      <c r="E28" s="232"/>
      <c r="F28" s="242"/>
      <c r="G28" s="243"/>
    </row>
    <row r="29" spans="1:7" s="210" customFormat="1" ht="13.5" customHeight="1">
      <c r="A29" s="849" t="s">
        <v>611</v>
      </c>
      <c r="B29" s="244" t="s">
        <v>1959</v>
      </c>
      <c r="C29" s="234">
        <f ca="1">ROUND(C21*F27*'数据-取费表'!B21/'数据-取费表'!B20,4)</f>
        <v>4.0000000000000001E-3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126232</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30227</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1968</v>
      </c>
    </row>
    <row r="35" spans="1:7" ht="13.5" customHeight="1">
      <c r="A35" s="849" t="s">
        <v>615</v>
      </c>
      <c r="B35" s="211" t="s">
        <v>1969</v>
      </c>
      <c r="C35" s="216">
        <f ca="1">ROUND(C34*F35,0)</f>
        <v>828</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1380</v>
      </c>
      <c r="D37" s="213">
        <f ca="1">D19</f>
        <v>69011.599999999991</v>
      </c>
      <c r="E37" s="245">
        <f>'数据-取费表'!B35</f>
        <v>200</v>
      </c>
      <c r="F37" s="255"/>
      <c r="G37" s="257" t="s">
        <v>1974</v>
      </c>
    </row>
    <row r="38" spans="1:7" ht="13.5" customHeight="1">
      <c r="A38" s="849" t="s">
        <v>618</v>
      </c>
      <c r="B38" s="211" t="s">
        <v>1975</v>
      </c>
      <c r="C38" s="216">
        <f ca="1">ROUND(C34*F38,0)</f>
        <v>414</v>
      </c>
      <c r="D38" s="216"/>
      <c r="E38" s="216"/>
      <c r="F38" s="255">
        <f>'数据-取费表'!B36</f>
        <v>1.4999999999999999E-2</v>
      </c>
      <c r="G38" s="215" t="s">
        <v>1970</v>
      </c>
    </row>
    <row r="39" spans="1:7" s="210" customFormat="1" ht="13.5" customHeight="1">
      <c r="A39" s="251" t="s">
        <v>1933</v>
      </c>
      <c r="B39" s="206" t="s">
        <v>1936</v>
      </c>
      <c r="C39" s="228">
        <f ca="1">ROUND(C33*F20,0)</f>
        <v>605</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1963</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1924</v>
      </c>
      <c r="D42" s="234"/>
      <c r="E42" s="234"/>
      <c r="F42" s="235"/>
      <c r="G42" s="3629" t="s">
        <v>1986</v>
      </c>
    </row>
    <row r="43" spans="1:7" ht="13.5" customHeight="1">
      <c r="A43" s="849" t="s">
        <v>611</v>
      </c>
      <c r="B43" s="211" t="s">
        <v>1948</v>
      </c>
      <c r="C43" s="234">
        <f ca="1">ROUND(IF('数据-取费表'!B22&lt;=1,C39*F22*'数据-取费表'!B21/2,C39*(POWER((1+F22),'数据-取费表'!B21/2)-1)),0)</f>
        <v>39</v>
      </c>
      <c r="D43" s="234"/>
      <c r="E43" s="234"/>
      <c r="F43" s="235"/>
      <c r="G43" s="3630"/>
    </row>
    <row r="44" spans="1:7" ht="13.5" customHeight="1">
      <c r="A44" s="849" t="s">
        <v>612</v>
      </c>
      <c r="B44" s="211" t="s">
        <v>1951</v>
      </c>
      <c r="C44" s="234">
        <f ca="1">ROUND(IF('数据-取费表'!B22&lt;=1,C40*F22*'数据-取费表'!B21/2,C40*(POWER((1+F22),'数据-取费表'!B21/2)-1)),4)</f>
        <v>1.2999999999999999E-3</v>
      </c>
      <c r="D44" s="234"/>
      <c r="E44" s="234"/>
      <c r="F44" s="235"/>
      <c r="G44" s="3631"/>
    </row>
    <row r="45" spans="1:7" s="210" customFormat="1" ht="13.5" customHeight="1">
      <c r="A45" s="251" t="s">
        <v>1942</v>
      </c>
      <c r="B45" s="240" t="s">
        <v>1955</v>
      </c>
      <c r="C45" s="241">
        <f ca="1">C46</f>
        <v>6166</v>
      </c>
      <c r="D45" s="231">
        <f ca="1">C47</f>
        <v>4.0000000000000001E-3</v>
      </c>
      <c r="E45" s="232" t="s">
        <v>1981</v>
      </c>
      <c r="F45" s="2465">
        <f ca="1">F27</f>
        <v>0.2</v>
      </c>
      <c r="G45" s="243" t="s">
        <v>1990</v>
      </c>
    </row>
    <row r="46" spans="1:7" s="210" customFormat="1" ht="13.5" customHeight="1">
      <c r="A46" s="849" t="s">
        <v>610</v>
      </c>
      <c r="B46" s="244" t="s">
        <v>1991</v>
      </c>
      <c r="C46" s="245">
        <f ca="1">ROUND((C33+C39)*F27,0)</f>
        <v>6166</v>
      </c>
      <c r="D46" s="259"/>
      <c r="E46" s="232"/>
      <c r="F46" s="242"/>
      <c r="G46" s="243"/>
    </row>
    <row r="47" spans="1:7" s="210" customFormat="1" ht="13.5" customHeight="1">
      <c r="A47" s="849" t="s">
        <v>611</v>
      </c>
      <c r="B47" s="244" t="s">
        <v>1992</v>
      </c>
      <c r="C47" s="234">
        <f ca="1">ROUND(C40*F27,4)</f>
        <v>4.0000000000000001E-3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42243</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41398</v>
      </c>
      <c r="D51" s="228"/>
      <c r="E51" s="228"/>
      <c r="F51" s="260"/>
      <c r="G51" s="230" t="s">
        <v>2002</v>
      </c>
    </row>
    <row r="52" spans="1:7" s="204" customFormat="1" ht="16.5" thickBot="1">
      <c r="A52" s="261" t="s">
        <v>2003</v>
      </c>
      <c r="B52" s="262"/>
      <c r="C52" s="263">
        <f ca="1">C31+C51</f>
        <v>167630</v>
      </c>
      <c r="D52" s="262"/>
      <c r="E52" s="262"/>
      <c r="F52" s="262"/>
      <c r="G52" s="264"/>
    </row>
    <row r="55" spans="1:7" ht="15.5">
      <c r="B55" s="266" t="s">
        <v>2004</v>
      </c>
      <c r="C55" s="267"/>
    </row>
    <row r="56" spans="1:7" ht="13">
      <c r="B56" s="269" t="s">
        <v>1234</v>
      </c>
      <c r="C56" s="271">
        <f ca="1">1-C57</f>
        <v>0.753</v>
      </c>
    </row>
    <row r="57" spans="1:7" ht="13">
      <c r="B57" s="269" t="s">
        <v>1235</v>
      </c>
      <c r="C57" s="270">
        <f ca="1">ROUND(C51/C52,3)</f>
        <v>0.247</v>
      </c>
    </row>
  </sheetData>
  <sheetProtection password="CEE9" sheet="1" objects="1" scenarios="1" formatCells="0"/>
  <mergeCells count="1">
    <mergeCell ref="G42:G44"/>
  </mergeCells>
  <phoneticPr fontId="143" type="noConversion"/>
  <dataValidations count="6">
    <dataValidation type="list" allowBlank="1" showInputMessage="1" showErrorMessage="1" sqref="D2" xr:uid="{00000000-0002-0000-2800-000000000000}">
      <formula1>"需扣减承租人权益,——"</formula1>
    </dataValidation>
    <dataValidation type="list" allowBlank="1" showInputMessage="1" showErrorMessage="1" sqref="G2" xr:uid="{00000000-0002-0000-2800-000001000000}">
      <formula1>估价方法</formula1>
    </dataValidation>
    <dataValidation type="list" allowBlank="1" showInputMessage="1" showErrorMessage="1" sqref="G9" xr:uid="{00000000-0002-0000-2800-000002000000}">
      <formula1>"部分缴纳,全部缴纳"</formula1>
    </dataValidation>
    <dataValidation type="list" allowBlank="1" showInputMessage="1" showErrorMessage="1" sqref="B1" xr:uid="{00000000-0002-0000-2800-000003000000}">
      <formula1>项目类型</formula1>
    </dataValidation>
    <dataValidation type="list" allowBlank="1" showInputMessage="1" showErrorMessage="1" sqref="G19" xr:uid="{00000000-0002-0000-2800-000004000000}">
      <formula1>"已包含在土地取得成本中,未包含在土地取得成本中"</formula1>
    </dataValidation>
    <dataValidation type="list" allowBlank="1" showInputMessage="1" showErrorMessage="1" sqref="G8" xr:uid="{00000000-0002-0000-2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zoomScale="70" zoomScaleNormal="70" zoomScaleSheetLayoutView="70" workbookViewId="0">
      <selection activeCell="I42" sqref="I42"/>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0.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3332</v>
      </c>
      <c r="D1" s="1475" t="s">
        <v>70</v>
      </c>
      <c r="E1" s="1476" t="s">
        <v>1108</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1311</v>
      </c>
      <c r="B2" s="1499" t="e">
        <f ca="1">ROUND(D2/10000,0)</f>
        <v>#N/A</v>
      </c>
      <c r="C2" s="1500" t="s">
        <v>1312</v>
      </c>
      <c r="D2" s="1584" t="e">
        <f ca="1">C40+J29+L46</f>
        <v>#N/A</v>
      </c>
      <c r="E2" s="1501" t="s">
        <v>1313</v>
      </c>
      <c r="F2" s="1502"/>
      <c r="G2" s="2857"/>
      <c r="H2" s="2846"/>
      <c r="I2" s="2846"/>
      <c r="J2" s="2846"/>
      <c r="K2" s="2847"/>
      <c r="L2" s="2846"/>
      <c r="M2" s="2846"/>
    </row>
    <row r="3" spans="1:37" ht="18" customHeight="1" thickBot="1">
      <c r="A3" s="1503" t="s">
        <v>1314</v>
      </c>
      <c r="B3" s="1504">
        <f ca="1">IF(ISERROR(D2/F43),0,ROUND(D2/F43,0))</f>
        <v>0</v>
      </c>
      <c r="C3" s="1500" t="s">
        <v>1315</v>
      </c>
      <c r="D3" s="1500"/>
      <c r="E3" s="1501"/>
      <c r="F3" s="1502"/>
      <c r="G3" s="2857"/>
      <c r="H3" s="678" t="s">
        <v>1309</v>
      </c>
      <c r="I3" s="1495"/>
      <c r="J3" s="1495"/>
      <c r="K3" s="1496"/>
      <c r="L3" s="1495"/>
      <c r="M3" s="1495"/>
    </row>
    <row r="4" spans="1:37" ht="18" customHeight="1">
      <c r="A4" s="291" t="s">
        <v>1316</v>
      </c>
      <c r="B4" s="292" t="s">
        <v>1317</v>
      </c>
      <c r="C4" s="292" t="s">
        <v>1318</v>
      </c>
      <c r="D4" s="292" t="s">
        <v>1319</v>
      </c>
      <c r="E4" s="293" t="s">
        <v>1320</v>
      </c>
      <c r="F4" s="294"/>
      <c r="G4" s="1497"/>
      <c r="H4" s="291" t="s">
        <v>1316</v>
      </c>
      <c r="I4" s="292" t="s">
        <v>1317</v>
      </c>
      <c r="J4" s="292" t="s">
        <v>1318</v>
      </c>
      <c r="K4" s="292" t="s">
        <v>1319</v>
      </c>
      <c r="L4" s="293" t="s">
        <v>1320</v>
      </c>
      <c r="M4" s="294"/>
    </row>
    <row r="5" spans="1:37" ht="18" customHeight="1">
      <c r="A5" s="295">
        <v>1</v>
      </c>
      <c r="B5" s="296" t="s">
        <v>1321</v>
      </c>
      <c r="C5" s="1162" t="e">
        <f ca="1">C6+C10+C12</f>
        <v>#N/A</v>
      </c>
      <c r="D5" s="1477" t="s">
        <v>1322</v>
      </c>
      <c r="E5" s="1163"/>
      <c r="F5" s="1164"/>
      <c r="G5" s="1497"/>
      <c r="H5" s="295">
        <v>1</v>
      </c>
      <c r="I5" s="296" t="s">
        <v>1321</v>
      </c>
      <c r="J5" s="1162" t="e">
        <f ca="1">J6+J10+J12</f>
        <v>#N/A</v>
      </c>
      <c r="K5" s="1477" t="s">
        <v>1322</v>
      </c>
      <c r="L5" s="1163"/>
      <c r="M5" s="1164"/>
    </row>
    <row r="6" spans="1:37" ht="18" customHeight="1">
      <c r="A6" s="1161" t="s">
        <v>822</v>
      </c>
      <c r="B6" s="3655" t="s">
        <v>1124</v>
      </c>
      <c r="C6" s="1166" t="e">
        <f ca="1">ROUND(F6*F8*F7*(1-F9),0)</f>
        <v>#N/A</v>
      </c>
      <c r="D6" s="150" t="s">
        <v>2601</v>
      </c>
      <c r="E6" s="298" t="s">
        <v>1126</v>
      </c>
      <c r="F6" s="299" t="e">
        <f ca="1">INDIRECT("'数据-取费表'!u"&amp;$G$1)</f>
        <v>#N/A</v>
      </c>
      <c r="G6" s="1497"/>
      <c r="H6" s="1161" t="s">
        <v>822</v>
      </c>
      <c r="I6" s="3655" t="s">
        <v>1124</v>
      </c>
      <c r="J6" s="297" t="e">
        <f ca="1">ROUND(M6*M8*M7*(1-M9),0)</f>
        <v>#N/A</v>
      </c>
      <c r="K6" s="1489" t="s">
        <v>2602</v>
      </c>
      <c r="L6" s="298" t="s">
        <v>1126</v>
      </c>
      <c r="M6" s="299" t="e">
        <f ca="1">INDIRECT("'数据-取费表'!z"&amp;$G$1)</f>
        <v>#N/A</v>
      </c>
    </row>
    <row r="7" spans="1:37" ht="18" customHeight="1">
      <c r="A7" s="1165"/>
      <c r="B7" s="3656"/>
      <c r="C7" s="1167"/>
      <c r="D7" s="303"/>
      <c r="E7" s="1168" t="s">
        <v>1127</v>
      </c>
      <c r="F7" s="299" t="e">
        <f ca="1">IF(INDIRECT("'数据-取费表'!ah"&amp;$G$1)="",INDIRECT("'数据-取费表'!k"&amp;$G$1),INDIRECT("'数据-取费表'!ah"&amp;$G$1))</f>
        <v>#N/A</v>
      </c>
      <c r="G7" s="1497"/>
      <c r="H7" s="300"/>
      <c r="I7" s="3656"/>
      <c r="J7" s="302"/>
      <c r="K7" s="303"/>
      <c r="L7" s="298" t="s">
        <v>1127</v>
      </c>
      <c r="M7" s="299" t="e">
        <f ca="1">F7</f>
        <v>#N/A</v>
      </c>
    </row>
    <row r="8" spans="1:37" ht="18" customHeight="1">
      <c r="A8" s="300"/>
      <c r="B8" s="3656"/>
      <c r="C8" s="302"/>
      <c r="D8" s="303"/>
      <c r="E8" s="298" t="s">
        <v>1128</v>
      </c>
      <c r="F8" s="299" t="e">
        <f ca="1">INDIRECT("'数据-取费表'!ai"&amp;$G$1)</f>
        <v>#N/A</v>
      </c>
      <c r="G8" s="1497"/>
      <c r="H8" s="300"/>
      <c r="I8" s="3656"/>
      <c r="J8" s="302"/>
      <c r="K8" s="303"/>
      <c r="L8" s="298" t="s">
        <v>1128</v>
      </c>
      <c r="M8" s="299" t="e">
        <f ca="1">INDIRECT("'数据-取费表'!ai"&amp;$G$1)</f>
        <v>#N/A</v>
      </c>
    </row>
    <row r="9" spans="1:37" ht="18" customHeight="1">
      <c r="A9" s="300"/>
      <c r="B9" s="3657"/>
      <c r="C9" s="302"/>
      <c r="D9" s="303"/>
      <c r="E9" s="298" t="s">
        <v>1129</v>
      </c>
      <c r="F9" s="308" t="e">
        <f ca="1">INDIRECT("'数据-取费表'!w"&amp;$G$1)</f>
        <v>#N/A</v>
      </c>
      <c r="G9" s="1497"/>
      <c r="H9" s="300"/>
      <c r="I9" s="3657"/>
      <c r="J9" s="302"/>
      <c r="K9" s="303"/>
      <c r="L9" s="309" t="s">
        <v>1129</v>
      </c>
      <c r="M9" s="310" t="e">
        <f ca="1">INDIRECT("'数据-取费表'!ab"&amp;$G$1)</f>
        <v>#N/A</v>
      </c>
    </row>
    <row r="10" spans="1:37" ht="18" customHeight="1">
      <c r="A10" s="1161" t="s">
        <v>826</v>
      </c>
      <c r="B10" s="1478" t="s">
        <v>1130</v>
      </c>
      <c r="C10" s="312" t="e">
        <f ca="1">ROUND(IF(F10="押一",C6/12*F11,IF(F10="押二",C6/12*2*F11,IF(F10="押三",C6/12*3*F11,C11*F11))),0)</f>
        <v>#N/A</v>
      </c>
      <c r="D10" s="1479" t="s">
        <v>2611</v>
      </c>
      <c r="E10" s="309" t="s">
        <v>1131</v>
      </c>
      <c r="F10" s="1208" t="s">
        <v>3340</v>
      </c>
      <c r="G10" s="1497"/>
      <c r="H10" s="1161" t="s">
        <v>826</v>
      </c>
      <c r="I10" s="1478" t="s">
        <v>1130</v>
      </c>
      <c r="J10" s="297">
        <f ca="1">ROUND(IF(M10="押一",J6/12*M11,IF(M10="押二",J6/12*2*M11,IF(M10="押三",J6/12*3*M11,J11*M11))),0)</f>
        <v>0</v>
      </c>
      <c r="K10" s="1490" t="s">
        <v>2613</v>
      </c>
      <c r="L10" s="309" t="s">
        <v>1131</v>
      </c>
      <c r="M10" s="1208"/>
    </row>
    <row r="11" spans="1:37" ht="18" customHeight="1">
      <c r="A11" s="304"/>
      <c r="B11" s="1480" t="s">
        <v>1323</v>
      </c>
      <c r="C11" s="1051"/>
      <c r="D11" s="303"/>
      <c r="E11" s="309" t="s">
        <v>1133</v>
      </c>
      <c r="F11" s="310">
        <f ca="1">'数据-取费表'!B39</f>
        <v>1.4999999999999999E-2</v>
      </c>
      <c r="G11" s="1497"/>
      <c r="H11" s="1169"/>
      <c r="I11" s="1480" t="s">
        <v>1324</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t="e">
        <f ca="1">ROUND(C29*F13,0)</f>
        <v>#N/A</v>
      </c>
      <c r="D13" s="1173" t="s">
        <v>1136</v>
      </c>
      <c r="E13" s="1173" t="s">
        <v>1137</v>
      </c>
      <c r="F13" s="1174" t="e">
        <f ca="1">INDIRECT("'数据-取费表'!y"&amp;$G$1)</f>
        <v>#N/A</v>
      </c>
      <c r="G13" s="1497"/>
      <c r="H13" s="1171">
        <v>2</v>
      </c>
      <c r="I13" s="1172" t="s">
        <v>1135</v>
      </c>
      <c r="J13" s="1160" t="e">
        <f ca="1">ROUND(J14*J15,0)</f>
        <v>#N/A</v>
      </c>
      <c r="K13" s="1179" t="s">
        <v>1136</v>
      </c>
      <c r="L13" s="1505"/>
      <c r="M13" s="1506"/>
    </row>
    <row r="14" spans="1:37" ht="18" customHeight="1">
      <c r="A14" s="1074" t="s">
        <v>821</v>
      </c>
      <c r="B14" s="298" t="s">
        <v>1138</v>
      </c>
      <c r="C14" s="314" t="e">
        <f ca="1">ROUND(INDIRECT("'数据-取费表'!l"&amp;$G$1)*F43+'数据-取费表'!L14*INDIRECT("'数据-取费表'!S"&amp;$G$1),0)</f>
        <v>#N/A</v>
      </c>
      <c r="D14" s="1458" t="s">
        <v>1139</v>
      </c>
      <c r="E14" s="1455"/>
      <c r="F14" s="315"/>
      <c r="G14" s="1497"/>
      <c r="H14" s="1074" t="s">
        <v>822</v>
      </c>
      <c r="I14" s="298" t="s">
        <v>1140</v>
      </c>
      <c r="J14" s="24" t="e">
        <f ca="1">C29</f>
        <v>#N/A</v>
      </c>
      <c r="K14" s="15"/>
      <c r="L14" s="877"/>
      <c r="M14" s="878"/>
    </row>
    <row r="15" spans="1:37" s="1510" customFormat="1" ht="18" customHeight="1" thickBot="1">
      <c r="A15" s="1074" t="s">
        <v>823</v>
      </c>
      <c r="B15" s="298" t="s">
        <v>1141</v>
      </c>
      <c r="C15" s="24" t="e">
        <f ca="1">ROUND(C14*F15,0)</f>
        <v>#N/A</v>
      </c>
      <c r="D15" s="316" t="s">
        <v>1142</v>
      </c>
      <c r="E15" s="316" t="s">
        <v>1143</v>
      </c>
      <c r="F15" s="317">
        <f>'数据-取费表'!B33</f>
        <v>0.03</v>
      </c>
      <c r="G15" s="1509"/>
      <c r="H15" s="1181" t="s">
        <v>826</v>
      </c>
      <c r="I15" s="1182" t="s">
        <v>1137</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t="e">
        <f ca="1">ROUND(INDIRECT("'数据-取费表'!l"&amp;$G$1)*F43*F16,0)</f>
        <v>#N/A</v>
      </c>
      <c r="D16" s="298" t="s">
        <v>1142</v>
      </c>
      <c r="E16" s="298" t="s">
        <v>1143</v>
      </c>
      <c r="F16" s="318" t="e">
        <f ca="1">IF(INDIRECT("'数据-取费表'!c"&amp;$G$1)="住宅",'数据-取费表'!B34,0)</f>
        <v>#N/A</v>
      </c>
      <c r="G16" s="1497"/>
      <c r="H16" s="1171" t="s">
        <v>817</v>
      </c>
      <c r="I16" s="1172" t="s">
        <v>1145</v>
      </c>
      <c r="J16" s="306" t="e">
        <f ca="1">ROUND(J17+J22+J23+J24,0)</f>
        <v>#N/A</v>
      </c>
      <c r="K16" s="1179" t="s">
        <v>1146</v>
      </c>
      <c r="L16" s="1180"/>
      <c r="M16" s="1164"/>
    </row>
    <row r="17" spans="1:37" s="1510" customFormat="1" ht="18" customHeight="1">
      <c r="A17" s="1074" t="s">
        <v>1111</v>
      </c>
      <c r="B17" s="298" t="s">
        <v>1147</v>
      </c>
      <c r="C17" s="24" t="e">
        <f ca="1">ROUND(F17*(F43+INDIRECT("'数据-取费表'!S"&amp;$G$1)),0)</f>
        <v>#N/A</v>
      </c>
      <c r="D17" s="298" t="s">
        <v>1148</v>
      </c>
      <c r="E17" s="298" t="s">
        <v>1149</v>
      </c>
      <c r="F17" s="26">
        <f>'数据-取费表'!B35</f>
        <v>200</v>
      </c>
      <c r="G17" s="1509"/>
      <c r="H17" s="1074" t="s">
        <v>822</v>
      </c>
      <c r="I17" s="298" t="s">
        <v>1150</v>
      </c>
      <c r="J17" s="2462" t="e">
        <f ca="1">ROUND(IF(AND(项目基本情况!B11="自然人",项目基本情况!B10="北京市"),J6*M17/(1+'数据-取费表'!C42),J18+J19+J20),0)</f>
        <v>#N/A</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t="e">
        <f ca="1">ROUND(C14*F18,0)</f>
        <v>#N/A</v>
      </c>
      <c r="D18" s="298" t="s">
        <v>1142</v>
      </c>
      <c r="E18" s="298" t="s">
        <v>1143</v>
      </c>
      <c r="F18" s="318">
        <f>'数据-取费表'!B36</f>
        <v>1.4999999999999999E-2</v>
      </c>
      <c r="G18" s="1509"/>
      <c r="H18" s="1074" t="s">
        <v>821</v>
      </c>
      <c r="I18" s="298" t="s">
        <v>1154</v>
      </c>
      <c r="J18" s="24" t="e">
        <f ca="1">ROUND(J6*M18/(1+'数据-取费表'!C42),0)</f>
        <v>#N/A</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t="e">
        <f ca="1">SUM(C14:C18)</f>
        <v>#N/A</v>
      </c>
      <c r="D19" s="126" t="s">
        <v>1157</v>
      </c>
      <c r="E19" s="1473"/>
      <c r="F19" s="26"/>
      <c r="G19" s="1497"/>
      <c r="H19" s="1074" t="s">
        <v>823</v>
      </c>
      <c r="I19" s="298" t="s">
        <v>1158</v>
      </c>
      <c r="J19" s="24" t="e">
        <f ca="1">IF(K19="按租金收入计税",ROUND(J6*M19/(1+'数据-取费表'!C42),0),ROUND(C29*M19*0.7,0))</f>
        <v>#N/A</v>
      </c>
      <c r="K19" s="1483" t="s">
        <v>1159</v>
      </c>
      <c r="L19" s="298" t="s">
        <v>1143</v>
      </c>
      <c r="M19" s="318">
        <f>IF(K19="按租金收入计税",'数据-取费表'!B51,'数据-取费表'!B50)</f>
        <v>1.2E-2</v>
      </c>
    </row>
    <row r="20" spans="1:37" s="1510" customFormat="1" ht="18" customHeight="1">
      <c r="A20" s="1074" t="s">
        <v>826</v>
      </c>
      <c r="B20" s="298" t="s">
        <v>1160</v>
      </c>
      <c r="C20" s="24" t="e">
        <f ca="1">ROUND(C19*F20,0)</f>
        <v>#N/A</v>
      </c>
      <c r="D20" s="319" t="s">
        <v>1161</v>
      </c>
      <c r="E20" s="298" t="s">
        <v>1143</v>
      </c>
      <c r="F20" s="318">
        <f>'数据-取费表'!B37</f>
        <v>0.02</v>
      </c>
      <c r="G20" s="1509"/>
      <c r="H20" s="1074" t="s">
        <v>1110</v>
      </c>
      <c r="I20" s="150" t="s">
        <v>1162</v>
      </c>
      <c r="J20" s="25" t="e">
        <f ca="1">ROUND(M20*M21,0)</f>
        <v>#N/A</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t="e">
        <f ca="1">ROUND(J14*M22,0)</f>
        <v>#N/A</v>
      </c>
      <c r="K22" s="1457" t="s">
        <v>1171</v>
      </c>
      <c r="L22" s="298" t="s">
        <v>1143</v>
      </c>
      <c r="M22" s="324" t="e">
        <f ca="1">INDIRECT("'数据-取费表'!Ak"&amp;$G$1)</f>
        <v>#N/A</v>
      </c>
    </row>
    <row r="23" spans="1:37" s="1510" customFormat="1" ht="18" customHeight="1">
      <c r="A23" s="1074" t="s">
        <v>821</v>
      </c>
      <c r="B23" s="298" t="s">
        <v>1172</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t="e">
        <f ca="1">ROUND(J13*M23,0)</f>
        <v>#N/A</v>
      </c>
      <c r="K23" s="1457" t="s">
        <v>1175</v>
      </c>
      <c r="L23" s="298" t="s">
        <v>1176</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t="e">
        <f ca="1">ROUND(J5*M24,0)</f>
        <v>#N/A</v>
      </c>
      <c r="K24" s="1184" t="s">
        <v>1180</v>
      </c>
      <c r="L24" s="1182" t="s">
        <v>1176</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1181</v>
      </c>
      <c r="B25" s="298" t="s">
        <v>1182</v>
      </c>
      <c r="C25" s="24"/>
      <c r="D25" s="126" t="s">
        <v>1183</v>
      </c>
      <c r="E25" s="1473"/>
      <c r="F25" s="26"/>
      <c r="G25" s="1497"/>
      <c r="H25" s="1171" t="s">
        <v>818</v>
      </c>
      <c r="I25" s="1186" t="s">
        <v>1184</v>
      </c>
      <c r="J25" s="306" t="e">
        <f ca="1">J5-J16</f>
        <v>#N/A</v>
      </c>
      <c r="K25" s="1187" t="s">
        <v>1185</v>
      </c>
      <c r="L25" s="1188"/>
      <c r="M25" s="1189"/>
    </row>
    <row r="26" spans="1:37" ht="18" customHeight="1">
      <c r="A26" s="1074" t="s">
        <v>821</v>
      </c>
      <c r="B26" s="298" t="s">
        <v>1186</v>
      </c>
      <c r="C26" s="24" t="e">
        <f ca="1">ROUND((C19+C20)*F26,0)</f>
        <v>#N/A</v>
      </c>
      <c r="D26" s="319" t="s">
        <v>1187</v>
      </c>
      <c r="E26" s="309" t="s">
        <v>1188</v>
      </c>
      <c r="F26" s="308" t="e">
        <f ca="1">INDIRECT("'数据-取费表'!q"&amp;$G$1)</f>
        <v>#N/A</v>
      </c>
      <c r="G26" s="1497"/>
      <c r="H26" s="295" t="s">
        <v>819</v>
      </c>
      <c r="I26" s="296" t="s">
        <v>1189</v>
      </c>
      <c r="J26" s="297" t="e">
        <f ca="1">IF(J5&lt;&gt;0,ROUND(J25*(1-((1+M28)/(1+M26))^M27)/(M26-M28),0),0)</f>
        <v>#N/A</v>
      </c>
      <c r="K26" s="320" t="s">
        <v>1190</v>
      </c>
      <c r="L26" s="298" t="s">
        <v>1191</v>
      </c>
      <c r="M26" s="308" t="e">
        <f ca="1">INDIRECT("'数据-取费表'!I"&amp;$G$1)</f>
        <v>#N/A</v>
      </c>
    </row>
    <row r="27" spans="1:37" ht="18" customHeight="1">
      <c r="A27" s="1074" t="s">
        <v>823</v>
      </c>
      <c r="B27" s="298" t="s">
        <v>1192</v>
      </c>
      <c r="C27" s="24" t="e">
        <f ca="1">ROUND(F21*F26,4)</f>
        <v>#N/A</v>
      </c>
      <c r="D27" s="319" t="s">
        <v>1193</v>
      </c>
      <c r="E27" s="316"/>
      <c r="F27" s="317"/>
      <c r="G27" s="1497"/>
      <c r="H27" s="300"/>
      <c r="I27" s="301"/>
      <c r="J27" s="302"/>
      <c r="K27" s="328" t="s">
        <v>1194</v>
      </c>
      <c r="L27" s="298" t="s">
        <v>1195</v>
      </c>
      <c r="M27" s="329" t="e">
        <f ca="1">INDIRECT("'数据-取费表'!ag"&amp;$G$1)</f>
        <v>#N/A</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t="e">
        <f ca="1">ROUND((C19+C20+C23+C26)/(1-F21-C24-C27-C28),0)</f>
        <v>#N/A</v>
      </c>
      <c r="D29" s="1184"/>
      <c r="E29" s="1182"/>
      <c r="F29" s="1185"/>
      <c r="G29" s="1509"/>
      <c r="H29" s="330" t="s">
        <v>820</v>
      </c>
      <c r="I29" s="331" t="s">
        <v>1200</v>
      </c>
      <c r="J29" s="332" t="e">
        <f ca="1">ROUND(J26/(1+F40)^F41,0)</f>
        <v>#N/A</v>
      </c>
      <c r="K29" s="333" t="s">
        <v>1201</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t="e">
        <f ca="1">ROUND(C31+C36+C37+C38,0)</f>
        <v>#N/A</v>
      </c>
      <c r="D30" s="1179" t="s">
        <v>1146</v>
      </c>
      <c r="E30" s="1180"/>
      <c r="F30" s="1164"/>
      <c r="G30" s="1497"/>
      <c r="H30" s="2848"/>
      <c r="I30" s="1511"/>
      <c r="J30" s="1512"/>
      <c r="K30" s="2625"/>
      <c r="L30" s="2849"/>
      <c r="M30" s="2850"/>
    </row>
    <row r="31" spans="1:37" ht="18" customHeight="1">
      <c r="A31" s="1074" t="s">
        <v>822</v>
      </c>
      <c r="B31" s="298" t="s">
        <v>1150</v>
      </c>
      <c r="C31" s="2462" t="e">
        <f ca="1">ROUND(IF(AND(项目基本情况!B11="自然人",项目基本情况!B10="北京市"),C6*F31/(1+'数据-取费表'!C42),C32+C33+C34),0)</f>
        <v>#N/A</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t="e">
        <f ca="1">IF(项目基本情况!B11="自然人","——",ROUND(C6*F32/(1+'数据-取费表'!C42),0))</f>
        <v>#N/A</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t="e">
        <f ca="1">IF(项目基本情况!B11="自然人","——",IF(D33="按租金收入计税",ROUND(C6*F33/(1+'数据-取费表'!C42),0),IF(D33="按房产原值计税",ROUND(C29*F33*0.7,0),INDIRECT("'数据-取费表'!Aj"&amp;$G$1))))</f>
        <v>#N/A</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t="e">
        <f ca="1">IF(项目基本情况!B11="自然人","——",ROUND(F34*F35,))</f>
        <v>#N/A</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t="e">
        <f ca="1">INDIRECT("'数据-取费表'!r"&amp;$G$1)</f>
        <v>#N/A</v>
      </c>
      <c r="G35" s="1497"/>
      <c r="H35" s="2848"/>
      <c r="I35" s="1511"/>
      <c r="J35" s="1512"/>
      <c r="K35" s="2852"/>
      <c r="L35" s="2851"/>
      <c r="M35" s="2851"/>
    </row>
    <row r="36" spans="1:18" ht="18" customHeight="1">
      <c r="A36" s="1194" t="s">
        <v>826</v>
      </c>
      <c r="B36" s="298" t="s">
        <v>1170</v>
      </c>
      <c r="C36" s="24" t="e">
        <f ca="1">ROUND(C29*F36,0)</f>
        <v>#N/A</v>
      </c>
      <c r="D36" s="1457" t="s">
        <v>1203</v>
      </c>
      <c r="E36" s="298" t="s">
        <v>1143</v>
      </c>
      <c r="F36" s="324" t="e">
        <f ca="1">INDIRECT("'数据-取费表'!Ak"&amp;$G$1)</f>
        <v>#N/A</v>
      </c>
      <c r="G36" s="1497"/>
      <c r="H36" s="2851"/>
      <c r="I36" s="1511"/>
      <c r="J36" s="1512"/>
      <c r="K36" s="2693"/>
      <c r="L36" s="2851"/>
      <c r="M36" s="2851"/>
    </row>
    <row r="37" spans="1:18" ht="18" customHeight="1">
      <c r="A37" s="1074" t="s">
        <v>862</v>
      </c>
      <c r="B37" s="298" t="s">
        <v>1174</v>
      </c>
      <c r="C37" s="24" t="e">
        <f ca="1">ROUND(C13*F37,0)</f>
        <v>#N/A</v>
      </c>
      <c r="D37" s="1457" t="s">
        <v>1175</v>
      </c>
      <c r="E37" s="298" t="s">
        <v>1176</v>
      </c>
      <c r="F37" s="326" t="e">
        <f ca="1">INDIRECT("'数据-取费表'!Al"&amp;$G$1)</f>
        <v>#N/A</v>
      </c>
      <c r="G37" s="1497"/>
      <c r="H37" s="2851"/>
      <c r="I37" s="1511"/>
      <c r="J37" s="1512"/>
      <c r="K37" s="2693"/>
      <c r="L37" s="2851"/>
      <c r="M37" s="2851"/>
    </row>
    <row r="38" spans="1:18" ht="18" customHeight="1" thickBot="1">
      <c r="A38" s="1181" t="s">
        <v>1114</v>
      </c>
      <c r="B38" s="1182" t="s">
        <v>1160</v>
      </c>
      <c r="C38" s="1183" t="e">
        <f ca="1">ROUND(C5*F38,1)</f>
        <v>#N/A</v>
      </c>
      <c r="D38" s="1184" t="s">
        <v>1180</v>
      </c>
      <c r="E38" s="1182" t="s">
        <v>1176</v>
      </c>
      <c r="F38" s="1178" t="e">
        <f ca="1">INDIRECT("'数据-取费表'!Am"&amp;$G$1)</f>
        <v>#N/A</v>
      </c>
      <c r="G38" s="1497"/>
      <c r="H38" s="2851"/>
      <c r="I38" s="1511"/>
      <c r="J38" s="1512"/>
      <c r="K38" s="2855"/>
      <c r="L38" s="2851"/>
      <c r="M38" s="2851"/>
    </row>
    <row r="39" spans="1:18" ht="24.65" customHeight="1" thickTop="1">
      <c r="A39" s="1171" t="s">
        <v>818</v>
      </c>
      <c r="B39" s="1186" t="s">
        <v>1204</v>
      </c>
      <c r="C39" s="306" t="e">
        <f ca="1">C5-C30</f>
        <v>#N/A</v>
      </c>
      <c r="D39" s="1187" t="s">
        <v>1205</v>
      </c>
      <c r="E39" s="1188"/>
      <c r="F39" s="1189"/>
      <c r="G39" s="1497"/>
      <c r="H39" s="2851"/>
      <c r="I39" s="1511"/>
      <c r="J39" s="1512"/>
      <c r="K39" s="2855"/>
      <c r="L39" s="2851"/>
      <c r="M39" s="2851"/>
    </row>
    <row r="40" spans="1:18" ht="18" customHeight="1">
      <c r="A40" s="295" t="s">
        <v>819</v>
      </c>
      <c r="B40" s="296" t="s">
        <v>1206</v>
      </c>
      <c r="C40" s="297" t="e">
        <f ca="1">ROUND(C39*(1-((1+F42)/(1+F40))^F41)/(F40-F42),0)</f>
        <v>#N/A</v>
      </c>
      <c r="D40" s="320" t="s">
        <v>1190</v>
      </c>
      <c r="E40" s="298" t="s">
        <v>1191</v>
      </c>
      <c r="F40" s="308" t="e">
        <f ca="1">INDIRECT("'数据-取费表'!I"&amp;$G$1)</f>
        <v>#N/A</v>
      </c>
      <c r="G40" s="1497"/>
      <c r="H40" s="1574"/>
      <c r="I40" s="1511"/>
      <c r="J40" s="1512"/>
      <c r="K40" s="2855"/>
      <c r="L40" s="1574"/>
      <c r="M40" s="1574"/>
    </row>
    <row r="41" spans="1:18" ht="18" customHeight="1">
      <c r="A41" s="300"/>
      <c r="B41" s="301"/>
      <c r="C41" s="302"/>
      <c r="D41" s="328" t="s">
        <v>1207</v>
      </c>
      <c r="E41" s="298" t="s">
        <v>1195</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1198</v>
      </c>
      <c r="F42" s="308" t="e">
        <f ca="1">INDIRECT("'数据-取费表'!v"&amp;$G$1)</f>
        <v>#N/A</v>
      </c>
      <c r="G42" s="1497"/>
      <c r="H42" s="1284"/>
      <c r="I42" s="1511"/>
      <c r="J42" s="1512"/>
      <c r="K42" s="2693"/>
      <c r="L42" s="1284"/>
      <c r="M42" s="1284"/>
    </row>
    <row r="43" spans="1:18" ht="18" customHeight="1" thickBot="1">
      <c r="A43" s="330" t="s">
        <v>820</v>
      </c>
      <c r="B43" s="331" t="s">
        <v>1208</v>
      </c>
      <c r="C43" s="332" t="e">
        <f ca="1">ROUND(C40/F43,0)</f>
        <v>#N/A</v>
      </c>
      <c r="D43" s="333" t="s">
        <v>1209</v>
      </c>
      <c r="E43" s="334" t="s">
        <v>1210</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1325</v>
      </c>
      <c r="E45" s="1513"/>
      <c r="F45" s="1513"/>
      <c r="O45" s="1516" t="s">
        <v>1240</v>
      </c>
      <c r="P45" s="1574"/>
      <c r="Q45" s="1574"/>
      <c r="R45" s="1574"/>
    </row>
    <row r="46" spans="1:18" s="1497" customFormat="1" ht="14" thickBot="1">
      <c r="A46" s="1517" t="s">
        <v>1241</v>
      </c>
      <c r="C46" s="1518" t="e">
        <f ca="1">ROUND(C45/10000,0)</f>
        <v>#N/A</v>
      </c>
      <c r="D46" s="1519" t="str">
        <f>C2</f>
        <v>万元</v>
      </c>
      <c r="I46" s="1520" t="s">
        <v>1242</v>
      </c>
      <c r="J46" s="1521"/>
      <c r="K46" s="1522"/>
      <c r="L46" s="1523" t="e">
        <f ca="1">IF(M47="住宅",0,IF(L48&gt;J51,L60,J60))</f>
        <v>#N/A</v>
      </c>
      <c r="O46" s="1524" t="s">
        <v>1243</v>
      </c>
      <c r="P46" s="1525" t="s">
        <v>1244</v>
      </c>
      <c r="Q46" s="1526" t="s">
        <v>1245</v>
      </c>
      <c r="R46" s="1526" t="s">
        <v>1246</v>
      </c>
    </row>
    <row r="47" spans="1:18" s="1497" customFormat="1" ht="13.5" thickBot="1">
      <c r="A47" s="1038" t="s">
        <v>1117</v>
      </c>
      <c r="B47" s="1070" t="s">
        <v>1118</v>
      </c>
      <c r="C47" s="1070" t="s">
        <v>1119</v>
      </c>
      <c r="D47" s="1070" t="s">
        <v>1120</v>
      </c>
      <c r="E47" s="1149" t="s">
        <v>1121</v>
      </c>
      <c r="F47" s="1150"/>
      <c r="G47" s="717"/>
      <c r="I47" s="1527" t="s">
        <v>1247</v>
      </c>
      <c r="J47" s="1528" t="s">
        <v>3271</v>
      </c>
      <c r="K47" s="1529" t="s">
        <v>1248</v>
      </c>
      <c r="L47" s="1530" t="e">
        <f ca="1">INDIRECT("'数据-取费表'!d"&amp;$G$1)</f>
        <v>#N/A</v>
      </c>
      <c r="M47" s="1493" t="str">
        <f>IF(ISNUMBER(FIND("住宅",C1)),"住宅","非住宅")</f>
        <v>非住宅</v>
      </c>
      <c r="O47" s="1531" t="s">
        <v>827</v>
      </c>
      <c r="P47" s="1532" t="s">
        <v>1249</v>
      </c>
      <c r="Q47" s="1533" t="e">
        <f ca="1">C40+J29</f>
        <v>#N/A</v>
      </c>
      <c r="R47" s="1533" t="s">
        <v>1250</v>
      </c>
    </row>
    <row r="48" spans="1:18" s="1497" customFormat="1" ht="43.5" thickBot="1">
      <c r="A48" s="1202" t="s">
        <v>863</v>
      </c>
      <c r="B48" s="296" t="s">
        <v>1122</v>
      </c>
      <c r="C48" s="1472" t="e">
        <f ca="1">C49+C53+C55</f>
        <v>#N/A</v>
      </c>
      <c r="D48" s="1204"/>
      <c r="E48" s="1205"/>
      <c r="F48" s="1054"/>
      <c r="G48" s="717"/>
      <c r="H48" s="718"/>
      <c r="I48" s="1534" t="s">
        <v>1251</v>
      </c>
      <c r="J48" s="1535" t="s">
        <v>3272</v>
      </c>
      <c r="K48" s="1536" t="s">
        <v>1252</v>
      </c>
      <c r="L48" s="1537" t="e">
        <f ca="1">INDIRECT("'数据-取费表'!f"&amp;$G$1)</f>
        <v>#N/A</v>
      </c>
      <c r="O48" s="1531" t="s">
        <v>828</v>
      </c>
      <c r="P48" s="1532" t="s">
        <v>1253</v>
      </c>
      <c r="Q48" s="1533" t="e">
        <f ca="1">J60</f>
        <v>#N/A</v>
      </c>
      <c r="R48" s="1533" t="s">
        <v>1254</v>
      </c>
    </row>
    <row r="49" spans="1:18" s="1497" customFormat="1" ht="13.5" thickBot="1">
      <c r="A49" s="1067" t="s">
        <v>864</v>
      </c>
      <c r="B49" s="1484" t="s">
        <v>1211</v>
      </c>
      <c r="C49" s="1206" t="e">
        <f ca="1">ROUND(F49*F51*F50*(1-F52),0)</f>
        <v>#N/A</v>
      </c>
      <c r="D49" s="1146" t="s">
        <v>1125</v>
      </c>
      <c r="E49" s="1485" t="s">
        <v>1212</v>
      </c>
      <c r="F49" s="1151"/>
      <c r="G49" s="1538"/>
      <c r="H49" s="718"/>
      <c r="I49" s="1534" t="s">
        <v>1255</v>
      </c>
      <c r="J49" s="1539">
        <v>2021</v>
      </c>
      <c r="K49" s="1536" t="s">
        <v>1256</v>
      </c>
      <c r="L49" s="1540"/>
      <c r="O49" s="1541" t="s">
        <v>829</v>
      </c>
      <c r="P49" s="1532" t="s">
        <v>1257</v>
      </c>
      <c r="Q49" s="1533" t="e">
        <f ca="1">C29</f>
        <v>#N/A</v>
      </c>
      <c r="R49" s="1533" t="s">
        <v>1250</v>
      </c>
    </row>
    <row r="50" spans="1:18" s="1497" customFormat="1" ht="13.5" thickBot="1">
      <c r="A50" s="1068"/>
      <c r="B50" s="1071"/>
      <c r="C50" s="1072"/>
      <c r="D50" s="1045"/>
      <c r="E50" s="1147" t="s">
        <v>1127</v>
      </c>
      <c r="F50" s="1148" t="e">
        <f ca="1">F7</f>
        <v>#N/A</v>
      </c>
      <c r="H50" s="718"/>
      <c r="I50" s="1534" t="s">
        <v>1258</v>
      </c>
      <c r="J50" s="1542">
        <f>SUMPRODUCT((I63:I65=J47)*(J62:L62=J48)*(J63:L65))</f>
        <v>60</v>
      </c>
      <c r="K50" s="1536" t="s">
        <v>1259</v>
      </c>
      <c r="L50" s="1540"/>
      <c r="M50" s="1543"/>
      <c r="O50" s="1541" t="s">
        <v>830</v>
      </c>
      <c r="P50" s="1532" t="s">
        <v>1260</v>
      </c>
      <c r="Q50" s="1544" t="e">
        <f ca="1">J58</f>
        <v>#N/A</v>
      </c>
      <c r="R50" s="1533"/>
    </row>
    <row r="51" spans="1:18" s="1497" customFormat="1" ht="13.5" thickBot="1">
      <c r="A51" s="1069"/>
      <c r="B51" s="1071"/>
      <c r="C51" s="1072"/>
      <c r="D51" s="1045"/>
      <c r="E51" s="1073" t="s">
        <v>1128</v>
      </c>
      <c r="F51" s="299" t="e">
        <f ca="1">F8</f>
        <v>#N/A</v>
      </c>
      <c r="I51" s="1545" t="s">
        <v>1261</v>
      </c>
      <c r="J51" s="1546">
        <f>IF(J49="",J50,J49+J50-YEAR('数据-取费表'!B2))</f>
        <v>59</v>
      </c>
      <c r="K51" s="1547" t="s">
        <v>1262</v>
      </c>
      <c r="L51" s="1548" t="e">
        <f ca="1">ROUND(-PV(INDIRECT("'数据-取费表'!h"&amp;$G$1),J51,(C39-C13*C76),0),0)</f>
        <v>#N/A</v>
      </c>
      <c r="M51" s="1549"/>
      <c r="O51" s="1541" t="s">
        <v>831</v>
      </c>
      <c r="P51" s="1532" t="s">
        <v>1263</v>
      </c>
      <c r="Q51" s="1544">
        <f>J52</f>
        <v>0.08</v>
      </c>
      <c r="R51" s="1533"/>
    </row>
    <row r="52" spans="1:18" s="1497" customFormat="1" ht="13.5" thickBot="1">
      <c r="A52" s="1069"/>
      <c r="B52" s="1071"/>
      <c r="C52" s="1072"/>
      <c r="D52" s="1045"/>
      <c r="E52" s="1073" t="s">
        <v>1129</v>
      </c>
      <c r="F52" s="1145"/>
      <c r="I52" s="1550" t="s">
        <v>1264</v>
      </c>
      <c r="J52" s="1551">
        <v>0.08</v>
      </c>
      <c r="K52" s="1550" t="s">
        <v>1265</v>
      </c>
      <c r="L52" s="1551"/>
      <c r="O52" s="1541" t="s">
        <v>832</v>
      </c>
      <c r="P52" s="1532" t="s">
        <v>1266</v>
      </c>
      <c r="Q52" s="1533" t="e">
        <f ca="1">J53</f>
        <v>#N/A</v>
      </c>
      <c r="R52" s="1533" t="s">
        <v>1267</v>
      </c>
    </row>
    <row r="53" spans="1:18" s="1497" customFormat="1" ht="30.75" customHeight="1" thickBot="1">
      <c r="A53" s="1203" t="s">
        <v>865</v>
      </c>
      <c r="B53" s="319" t="s">
        <v>1130</v>
      </c>
      <c r="C53" s="312">
        <f ca="1">ROUND(IF(F53="押一",C49/12*F11,IF(F53="押二",C49/12*2*F11,IF(F53="押三",C49/12*3*F11,C54*F11))),0)</f>
        <v>0</v>
      </c>
      <c r="D53" s="1479" t="s">
        <v>2614</v>
      </c>
      <c r="E53" s="309" t="s">
        <v>1131</v>
      </c>
      <c r="F53" s="1208"/>
      <c r="I53" s="1552" t="s">
        <v>1268</v>
      </c>
      <c r="J53" s="2314" t="e">
        <f ca="1">IF(M47="住宅",IF(D1="——",MAX(J51,L48),MAX(J51,L48-'数据-取费表'!B24)),IF(D1="——",MIN(J51,L48),MIN(J51,L48-'数据-取费表'!B24)))</f>
        <v>#N/A</v>
      </c>
      <c r="K53" s="3653" t="s">
        <v>1269</v>
      </c>
      <c r="L53" s="3654"/>
      <c r="O53" s="1531" t="s">
        <v>833</v>
      </c>
      <c r="P53" s="1532" t="s">
        <v>1270</v>
      </c>
      <c r="Q53" s="1533" t="e">
        <f ca="1">Q47+Q48</f>
        <v>#N/A</v>
      </c>
      <c r="R53" s="1533" t="s">
        <v>834</v>
      </c>
    </row>
    <row r="54" spans="1:18" s="1497" customFormat="1" ht="13.5" thickBot="1">
      <c r="A54" s="1067"/>
      <c r="B54" s="1587" t="s">
        <v>1324</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#N/A</v>
      </c>
      <c r="K55" s="1558" t="s">
        <v>1273</v>
      </c>
      <c r="L55" s="1559"/>
      <c r="O55" s="1524" t="s">
        <v>1243</v>
      </c>
      <c r="P55" s="1525" t="s">
        <v>1244</v>
      </c>
      <c r="Q55" s="1526" t="s">
        <v>1245</v>
      </c>
      <c r="R55" s="1526" t="s">
        <v>1246</v>
      </c>
    </row>
    <row r="56" spans="1:18" s="1497" customFormat="1" ht="36" customHeight="1" thickTop="1" thickBot="1">
      <c r="A56" s="1049">
        <v>2</v>
      </c>
      <c r="B56" s="1050" t="s">
        <v>1135</v>
      </c>
      <c r="C56" s="228" t="e">
        <f ca="1">C13</f>
        <v>#N/A</v>
      </c>
      <c r="D56" s="1560"/>
      <c r="E56" s="1561"/>
      <c r="F56" s="1553"/>
      <c r="I56" s="1562" t="s">
        <v>1275</v>
      </c>
      <c r="J56" s="1563" t="s">
        <v>3273</v>
      </c>
      <c r="K56" s="1534" t="s">
        <v>1276</v>
      </c>
      <c r="L56" s="1537" t="e">
        <f ca="1">IF(L48&lt;J51,"——",L48-J51)</f>
        <v>#N/A</v>
      </c>
      <c r="O56" s="1531" t="s">
        <v>827</v>
      </c>
      <c r="P56" s="1532" t="s">
        <v>1249</v>
      </c>
      <c r="Q56" s="1533" t="e">
        <f ca="1">C40+J29</f>
        <v>#N/A</v>
      </c>
      <c r="R56" s="1533" t="s">
        <v>1250</v>
      </c>
    </row>
    <row r="57" spans="1:18" s="1497" customFormat="1" ht="26.5" thickBot="1">
      <c r="A57" s="1564"/>
      <c r="B57" s="1042" t="s">
        <v>1199</v>
      </c>
      <c r="C57" s="234" t="e">
        <f ca="1">C29</f>
        <v>#N/A</v>
      </c>
      <c r="D57" s="1565"/>
      <c r="E57" s="1566"/>
      <c r="F57" s="1567"/>
      <c r="I57" s="1568" t="s">
        <v>1277</v>
      </c>
      <c r="J57" s="1569" t="e">
        <f ca="1">IF(OR(M47="住宅",J51&lt;L48,J56="是"),"——",J51-L48)</f>
        <v>#N/A</v>
      </c>
      <c r="K57" s="1534" t="s">
        <v>1326</v>
      </c>
      <c r="L57" s="1537" t="e">
        <f ca="1">IF(L48&lt;J51,"——",IF(L55="比较法",L49,IF(L55="基准地价",L50,L51)))</f>
        <v>#N/A</v>
      </c>
      <c r="O57" s="1531" t="s">
        <v>828</v>
      </c>
      <c r="P57" s="1532" t="s">
        <v>1327</v>
      </c>
      <c r="Q57" s="1533" t="e">
        <f ca="1">L60</f>
        <v>#N/A</v>
      </c>
      <c r="R57" s="1533" t="s">
        <v>1328</v>
      </c>
    </row>
    <row r="58" spans="1:18" s="1497" customFormat="1" ht="26.5" thickBot="1">
      <c r="A58" s="311" t="s">
        <v>817</v>
      </c>
      <c r="B58" s="1050" t="s">
        <v>1145</v>
      </c>
      <c r="C58" s="312" t="e">
        <f ca="1">ROUND(C59+C64+C65+C66,0)</f>
        <v>#N/A</v>
      </c>
      <c r="D58" s="1052" t="s">
        <v>1146</v>
      </c>
      <c r="E58" s="1053"/>
      <c r="F58" s="1054"/>
      <c r="I58" s="1568" t="s">
        <v>1281</v>
      </c>
      <c r="J58" s="1570" t="e">
        <f ca="1">IF(J55&lt;0.4,0.4,J55)</f>
        <v>#N/A</v>
      </c>
      <c r="K58" s="1547" t="s">
        <v>1329</v>
      </c>
      <c r="L58" s="1537" t="e">
        <f ca="1">ROUND(POWER(1+L52,L47-L48)*(POWER(1+L52,L48)-1)/(POWER(1+L52,L47)-1),4)</f>
        <v>#N/A</v>
      </c>
      <c r="O58" s="1541" t="s">
        <v>829</v>
      </c>
      <c r="P58" s="1532" t="s">
        <v>1283</v>
      </c>
      <c r="Q58" s="1533">
        <f>IF(L55="比较法",L49,IF(L55="基准地价",L50,0))</f>
        <v>0</v>
      </c>
      <c r="R58" s="1533" t="s">
        <v>1250</v>
      </c>
    </row>
    <row r="59" spans="1:18" s="1497" customFormat="1" ht="26.5" thickBot="1">
      <c r="A59" s="1074" t="s">
        <v>822</v>
      </c>
      <c r="B59" s="1042" t="s">
        <v>1150</v>
      </c>
      <c r="C59" s="2462" t="e">
        <f ca="1">ROUND(IF(AND(项目基本情况!B11="自然人",项目基本情况!B10="北京市"),C49*F59/(1+'数据-取费表'!C42),C60+C61+C62),0)</f>
        <v>#N/A</v>
      </c>
      <c r="D59" s="1055" t="s">
        <v>1151</v>
      </c>
      <c r="E59" s="1056" t="s">
        <v>1152</v>
      </c>
      <c r="F59" s="2461" t="str">
        <f>IF(项目基本情况!B11="企业","——",IF('数据-取费表'!B10="住宅",IF(F49*F50*F51/12/(1+'数据-取费表'!F30)&gt;100000,4%,2.5%),IF(F49*F50*F51/12/(1+'数据-取费表'!F30)&gt;100000,12%,7%)))</f>
        <v>——</v>
      </c>
      <c r="I59" s="1568" t="s">
        <v>1284</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830</v>
      </c>
      <c r="P59" s="1532" t="s">
        <v>1285</v>
      </c>
      <c r="Q59" s="1544">
        <f>L52</f>
        <v>0</v>
      </c>
      <c r="R59" s="1533"/>
    </row>
    <row r="60" spans="1:18" s="1497" customFormat="1" ht="16" thickBot="1">
      <c r="A60" s="1074" t="s">
        <v>821</v>
      </c>
      <c r="B60" s="1042" t="s">
        <v>1154</v>
      </c>
      <c r="C60" s="24" t="e">
        <f ca="1">IF(项目基本情况!B11="自然人","——",ROUND(C48*F60/(1+'数据-取费表'!C42),0))</f>
        <v>#N/A</v>
      </c>
      <c r="D60" s="1056" t="s">
        <v>1155</v>
      </c>
      <c r="E60" s="1042" t="s">
        <v>1143</v>
      </c>
      <c r="F60" s="327">
        <f t="shared" ref="F60:F66" si="0">F32</f>
        <v>5.5000000000000007E-2</v>
      </c>
      <c r="I60" s="1571" t="s">
        <v>1286</v>
      </c>
      <c r="J60" s="1572" t="e">
        <f ca="1">IF(OR(M47="住宅",J51&lt;L48,J56="是"),"0",ROUND(J59/(1+J52)^J53,0))</f>
        <v>#N/A</v>
      </c>
      <c r="K60" s="1573" t="s">
        <v>1287</v>
      </c>
      <c r="L60" s="1572" t="e">
        <f ca="1">IF(OR(M47="住宅",L48&lt;J51),0,ROUND(L57*(L58/L59-1),0))</f>
        <v>#N/A</v>
      </c>
      <c r="O60" s="1541" t="s">
        <v>831</v>
      </c>
      <c r="P60" s="1532" t="s">
        <v>1288</v>
      </c>
      <c r="Q60" s="1533" t="e">
        <f ca="1">L58</f>
        <v>#N/A</v>
      </c>
      <c r="R60" s="1533" t="s">
        <v>1289</v>
      </c>
    </row>
    <row r="61" spans="1:18" s="1497" customFormat="1" ht="13.5" thickBot="1">
      <c r="A61" s="1074" t="s">
        <v>1213</v>
      </c>
      <c r="B61" s="1042" t="s">
        <v>1214</v>
      </c>
      <c r="C61" s="24" t="e">
        <f ca="1">IF(项目基本情况!B11="自然人","——",IF(D61="按租金收入计税",ROUND(C49*F61/(1+'数据-取费表'!C42),0),IF(D61="按房产原值计税",ROUND(C57*F61*0.7,0),INDIRECT("'数据-取费表'!Aj"&amp;$G$1))))</f>
        <v>#N/A</v>
      </c>
      <c r="D61" s="1483" t="s">
        <v>1159</v>
      </c>
      <c r="E61" s="1042" t="s">
        <v>1215</v>
      </c>
      <c r="F61" s="318">
        <f t="shared" si="0"/>
        <v>0.12</v>
      </c>
      <c r="I61" s="1574"/>
      <c r="J61" s="1574"/>
      <c r="K61" s="1574"/>
      <c r="L61" s="1574"/>
      <c r="O61" s="1541" t="s">
        <v>832</v>
      </c>
      <c r="P61" s="1532" t="str">
        <f>K59</f>
        <v>建筑物剩余耐用年限下的土地年期修正系数Kn</v>
      </c>
      <c r="Q61" s="1533" t="e">
        <f ca="1">L59</f>
        <v>#N/A</v>
      </c>
      <c r="R61" s="1533" t="s">
        <v>1290</v>
      </c>
    </row>
    <row r="62" spans="1:18" s="1497" customFormat="1" ht="13.5" thickBot="1">
      <c r="A62" s="1074" t="s">
        <v>1216</v>
      </c>
      <c r="B62" s="1041" t="s">
        <v>1217</v>
      </c>
      <c r="C62" s="25" t="e">
        <f ca="1">IF(项目基本情况!B11="自然人","——",ROUND(F62*F63,0))</f>
        <v>#N/A</v>
      </c>
      <c r="D62" s="1057" t="s">
        <v>1218</v>
      </c>
      <c r="E62" s="1042" t="s">
        <v>1219</v>
      </c>
      <c r="F62" s="321">
        <f t="shared" si="0"/>
        <v>1.5</v>
      </c>
      <c r="I62" s="1575" t="s">
        <v>1291</v>
      </c>
      <c r="J62" s="1576" t="s">
        <v>1292</v>
      </c>
      <c r="K62" s="1576" t="s">
        <v>1293</v>
      </c>
      <c r="L62" s="1576" t="s">
        <v>1294</v>
      </c>
      <c r="M62" s="1577" t="s">
        <v>1295</v>
      </c>
      <c r="O62" s="1531" t="s">
        <v>833</v>
      </c>
      <c r="P62" s="1532" t="s">
        <v>1296</v>
      </c>
      <c r="Q62" s="1533" t="e">
        <f ca="1">Q56+Q57</f>
        <v>#N/A</v>
      </c>
      <c r="R62" s="1533" t="s">
        <v>834</v>
      </c>
    </row>
    <row r="63" spans="1:18" s="1497" customFormat="1" ht="13.5" thickBot="1">
      <c r="A63" s="322"/>
      <c r="B63" s="1048"/>
      <c r="C63" s="29"/>
      <c r="D63" s="1058"/>
      <c r="E63" s="1042" t="s">
        <v>1220</v>
      </c>
      <c r="F63" s="299" t="e">
        <f t="shared" ca="1" si="0"/>
        <v>#N/A</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t="e">
        <f ca="1">ROUND(C57*F64,0)</f>
        <v>#N/A</v>
      </c>
      <c r="D64" s="1056" t="s">
        <v>1223</v>
      </c>
      <c r="E64" s="1042" t="s">
        <v>1215</v>
      </c>
      <c r="F64" s="324" t="e">
        <f t="shared" ca="1" si="0"/>
        <v>#N/A</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t="e">
        <f ca="1">ROUND(C56*F65,0)</f>
        <v>#N/A</v>
      </c>
      <c r="D65" s="1056" t="s">
        <v>1175</v>
      </c>
      <c r="E65" s="1042" t="s">
        <v>1176</v>
      </c>
      <c r="F65" s="326" t="e">
        <f t="shared" ca="1" si="0"/>
        <v>#N/A</v>
      </c>
      <c r="I65" s="1575" t="s">
        <v>1300</v>
      </c>
      <c r="J65" s="1576">
        <v>40</v>
      </c>
      <c r="K65" s="1576">
        <v>30</v>
      </c>
      <c r="L65" s="1576">
        <v>50</v>
      </c>
      <c r="M65" s="1578">
        <v>0.02</v>
      </c>
      <c r="O65" s="1531" t="s">
        <v>827</v>
      </c>
      <c r="P65" s="1532" t="s">
        <v>1301</v>
      </c>
      <c r="Q65" s="1533" t="e">
        <f ca="1">C40+J29</f>
        <v>#N/A</v>
      </c>
      <c r="R65" s="1533" t="s">
        <v>1250</v>
      </c>
    </row>
    <row r="66" spans="1:18" s="1497" customFormat="1" ht="16" thickBot="1">
      <c r="A66" s="1074" t="s">
        <v>1225</v>
      </c>
      <c r="B66" s="1042" t="s">
        <v>1160</v>
      </c>
      <c r="C66" s="24" t="e">
        <f ca="1">ROUND(C48*F66,0)</f>
        <v>#N/A</v>
      </c>
      <c r="D66" s="1056" t="s">
        <v>1226</v>
      </c>
      <c r="E66" s="1042" t="s">
        <v>1143</v>
      </c>
      <c r="F66" s="308" t="e">
        <f t="shared" ca="1" si="0"/>
        <v>#N/A</v>
      </c>
      <c r="O66" s="1531" t="s">
        <v>828</v>
      </c>
      <c r="P66" s="1532" t="s">
        <v>1279</v>
      </c>
      <c r="Q66" s="1533" t="e">
        <f ca="1">L60</f>
        <v>#N/A</v>
      </c>
      <c r="R66" s="1533" t="s">
        <v>1302</v>
      </c>
    </row>
    <row r="67" spans="1:18" s="1497" customFormat="1" ht="26.5" thickBot="1">
      <c r="A67" s="1049" t="s">
        <v>818</v>
      </c>
      <c r="B67" s="1059" t="s">
        <v>1184</v>
      </c>
      <c r="C67" s="312" t="e">
        <f ca="1">C48-C58</f>
        <v>#N/A</v>
      </c>
      <c r="D67" s="1055" t="s">
        <v>1185</v>
      </c>
      <c r="E67" s="1060"/>
      <c r="F67" s="1061"/>
      <c r="O67" s="1541" t="s">
        <v>829</v>
      </c>
      <c r="P67" s="1532" t="s">
        <v>1283</v>
      </c>
      <c r="Q67" s="1579" t="e">
        <f ca="1">L51</f>
        <v>#N/A</v>
      </c>
      <c r="R67" s="1533" t="s">
        <v>1303</v>
      </c>
    </row>
    <row r="68" spans="1:18" s="1497" customFormat="1" ht="16" thickBot="1">
      <c r="A68" s="1039" t="s">
        <v>819</v>
      </c>
      <c r="B68" s="1040" t="s">
        <v>1206</v>
      </c>
      <c r="C68" s="297" t="e">
        <f ca="1">ROUND(C67*(1-((1+F70)/(1+F68))^F69)/(F68-F70),0)</f>
        <v>#N/A</v>
      </c>
      <c r="D68" s="1057" t="s">
        <v>1190</v>
      </c>
      <c r="E68" s="1042" t="s">
        <v>1191</v>
      </c>
      <c r="F68" s="308" t="e">
        <f ca="1">F40</f>
        <v>#N/A</v>
      </c>
      <c r="O68" s="1541" t="s">
        <v>830</v>
      </c>
      <c r="P68" s="1580" t="s">
        <v>1304</v>
      </c>
      <c r="Q68" s="1533" t="e">
        <f ca="1">ROUND(Q69-Q70*Q71,0)</f>
        <v>#N/A</v>
      </c>
      <c r="R68" s="1533" t="s">
        <v>838</v>
      </c>
    </row>
    <row r="69" spans="1:18" s="1497" customFormat="1" ht="13.5" thickBot="1">
      <c r="A69" s="1043"/>
      <c r="B69" s="1044"/>
      <c r="C69" s="302"/>
      <c r="D69" s="1062" t="s">
        <v>1194</v>
      </c>
      <c r="E69" s="1042" t="s">
        <v>1195</v>
      </c>
      <c r="F69" s="329" t="e">
        <f ca="1">F41</f>
        <v>#N/A</v>
      </c>
      <c r="O69" s="1541" t="s">
        <v>835</v>
      </c>
      <c r="P69" s="1580" t="s">
        <v>1305</v>
      </c>
      <c r="Q69" s="1533" t="e">
        <f ca="1">C39</f>
        <v>#N/A</v>
      </c>
      <c r="R69" s="1533" t="s">
        <v>1250</v>
      </c>
    </row>
    <row r="70" spans="1:18" s="1497" customFormat="1" ht="13.5" thickBot="1">
      <c r="A70" s="1046"/>
      <c r="B70" s="1047"/>
      <c r="C70" s="306"/>
      <c r="D70" s="1058"/>
      <c r="E70" s="1042" t="s">
        <v>1198</v>
      </c>
      <c r="F70" s="1145" t="e">
        <f ca="1">F42</f>
        <v>#N/A</v>
      </c>
      <c r="O70" s="1541" t="s">
        <v>836</v>
      </c>
      <c r="P70" s="1580" t="s">
        <v>1306</v>
      </c>
      <c r="Q70" s="1533" t="e">
        <f ca="1">C13</f>
        <v>#N/A</v>
      </c>
      <c r="R70" s="1533" t="s">
        <v>1250</v>
      </c>
    </row>
    <row r="71" spans="1:18" s="1497" customFormat="1" ht="13.5" thickBot="1">
      <c r="A71" s="1063" t="s">
        <v>820</v>
      </c>
      <c r="B71" s="1064" t="s">
        <v>1208</v>
      </c>
      <c r="C71" s="332" t="e">
        <f ca="1">ROUND(C68/F71,0)</f>
        <v>#N/A</v>
      </c>
      <c r="D71" s="1065" t="s">
        <v>1209</v>
      </c>
      <c r="E71" s="1066" t="s">
        <v>1210</v>
      </c>
      <c r="F71" s="335" t="e">
        <f ca="1">F43</f>
        <v>#N/A</v>
      </c>
      <c r="O71" s="1541" t="s">
        <v>837</v>
      </c>
      <c r="P71" s="1580" t="s">
        <v>1307</v>
      </c>
      <c r="Q71" s="1544" t="e">
        <f ca="1">C76</f>
        <v>#N/A</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#N/A</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#N/A</v>
      </c>
      <c r="R74" s="1533" t="s">
        <v>1290</v>
      </c>
    </row>
    <row r="75" spans="1:18" ht="13.5" thickBot="1">
      <c r="A75" s="1497"/>
      <c r="B75" s="336" t="s">
        <v>1227</v>
      </c>
      <c r="C75" s="337" t="e">
        <f ca="1">ROUND(C13*C76,0)</f>
        <v>#N/A</v>
      </c>
      <c r="D75" s="1497"/>
      <c r="E75" s="1497"/>
      <c r="F75" s="1497"/>
      <c r="K75" s="1515"/>
      <c r="L75" s="1497"/>
      <c r="O75" s="1531" t="s">
        <v>833</v>
      </c>
      <c r="P75" s="1532" t="s">
        <v>1270</v>
      </c>
      <c r="Q75" s="1533" t="e">
        <f ca="1">Q65+Q66</f>
        <v>#N/A</v>
      </c>
      <c r="R75" s="1533" t="s">
        <v>834</v>
      </c>
    </row>
    <row r="76" spans="1:18" ht="13">
      <c r="B76" s="338" t="s">
        <v>1228</v>
      </c>
      <c r="C76" s="339" t="e">
        <f ca="1">INDIRECT("'数据-取费表'!j"&amp;$G$1)</f>
        <v>#N/A</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t="e">
        <f ca="1">1-C80</f>
        <v>#N/A</v>
      </c>
    </row>
    <row r="80" spans="1:18" ht="13">
      <c r="B80" s="336" t="s">
        <v>1232</v>
      </c>
      <c r="C80" s="270" t="e">
        <f ca="1">ROUND(C75/C39,3)</f>
        <v>#N/A</v>
      </c>
    </row>
    <row r="81" spans="2:3" ht="13.5">
      <c r="B81" s="266" t="s">
        <v>1233</v>
      </c>
      <c r="C81" s="234"/>
    </row>
    <row r="82" spans="2:3" ht="13">
      <c r="B82" s="269" t="s">
        <v>1234</v>
      </c>
      <c r="C82" s="271" t="e">
        <f ca="1">1-C83</f>
        <v>#N/A</v>
      </c>
    </row>
    <row r="83" spans="2:3" ht="13">
      <c r="B83" s="269" t="s">
        <v>1235</v>
      </c>
      <c r="C83" s="270" t="e">
        <f ca="1">ROUND(C13/C40,3)</f>
        <v>#N/A</v>
      </c>
    </row>
  </sheetData>
  <sheetProtection password="CEE9" sheet="1" objects="1" scenarios="1" formatCells="0" formatColumns="0" formatRows="0"/>
  <mergeCells count="3">
    <mergeCell ref="B6:B9"/>
    <mergeCell ref="I6:I9"/>
    <mergeCell ref="K53:L53"/>
  </mergeCells>
  <phoneticPr fontId="146"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5"/>
  <cols>
    <col min="1" max="1" width="11.453125" style="125" customWidth="1"/>
    <col min="2" max="2" width="9.08984375" style="27" customWidth="1"/>
    <col min="3" max="3" width="5" style="27" customWidth="1"/>
    <col min="4" max="4" width="9" style="27"/>
    <col min="5" max="5" width="5" style="27" customWidth="1"/>
    <col min="6" max="6" width="9" style="27"/>
    <col min="7" max="7" width="6.453125" style="27" customWidth="1"/>
    <col min="8" max="8" width="9" style="27"/>
    <col min="9" max="9" width="7.4531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2579</v>
      </c>
      <c r="C1" s="3730" t="s">
        <v>2580</v>
      </c>
      <c r="D1" s="3731"/>
      <c r="E1" s="3731"/>
      <c r="F1" s="3731"/>
      <c r="G1" s="3731"/>
      <c r="H1" s="3731"/>
      <c r="I1" s="3731"/>
      <c r="J1" s="3731"/>
      <c r="K1" s="3731"/>
      <c r="L1" s="3731"/>
      <c r="M1" s="3731"/>
      <c r="N1" s="3731"/>
      <c r="O1" s="3731"/>
      <c r="P1" s="3731"/>
      <c r="Q1" s="3731"/>
      <c r="R1" s="3731"/>
      <c r="S1" s="3732"/>
      <c r="T1" s="1075" t="s">
        <v>2581</v>
      </c>
    </row>
    <row r="2" spans="1:45" s="653" customFormat="1" ht="37.5">
      <c r="A2" s="1076"/>
      <c r="B2" s="649" t="s">
        <v>2582</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4.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2583</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t="13" hidden="1">
      <c r="A7" s="1086"/>
      <c r="B7" s="1436" t="s">
        <v>2584</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t="13" hidden="1">
      <c r="A9" s="1086"/>
      <c r="B9" s="1436" t="s">
        <v>2585</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t="13" hidden="1">
      <c r="A11" s="1086"/>
      <c r="B11" s="1435" t="s">
        <v>2586</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t="13" hidden="1">
      <c r="A13" s="1086"/>
      <c r="B13" s="1435" t="s">
        <v>2587</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t="13" hidden="1">
      <c r="A15" s="1086"/>
      <c r="B15" s="1435" t="s">
        <v>2588</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5" thickTop="1">
      <c r="A17" s="2292" t="s">
        <v>2589</v>
      </c>
      <c r="B17" s="2293" t="s">
        <v>2590</v>
      </c>
      <c r="C17" s="3344" t="s">
        <v>3598</v>
      </c>
      <c r="D17" s="3344" t="s">
        <v>3599</v>
      </c>
      <c r="E17" s="3344" t="s">
        <v>3600</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ht="13">
      <c r="A19" s="124"/>
      <c r="B19" s="154"/>
      <c r="C19" s="154"/>
      <c r="D19" s="2294" t="s">
        <v>2591</v>
      </c>
      <c r="E19" s="1453"/>
      <c r="F19" s="1453"/>
      <c r="G19" s="1453"/>
      <c r="H19" s="1150"/>
      <c r="I19" s="154"/>
      <c r="J19" s="154"/>
      <c r="K19" s="154"/>
      <c r="L19" s="154"/>
      <c r="M19" s="154"/>
      <c r="N19" s="154"/>
      <c r="O19" s="154"/>
      <c r="P19" s="154"/>
      <c r="Q19" s="154"/>
      <c r="R19" s="713"/>
      <c r="S19" s="124"/>
    </row>
    <row r="20" spans="1:45" ht="16" thickBot="1">
      <c r="A20" s="659" t="s">
        <v>2592</v>
      </c>
      <c r="B20" s="290">
        <f ca="1">IF(D20="——",S22,S22-F20)</f>
        <v>155577</v>
      </c>
      <c r="C20" s="154"/>
      <c r="D20" s="2295" t="s">
        <v>70</v>
      </c>
      <c r="E20" s="1454"/>
      <c r="F20" s="1075" t="e">
        <f ca="1">SUMIF(INDIRECT("'"&amp;H20&amp;"'"&amp;"!A:A"),"承租人权益价值",INDIRECT("'"&amp;H20&amp;"'"&amp;"!c:c"))</f>
        <v>#REF!</v>
      </c>
      <c r="G20" s="1075" t="s">
        <v>2593</v>
      </c>
      <c r="H20" s="2296"/>
      <c r="I20" s="154"/>
      <c r="J20" s="154"/>
      <c r="K20" s="154"/>
      <c r="L20" s="154"/>
      <c r="M20" s="154"/>
      <c r="N20" s="154"/>
      <c r="O20" s="154"/>
      <c r="P20" s="154"/>
      <c r="Q20" s="154"/>
      <c r="R20" s="713"/>
      <c r="S20" s="124"/>
    </row>
    <row r="21" spans="1:45" ht="15.5">
      <c r="A21" s="659" t="s">
        <v>2594</v>
      </c>
      <c r="B21" s="290">
        <f ca="1">ROUND(B20*10000/B22,0)</f>
        <v>22544</v>
      </c>
      <c r="C21" s="154"/>
      <c r="D21" s="154"/>
      <c r="E21" s="154"/>
      <c r="F21" s="154"/>
      <c r="G21" s="154"/>
      <c r="H21" s="154"/>
      <c r="I21" s="154"/>
      <c r="J21" s="154"/>
      <c r="K21" s="154"/>
      <c r="L21" s="154"/>
      <c r="M21" s="154"/>
      <c r="N21" s="154"/>
      <c r="O21" s="154"/>
      <c r="P21" s="154"/>
      <c r="Q21" s="154"/>
      <c r="R21" s="713"/>
      <c r="S21" s="124"/>
    </row>
    <row r="22" spans="1:45" ht="13">
      <c r="A22" s="312" t="s">
        <v>2595</v>
      </c>
      <c r="B22" s="24">
        <f>SUM(B24:B10000)</f>
        <v>69011.599999999991</v>
      </c>
      <c r="C22" s="3727" t="s">
        <v>33</v>
      </c>
      <c r="D22" s="3728"/>
      <c r="E22" s="3728"/>
      <c r="F22" s="3728"/>
      <c r="G22" s="3728"/>
      <c r="H22" s="3728"/>
      <c r="I22" s="3728"/>
      <c r="J22" s="3728"/>
      <c r="K22" s="3728"/>
      <c r="L22" s="3728"/>
      <c r="M22" s="3728"/>
      <c r="N22" s="3728"/>
      <c r="O22" s="3728"/>
      <c r="P22" s="3728"/>
      <c r="Q22" s="3729"/>
      <c r="R22" s="660">
        <f ca="1">ROUND(S22*10000/B22,0)</f>
        <v>22544</v>
      </c>
      <c r="S22" s="24">
        <f ca="1">SUM(S24:S10000)</f>
        <v>155577</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1" t="s">
        <v>2599</v>
      </c>
      <c r="S23" s="11" t="s">
        <v>2600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ht="13">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3622</v>
      </c>
      <c r="Q24" s="2963">
        <v>1</v>
      </c>
      <c r="R24" s="665">
        <f ca="1">结果表办!G20</f>
        <v>21773</v>
      </c>
      <c r="S24" s="663">
        <f t="shared" ref="S24:S54" ca="1" si="11">ROUND(R24*B24/10000,0)</f>
        <v>1603</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ht="13">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3622</v>
      </c>
      <c r="Q25" s="24">
        <f>(SUMIF($17:$17,P25,$18:$18)-SUMIF($17:$17,$P$24,$18:$18)+100)/100</f>
        <v>1</v>
      </c>
      <c r="R25" s="660">
        <f ca="1">IF(B25="",0,ROUND($R$24*C25*E25*G25*I25*K25*M25*O25*Q25,0))</f>
        <v>21773</v>
      </c>
      <c r="S25" s="312">
        <f t="shared" ca="1" si="11"/>
        <v>1799</v>
      </c>
      <c r="T25" s="3350" t="str">
        <f>办公用房分套!B3</f>
        <v>1号楼</v>
      </c>
    </row>
    <row r="26" spans="1:45" ht="13">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3622</v>
      </c>
      <c r="Q26" s="24">
        <f t="shared" ref="Q26:Q89" si="19">(SUMIF($17:$17,P26,$18:$18)-SUMIF($17:$17,$P$24,$18:$18)+100)/100</f>
        <v>1</v>
      </c>
      <c r="R26" s="660">
        <f t="shared" ref="R26:R89" ca="1" si="20">IF(B26="",0,ROUND($R$24*C26*E26*G26*I26*K26*M26*O26*Q26,0))</f>
        <v>21773</v>
      </c>
      <c r="S26" s="312">
        <f t="shared" ca="1" si="11"/>
        <v>1505</v>
      </c>
      <c r="T26" s="3350" t="str">
        <f>办公用房分套!B4</f>
        <v>1号楼</v>
      </c>
    </row>
    <row r="27" spans="1:45" ht="13">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3623</v>
      </c>
      <c r="Q27" s="24">
        <f t="shared" si="19"/>
        <v>1.03</v>
      </c>
      <c r="R27" s="660">
        <f t="shared" ca="1" si="20"/>
        <v>22426</v>
      </c>
      <c r="S27" s="312">
        <f t="shared" ca="1" si="11"/>
        <v>1436</v>
      </c>
      <c r="T27" s="3350" t="str">
        <f>办公用房分套!B5</f>
        <v>1号楼</v>
      </c>
    </row>
    <row r="28" spans="1:45" ht="13">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3623</v>
      </c>
      <c r="Q28" s="24">
        <f t="shared" si="19"/>
        <v>1.03</v>
      </c>
      <c r="R28" s="660">
        <f t="shared" ca="1" si="20"/>
        <v>22426</v>
      </c>
      <c r="S28" s="312">
        <f t="shared" ca="1" si="11"/>
        <v>1488</v>
      </c>
      <c r="T28" s="3350" t="str">
        <f>办公用房分套!B6</f>
        <v>1号楼</v>
      </c>
    </row>
    <row r="29" spans="1:45" ht="13">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3623</v>
      </c>
      <c r="Q29" s="24">
        <f t="shared" si="19"/>
        <v>1.03</v>
      </c>
      <c r="R29" s="660">
        <f t="shared" ca="1" si="20"/>
        <v>22426</v>
      </c>
      <c r="S29" s="312">
        <f t="shared" ca="1" si="11"/>
        <v>1541</v>
      </c>
      <c r="T29" s="3350" t="str">
        <f>办公用房分套!B7</f>
        <v>1号楼</v>
      </c>
    </row>
    <row r="30" spans="1:45" ht="13">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3623</v>
      </c>
      <c r="Q30" s="24">
        <f t="shared" si="19"/>
        <v>1.03</v>
      </c>
      <c r="R30" s="660">
        <f t="shared" ca="1" si="20"/>
        <v>22426</v>
      </c>
      <c r="S30" s="312">
        <f t="shared" ca="1" si="11"/>
        <v>1474</v>
      </c>
      <c r="T30" s="3350" t="str">
        <f>办公用房分套!B8</f>
        <v>1号楼</v>
      </c>
    </row>
    <row r="31" spans="1:45" ht="13">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3623</v>
      </c>
      <c r="Q31" s="24">
        <f t="shared" si="19"/>
        <v>1.03</v>
      </c>
      <c r="R31" s="660">
        <f t="shared" ca="1" si="20"/>
        <v>22426</v>
      </c>
      <c r="S31" s="312">
        <f t="shared" ca="1" si="11"/>
        <v>1436</v>
      </c>
      <c r="T31" s="3350" t="str">
        <f>办公用房分套!B9</f>
        <v>1号楼</v>
      </c>
    </row>
    <row r="32" spans="1:45" ht="13">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3623</v>
      </c>
      <c r="Q32" s="24">
        <f t="shared" si="19"/>
        <v>1.03</v>
      </c>
      <c r="R32" s="660">
        <f t="shared" ca="1" si="20"/>
        <v>22426</v>
      </c>
      <c r="S32" s="312">
        <f t="shared" ca="1" si="11"/>
        <v>1488</v>
      </c>
      <c r="T32" s="3350" t="str">
        <f>办公用房分套!B10</f>
        <v>1号楼</v>
      </c>
    </row>
    <row r="33" spans="1:20" ht="13">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3623</v>
      </c>
      <c r="Q33" s="24">
        <f t="shared" si="19"/>
        <v>1.03</v>
      </c>
      <c r="R33" s="660">
        <f t="shared" ca="1" si="20"/>
        <v>22426</v>
      </c>
      <c r="S33" s="312">
        <f t="shared" ca="1" si="11"/>
        <v>1541</v>
      </c>
      <c r="T33" s="3350" t="str">
        <f>办公用房分套!B11</f>
        <v>1号楼</v>
      </c>
    </row>
    <row r="34" spans="1:20" ht="13">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3623</v>
      </c>
      <c r="Q34" s="24">
        <f t="shared" si="19"/>
        <v>1.03</v>
      </c>
      <c r="R34" s="660">
        <f t="shared" ca="1" si="20"/>
        <v>22426</v>
      </c>
      <c r="S34" s="312">
        <f t="shared" ca="1" si="11"/>
        <v>1474</v>
      </c>
      <c r="T34" s="3350" t="str">
        <f>办公用房分套!B12</f>
        <v>1号楼</v>
      </c>
    </row>
    <row r="35" spans="1:20" ht="13">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3623</v>
      </c>
      <c r="Q35" s="24">
        <f t="shared" si="19"/>
        <v>1.03</v>
      </c>
      <c r="R35" s="660">
        <f t="shared" ca="1" si="20"/>
        <v>22426</v>
      </c>
      <c r="S35" s="312">
        <f t="shared" ca="1" si="11"/>
        <v>1436</v>
      </c>
      <c r="T35" s="3350" t="str">
        <f>办公用房分套!B13</f>
        <v>1号楼</v>
      </c>
    </row>
    <row r="36" spans="1:20" ht="13">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3623</v>
      </c>
      <c r="Q36" s="24">
        <f t="shared" si="19"/>
        <v>1.03</v>
      </c>
      <c r="R36" s="660">
        <f t="shared" ca="1" si="20"/>
        <v>22426</v>
      </c>
      <c r="S36" s="312">
        <f t="shared" ca="1" si="11"/>
        <v>1488</v>
      </c>
      <c r="T36" s="3350" t="str">
        <f>办公用房分套!B14</f>
        <v>1号楼</v>
      </c>
    </row>
    <row r="37" spans="1:20" ht="13">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3623</v>
      </c>
      <c r="Q37" s="24">
        <f t="shared" si="19"/>
        <v>1.03</v>
      </c>
      <c r="R37" s="660">
        <f t="shared" ca="1" si="20"/>
        <v>22426</v>
      </c>
      <c r="S37" s="312">
        <f t="shared" ca="1" si="11"/>
        <v>1541</v>
      </c>
      <c r="T37" s="3350" t="str">
        <f>办公用房分套!B15</f>
        <v>1号楼</v>
      </c>
    </row>
    <row r="38" spans="1:20" ht="13">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3623</v>
      </c>
      <c r="Q38" s="24">
        <f t="shared" si="19"/>
        <v>1.03</v>
      </c>
      <c r="R38" s="660">
        <f t="shared" ca="1" si="20"/>
        <v>22426</v>
      </c>
      <c r="S38" s="312">
        <f t="shared" ca="1" si="11"/>
        <v>1474</v>
      </c>
      <c r="T38" s="3350" t="str">
        <f>办公用房分套!B16</f>
        <v>1号楼</v>
      </c>
    </row>
    <row r="39" spans="1:20" ht="13">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3623</v>
      </c>
      <c r="Q39" s="24">
        <f t="shared" si="19"/>
        <v>1.03</v>
      </c>
      <c r="R39" s="660">
        <f t="shared" ca="1" si="20"/>
        <v>22426</v>
      </c>
      <c r="S39" s="312">
        <f t="shared" ca="1" si="11"/>
        <v>1436</v>
      </c>
      <c r="T39" s="3350" t="str">
        <f>办公用房分套!B17</f>
        <v>1号楼</v>
      </c>
    </row>
    <row r="40" spans="1:20" ht="13">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3623</v>
      </c>
      <c r="Q40" s="24">
        <f t="shared" si="19"/>
        <v>1.03</v>
      </c>
      <c r="R40" s="660">
        <f t="shared" ca="1" si="20"/>
        <v>22426</v>
      </c>
      <c r="S40" s="312">
        <f t="shared" ca="1" si="11"/>
        <v>1488</v>
      </c>
      <c r="T40" s="3350" t="str">
        <f>办公用房分套!B18</f>
        <v>1号楼</v>
      </c>
    </row>
    <row r="41" spans="1:20" ht="13">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3623</v>
      </c>
      <c r="Q41" s="24">
        <f t="shared" si="19"/>
        <v>1.03</v>
      </c>
      <c r="R41" s="660">
        <f t="shared" ca="1" si="20"/>
        <v>22426</v>
      </c>
      <c r="S41" s="312">
        <f t="shared" ca="1" si="11"/>
        <v>1541</v>
      </c>
      <c r="T41" s="3350" t="str">
        <f>办公用房分套!B19</f>
        <v>1号楼</v>
      </c>
    </row>
    <row r="42" spans="1:20" ht="13">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3623</v>
      </c>
      <c r="Q42" s="24">
        <f t="shared" si="19"/>
        <v>1.03</v>
      </c>
      <c r="R42" s="660">
        <f t="shared" ca="1" si="20"/>
        <v>22426</v>
      </c>
      <c r="S42" s="312">
        <f t="shared" ca="1" si="11"/>
        <v>1474</v>
      </c>
      <c r="T42" s="3350" t="str">
        <f>办公用房分套!B20</f>
        <v>1号楼</v>
      </c>
    </row>
    <row r="43" spans="1:20" ht="13">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3633</v>
      </c>
      <c r="Q43" s="24">
        <f t="shared" si="19"/>
        <v>1.06</v>
      </c>
      <c r="R43" s="660">
        <f t="shared" ca="1" si="20"/>
        <v>23079</v>
      </c>
      <c r="S43" s="312">
        <f t="shared" ca="1" si="11"/>
        <v>1478</v>
      </c>
      <c r="T43" s="3350" t="str">
        <f>办公用房分套!B21</f>
        <v>1号楼</v>
      </c>
    </row>
    <row r="44" spans="1:20" ht="13">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3633</v>
      </c>
      <c r="Q44" s="24">
        <f t="shared" si="19"/>
        <v>1.06</v>
      </c>
      <c r="R44" s="660">
        <f t="shared" ca="1" si="20"/>
        <v>23079</v>
      </c>
      <c r="S44" s="312">
        <f t="shared" ca="1" si="11"/>
        <v>1531</v>
      </c>
      <c r="T44" s="3350" t="str">
        <f>办公用房分套!B22</f>
        <v>1号楼</v>
      </c>
    </row>
    <row r="45" spans="1:20" ht="13">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3633</v>
      </c>
      <c r="Q45" s="24">
        <f t="shared" si="19"/>
        <v>1.06</v>
      </c>
      <c r="R45" s="660">
        <f t="shared" ca="1" si="20"/>
        <v>23079</v>
      </c>
      <c r="S45" s="312">
        <f t="shared" ca="1" si="11"/>
        <v>1586</v>
      </c>
      <c r="T45" s="3350" t="str">
        <f>办公用房分套!B23</f>
        <v>1号楼</v>
      </c>
    </row>
    <row r="46" spans="1:20" ht="13">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3633</v>
      </c>
      <c r="Q46" s="24">
        <f t="shared" si="19"/>
        <v>1.06</v>
      </c>
      <c r="R46" s="660">
        <f t="shared" ca="1" si="20"/>
        <v>23079</v>
      </c>
      <c r="S46" s="312">
        <f t="shared" ca="1" si="11"/>
        <v>1517</v>
      </c>
      <c r="T46" s="3350" t="str">
        <f>办公用房分套!B24</f>
        <v>1号楼</v>
      </c>
    </row>
    <row r="47" spans="1:20" ht="13">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3633</v>
      </c>
      <c r="Q47" s="24">
        <f t="shared" si="19"/>
        <v>1.06</v>
      </c>
      <c r="R47" s="660">
        <f t="shared" ca="1" si="20"/>
        <v>23079</v>
      </c>
      <c r="S47" s="312">
        <f t="shared" ca="1" si="11"/>
        <v>1478</v>
      </c>
      <c r="T47" s="3350" t="str">
        <f>办公用房分套!B25</f>
        <v>1号楼</v>
      </c>
    </row>
    <row r="48" spans="1:20" ht="13">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3633</v>
      </c>
      <c r="Q48" s="24">
        <f t="shared" si="19"/>
        <v>1.06</v>
      </c>
      <c r="R48" s="660">
        <f t="shared" ca="1" si="20"/>
        <v>23079</v>
      </c>
      <c r="S48" s="312">
        <f t="shared" ca="1" si="11"/>
        <v>1531</v>
      </c>
      <c r="T48" s="3350" t="str">
        <f>办公用房分套!B26</f>
        <v>1号楼</v>
      </c>
    </row>
    <row r="49" spans="1:20" ht="13">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3633</v>
      </c>
      <c r="Q49" s="24">
        <f t="shared" si="19"/>
        <v>1.06</v>
      </c>
      <c r="R49" s="660">
        <f t="shared" ca="1" si="20"/>
        <v>23079</v>
      </c>
      <c r="S49" s="312">
        <f t="shared" ca="1" si="11"/>
        <v>1586</v>
      </c>
      <c r="T49" s="3350" t="str">
        <f>办公用房分套!B27</f>
        <v>1号楼</v>
      </c>
    </row>
    <row r="50" spans="1:20" ht="13">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3633</v>
      </c>
      <c r="Q50" s="24">
        <f t="shared" si="19"/>
        <v>1.06</v>
      </c>
      <c r="R50" s="660">
        <f t="shared" ca="1" si="20"/>
        <v>23079</v>
      </c>
      <c r="S50" s="312">
        <f t="shared" ca="1" si="11"/>
        <v>1517</v>
      </c>
      <c r="T50" s="3350" t="str">
        <f>办公用房分套!B28</f>
        <v>1号楼</v>
      </c>
    </row>
    <row r="51" spans="1:20" ht="13">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3633</v>
      </c>
      <c r="Q51" s="24">
        <f t="shared" si="19"/>
        <v>1.06</v>
      </c>
      <c r="R51" s="660">
        <f t="shared" ca="1" si="20"/>
        <v>23079</v>
      </c>
      <c r="S51" s="312">
        <f t="shared" ca="1" si="11"/>
        <v>1478</v>
      </c>
      <c r="T51" s="3350" t="str">
        <f>办公用房分套!B29</f>
        <v>1号楼</v>
      </c>
    </row>
    <row r="52" spans="1:20" ht="13">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3633</v>
      </c>
      <c r="Q52" s="24">
        <f t="shared" si="19"/>
        <v>1.06</v>
      </c>
      <c r="R52" s="660">
        <f t="shared" ca="1" si="20"/>
        <v>23079</v>
      </c>
      <c r="S52" s="312">
        <f t="shared" ca="1" si="11"/>
        <v>1531</v>
      </c>
      <c r="T52" s="3350" t="str">
        <f>办公用房分套!B30</f>
        <v>1号楼</v>
      </c>
    </row>
    <row r="53" spans="1:20" ht="13">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3633</v>
      </c>
      <c r="Q53" s="24">
        <f t="shared" si="19"/>
        <v>1.06</v>
      </c>
      <c r="R53" s="660">
        <f t="shared" ca="1" si="20"/>
        <v>23079</v>
      </c>
      <c r="S53" s="312">
        <f t="shared" ca="1" si="11"/>
        <v>1586</v>
      </c>
      <c r="T53" s="3350" t="str">
        <f>办公用房分套!B31</f>
        <v>1号楼</v>
      </c>
    </row>
    <row r="54" spans="1:20" ht="13">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3633</v>
      </c>
      <c r="Q54" s="24">
        <f t="shared" si="19"/>
        <v>1.06</v>
      </c>
      <c r="R54" s="660">
        <f t="shared" ca="1" si="20"/>
        <v>23079</v>
      </c>
      <c r="S54" s="312">
        <f t="shared" ca="1" si="11"/>
        <v>1517</v>
      </c>
      <c r="T54" s="3350" t="str">
        <f>办公用房分套!B32</f>
        <v>1号楼</v>
      </c>
    </row>
    <row r="55" spans="1:20" ht="13">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3633</v>
      </c>
      <c r="Q55" s="24">
        <f t="shared" si="19"/>
        <v>1.06</v>
      </c>
      <c r="R55" s="660">
        <f t="shared" ca="1" si="20"/>
        <v>23079</v>
      </c>
      <c r="S55" s="312">
        <f t="shared" ref="S55:S77" ca="1" si="21">ROUND(R55*B55/10000,0)</f>
        <v>1478</v>
      </c>
      <c r="T55" s="3350" t="str">
        <f>办公用房分套!B33</f>
        <v>1号楼</v>
      </c>
    </row>
    <row r="56" spans="1:20" ht="13">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3633</v>
      </c>
      <c r="Q56" s="24">
        <f t="shared" si="19"/>
        <v>1.06</v>
      </c>
      <c r="R56" s="660">
        <f t="shared" ca="1" si="20"/>
        <v>23079</v>
      </c>
      <c r="S56" s="312">
        <f t="shared" ca="1" si="21"/>
        <v>1531</v>
      </c>
      <c r="T56" s="3350" t="str">
        <f>办公用房分套!B34</f>
        <v>1号楼</v>
      </c>
    </row>
    <row r="57" spans="1:20" ht="13">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3633</v>
      </c>
      <c r="Q57" s="24">
        <f t="shared" si="19"/>
        <v>1.06</v>
      </c>
      <c r="R57" s="660">
        <f t="shared" ca="1" si="20"/>
        <v>23079</v>
      </c>
      <c r="S57" s="312">
        <f t="shared" ca="1" si="21"/>
        <v>1586</v>
      </c>
      <c r="T57" s="3350" t="str">
        <f>办公用房分套!B35</f>
        <v>1号楼</v>
      </c>
    </row>
    <row r="58" spans="1:20" ht="13">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3633</v>
      </c>
      <c r="Q58" s="24">
        <f t="shared" si="19"/>
        <v>1.06</v>
      </c>
      <c r="R58" s="660">
        <f t="shared" ca="1" si="20"/>
        <v>23079</v>
      </c>
      <c r="S58" s="312">
        <f t="shared" ca="1" si="21"/>
        <v>1517</v>
      </c>
      <c r="T58" s="3350" t="str">
        <f>办公用房分套!B36</f>
        <v>1号楼</v>
      </c>
    </row>
    <row r="59" spans="1:20" ht="13">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3633</v>
      </c>
      <c r="Q59" s="24">
        <f t="shared" si="19"/>
        <v>1.06</v>
      </c>
      <c r="R59" s="660">
        <f t="shared" ca="1" si="20"/>
        <v>23079</v>
      </c>
      <c r="S59" s="312">
        <f t="shared" ca="1" si="21"/>
        <v>1478</v>
      </c>
      <c r="T59" s="3350" t="str">
        <f>办公用房分套!B37</f>
        <v>1号楼</v>
      </c>
    </row>
    <row r="60" spans="1:20" ht="13">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3633</v>
      </c>
      <c r="Q60" s="24">
        <f t="shared" si="19"/>
        <v>1.06</v>
      </c>
      <c r="R60" s="660">
        <f t="shared" ca="1" si="20"/>
        <v>23079</v>
      </c>
      <c r="S60" s="312">
        <f t="shared" ca="1" si="21"/>
        <v>1531</v>
      </c>
      <c r="T60" s="3350" t="str">
        <f>办公用房分套!B38</f>
        <v>1号楼</v>
      </c>
    </row>
    <row r="61" spans="1:20" ht="13">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3633</v>
      </c>
      <c r="Q61" s="24">
        <f t="shared" si="19"/>
        <v>1.06</v>
      </c>
      <c r="R61" s="660">
        <f t="shared" ca="1" si="20"/>
        <v>23079</v>
      </c>
      <c r="S61" s="312">
        <f t="shared" ca="1" si="21"/>
        <v>1586</v>
      </c>
      <c r="T61" s="3350" t="str">
        <f>办公用房分套!B39</f>
        <v>1号楼</v>
      </c>
    </row>
    <row r="62" spans="1:20" ht="13">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3633</v>
      </c>
      <c r="Q62" s="24">
        <f t="shared" si="19"/>
        <v>1.06</v>
      </c>
      <c r="R62" s="660">
        <f t="shared" ca="1" si="20"/>
        <v>23079</v>
      </c>
      <c r="S62" s="312">
        <f t="shared" ca="1" si="21"/>
        <v>1517</v>
      </c>
      <c r="T62" s="3350" t="str">
        <f>办公用房分套!B40</f>
        <v>1号楼</v>
      </c>
    </row>
    <row r="63" spans="1:20" ht="13">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ht="13">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3622</v>
      </c>
      <c r="Q64" s="24">
        <f t="shared" si="19"/>
        <v>1</v>
      </c>
      <c r="R64" s="660">
        <f t="shared" ca="1" si="20"/>
        <v>21773</v>
      </c>
      <c r="S64" s="312">
        <f t="shared" ca="1" si="21"/>
        <v>1414</v>
      </c>
      <c r="T64" s="3350" t="str">
        <f>办公用房分套!B42</f>
        <v>2号楼</v>
      </c>
    </row>
    <row r="65" spans="1:20" ht="13">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3622</v>
      </c>
      <c r="Q65" s="24">
        <f t="shared" si="19"/>
        <v>1</v>
      </c>
      <c r="R65" s="660">
        <f t="shared" ca="1" si="20"/>
        <v>21773</v>
      </c>
      <c r="S65" s="312">
        <f t="shared" ca="1" si="21"/>
        <v>1428</v>
      </c>
      <c r="T65" s="3350" t="str">
        <f>办公用房分套!B43</f>
        <v>2号楼</v>
      </c>
    </row>
    <row r="66" spans="1:20" ht="13">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3622</v>
      </c>
      <c r="Q66" s="24">
        <f t="shared" si="19"/>
        <v>1</v>
      </c>
      <c r="R66" s="660">
        <f t="shared" ca="1" si="20"/>
        <v>21773</v>
      </c>
      <c r="S66" s="312">
        <f t="shared" ca="1" si="21"/>
        <v>1387</v>
      </c>
      <c r="T66" s="3350" t="str">
        <f>办公用房分套!B44</f>
        <v>2号楼</v>
      </c>
    </row>
    <row r="67" spans="1:20" ht="13">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3623</v>
      </c>
      <c r="Q67" s="24">
        <f t="shared" si="19"/>
        <v>1.03</v>
      </c>
      <c r="R67" s="660">
        <f t="shared" ca="1" si="20"/>
        <v>22426</v>
      </c>
      <c r="S67" s="312">
        <f t="shared" ca="1" si="21"/>
        <v>1668</v>
      </c>
      <c r="T67" s="3350" t="str">
        <f>办公用房分套!B45</f>
        <v>2号楼</v>
      </c>
    </row>
    <row r="68" spans="1:20" ht="13">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3623</v>
      </c>
      <c r="Q68" s="24">
        <f t="shared" si="19"/>
        <v>1.03</v>
      </c>
      <c r="R68" s="660">
        <f t="shared" ca="1" si="20"/>
        <v>22426</v>
      </c>
      <c r="S68" s="312">
        <f t="shared" ca="1" si="21"/>
        <v>1786</v>
      </c>
      <c r="T68" s="3350" t="str">
        <f>办公用房分套!B46</f>
        <v>2号楼</v>
      </c>
    </row>
    <row r="69" spans="1:20" ht="13">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3623</v>
      </c>
      <c r="Q69" s="24">
        <f t="shared" si="19"/>
        <v>1.03</v>
      </c>
      <c r="R69" s="660">
        <f t="shared" ca="1" si="20"/>
        <v>22426</v>
      </c>
      <c r="S69" s="312">
        <f t="shared" ca="1" si="21"/>
        <v>1884</v>
      </c>
      <c r="T69" s="3350" t="str">
        <f>办公用房分套!B47</f>
        <v>2号楼</v>
      </c>
    </row>
    <row r="70" spans="1:20" ht="13">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3623</v>
      </c>
      <c r="Q70" s="24">
        <f t="shared" si="19"/>
        <v>1.03</v>
      </c>
      <c r="R70" s="660">
        <f t="shared" ca="1" si="20"/>
        <v>22426</v>
      </c>
      <c r="S70" s="312">
        <f t="shared" ca="1" si="21"/>
        <v>1668</v>
      </c>
      <c r="T70" s="3350" t="str">
        <f>办公用房分套!B48</f>
        <v>2号楼</v>
      </c>
    </row>
    <row r="71" spans="1:20" ht="13">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3623</v>
      </c>
      <c r="Q71" s="24">
        <f t="shared" si="19"/>
        <v>1.03</v>
      </c>
      <c r="R71" s="660">
        <f t="shared" ca="1" si="20"/>
        <v>22426</v>
      </c>
      <c r="S71" s="312">
        <f t="shared" ca="1" si="21"/>
        <v>1786</v>
      </c>
      <c r="T71" s="3350" t="str">
        <f>办公用房分套!B49</f>
        <v>2号楼</v>
      </c>
    </row>
    <row r="72" spans="1:20" ht="13">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3623</v>
      </c>
      <c r="Q72" s="24">
        <f t="shared" si="19"/>
        <v>1.03</v>
      </c>
      <c r="R72" s="660">
        <f t="shared" ca="1" si="20"/>
        <v>22426</v>
      </c>
      <c r="S72" s="312">
        <f t="shared" ca="1" si="21"/>
        <v>1884</v>
      </c>
      <c r="T72" s="3350" t="str">
        <f>办公用房分套!B50</f>
        <v>2号楼</v>
      </c>
    </row>
    <row r="73" spans="1:20" ht="13">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3623</v>
      </c>
      <c r="Q73" s="24">
        <f t="shared" si="19"/>
        <v>1.03</v>
      </c>
      <c r="R73" s="660">
        <f t="shared" ca="1" si="20"/>
        <v>22426</v>
      </c>
      <c r="S73" s="312">
        <f t="shared" ca="1" si="21"/>
        <v>1668</v>
      </c>
      <c r="T73" s="3350" t="str">
        <f>办公用房分套!B51</f>
        <v>2号楼</v>
      </c>
    </row>
    <row r="74" spans="1:20" ht="13">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3623</v>
      </c>
      <c r="Q74" s="24">
        <f t="shared" si="19"/>
        <v>1.03</v>
      </c>
      <c r="R74" s="660">
        <f t="shared" ca="1" si="20"/>
        <v>22426</v>
      </c>
      <c r="S74" s="312">
        <f t="shared" ca="1" si="21"/>
        <v>1786</v>
      </c>
      <c r="T74" s="3350" t="str">
        <f>办公用房分套!B52</f>
        <v>2号楼</v>
      </c>
    </row>
    <row r="75" spans="1:20" ht="13">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3623</v>
      </c>
      <c r="Q75" s="24">
        <f t="shared" si="19"/>
        <v>1.03</v>
      </c>
      <c r="R75" s="660">
        <f t="shared" ca="1" si="20"/>
        <v>22426</v>
      </c>
      <c r="S75" s="312">
        <f t="shared" ca="1" si="21"/>
        <v>1884</v>
      </c>
      <c r="T75" s="3350" t="str">
        <f>办公用房分套!B53</f>
        <v>2号楼</v>
      </c>
    </row>
    <row r="76" spans="1:20" ht="13">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3623</v>
      </c>
      <c r="Q76" s="24">
        <f t="shared" si="19"/>
        <v>1.03</v>
      </c>
      <c r="R76" s="660">
        <f t="shared" ca="1" si="20"/>
        <v>22426</v>
      </c>
      <c r="S76" s="312">
        <f t="shared" ca="1" si="21"/>
        <v>1668</v>
      </c>
      <c r="T76" s="3350" t="str">
        <f>办公用房分套!B54</f>
        <v>2号楼</v>
      </c>
    </row>
    <row r="77" spans="1:20" ht="13">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3623</v>
      </c>
      <c r="Q77" s="24">
        <f t="shared" si="19"/>
        <v>1.03</v>
      </c>
      <c r="R77" s="660">
        <f t="shared" ca="1" si="20"/>
        <v>22426</v>
      </c>
      <c r="S77" s="312">
        <f t="shared" ca="1" si="21"/>
        <v>1786</v>
      </c>
      <c r="T77" s="3350" t="str">
        <f>办公用房分套!B55</f>
        <v>2号楼</v>
      </c>
    </row>
    <row r="78" spans="1:20" ht="13">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3623</v>
      </c>
      <c r="Q78" s="24">
        <f t="shared" si="19"/>
        <v>1.03</v>
      </c>
      <c r="R78" s="660">
        <f t="shared" ca="1" si="20"/>
        <v>22426</v>
      </c>
      <c r="S78" s="312">
        <f t="shared" ref="S78:S122" ca="1" si="22">ROUND(R78*B78/10000,0)</f>
        <v>1884</v>
      </c>
      <c r="T78" s="3350" t="str">
        <f>办公用房分套!B56</f>
        <v>2号楼</v>
      </c>
    </row>
    <row r="79" spans="1:20" ht="13">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3633</v>
      </c>
      <c r="Q79" s="24">
        <f t="shared" si="19"/>
        <v>1.06</v>
      </c>
      <c r="R79" s="660">
        <f t="shared" ca="1" si="20"/>
        <v>23079</v>
      </c>
      <c r="S79" s="312">
        <f t="shared" ca="1" si="22"/>
        <v>1717</v>
      </c>
      <c r="T79" s="3350" t="str">
        <f>办公用房分套!B57</f>
        <v>2号楼</v>
      </c>
    </row>
    <row r="80" spans="1:20" ht="13">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3633</v>
      </c>
      <c r="Q80" s="24">
        <f t="shared" si="19"/>
        <v>1.06</v>
      </c>
      <c r="R80" s="660">
        <f t="shared" ca="1" si="20"/>
        <v>23079</v>
      </c>
      <c r="S80" s="312">
        <f t="shared" ca="1" si="22"/>
        <v>1838</v>
      </c>
      <c r="T80" s="3350" t="str">
        <f>办公用房分套!B58</f>
        <v>2号楼</v>
      </c>
    </row>
    <row r="81" spans="1:20" ht="13">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3633</v>
      </c>
      <c r="Q81" s="24">
        <f t="shared" si="19"/>
        <v>1.06</v>
      </c>
      <c r="R81" s="660">
        <f t="shared" ca="1" si="20"/>
        <v>23079</v>
      </c>
      <c r="S81" s="312">
        <f t="shared" ca="1" si="22"/>
        <v>1939</v>
      </c>
      <c r="T81" s="3350" t="str">
        <f>办公用房分套!B59</f>
        <v>2号楼</v>
      </c>
    </row>
    <row r="82" spans="1:20" ht="13">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3633</v>
      </c>
      <c r="Q82" s="24">
        <f t="shared" si="19"/>
        <v>1.06</v>
      </c>
      <c r="R82" s="660">
        <f t="shared" ca="1" si="20"/>
        <v>23079</v>
      </c>
      <c r="S82" s="312">
        <f t="shared" ca="1" si="22"/>
        <v>1717</v>
      </c>
      <c r="T82" s="3350" t="str">
        <f>办公用房分套!B60</f>
        <v>2号楼</v>
      </c>
    </row>
    <row r="83" spans="1:20" ht="13">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3633</v>
      </c>
      <c r="Q83" s="24">
        <f t="shared" si="19"/>
        <v>1.06</v>
      </c>
      <c r="R83" s="660">
        <f t="shared" ca="1" si="20"/>
        <v>23079</v>
      </c>
      <c r="S83" s="312">
        <f t="shared" ca="1" si="22"/>
        <v>1838</v>
      </c>
      <c r="T83" s="3350" t="str">
        <f>办公用房分套!B61</f>
        <v>2号楼</v>
      </c>
    </row>
    <row r="84" spans="1:20" ht="13">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3633</v>
      </c>
      <c r="Q84" s="24">
        <f t="shared" si="19"/>
        <v>1.06</v>
      </c>
      <c r="R84" s="660">
        <f t="shared" ca="1" si="20"/>
        <v>23079</v>
      </c>
      <c r="S84" s="312">
        <f t="shared" ca="1" si="22"/>
        <v>1939</v>
      </c>
      <c r="T84" s="3350" t="str">
        <f>办公用房分套!B62</f>
        <v>2号楼</v>
      </c>
    </row>
    <row r="85" spans="1:20" ht="13">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3633</v>
      </c>
      <c r="Q85" s="24">
        <f t="shared" si="19"/>
        <v>1.06</v>
      </c>
      <c r="R85" s="660">
        <f t="shared" ca="1" si="20"/>
        <v>23079</v>
      </c>
      <c r="S85" s="312">
        <f t="shared" ca="1" si="22"/>
        <v>1717</v>
      </c>
      <c r="T85" s="3350" t="str">
        <f>办公用房分套!B63</f>
        <v>2号楼</v>
      </c>
    </row>
    <row r="86" spans="1:20" ht="13">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3633</v>
      </c>
      <c r="Q86" s="24">
        <f t="shared" si="19"/>
        <v>1.06</v>
      </c>
      <c r="R86" s="660">
        <f t="shared" ca="1" si="20"/>
        <v>23079</v>
      </c>
      <c r="S86" s="312">
        <f t="shared" ca="1" si="22"/>
        <v>1838</v>
      </c>
      <c r="T86" s="3350" t="str">
        <f>办公用房分套!B64</f>
        <v>2号楼</v>
      </c>
    </row>
    <row r="87" spans="1:20" ht="13">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3633</v>
      </c>
      <c r="Q87" s="24">
        <f t="shared" si="19"/>
        <v>1.06</v>
      </c>
      <c r="R87" s="660">
        <f t="shared" ca="1" si="20"/>
        <v>23079</v>
      </c>
      <c r="S87" s="312">
        <f t="shared" ca="1" si="22"/>
        <v>1939</v>
      </c>
      <c r="T87" s="3350" t="str">
        <f>办公用房分套!B65</f>
        <v>2号楼</v>
      </c>
    </row>
    <row r="88" spans="1:20" ht="13">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3633</v>
      </c>
      <c r="Q88" s="24">
        <f t="shared" si="19"/>
        <v>1.06</v>
      </c>
      <c r="R88" s="660">
        <f t="shared" ca="1" si="20"/>
        <v>23079</v>
      </c>
      <c r="S88" s="312">
        <f t="shared" ca="1" si="22"/>
        <v>1486</v>
      </c>
      <c r="T88" s="3350" t="str">
        <f>办公用房分套!B66</f>
        <v>2号楼</v>
      </c>
    </row>
    <row r="89" spans="1:20" ht="13">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3633</v>
      </c>
      <c r="Q89" s="24">
        <f t="shared" si="19"/>
        <v>1.06</v>
      </c>
      <c r="R89" s="660">
        <f t="shared" ca="1" si="20"/>
        <v>23079</v>
      </c>
      <c r="S89" s="312">
        <f t="shared" ca="1" si="22"/>
        <v>1972</v>
      </c>
      <c r="T89" s="3350" t="str">
        <f>办公用房分套!B67</f>
        <v>2号楼</v>
      </c>
    </row>
    <row r="90" spans="1:20" ht="13">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ht="13">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3622</v>
      </c>
      <c r="Q91" s="24">
        <f t="shared" si="30"/>
        <v>1</v>
      </c>
      <c r="R91" s="660">
        <f t="shared" ca="1" si="31"/>
        <v>21773</v>
      </c>
      <c r="S91" s="312">
        <f t="shared" ca="1" si="22"/>
        <v>1341</v>
      </c>
      <c r="T91" s="3350" t="str">
        <f>办公用房分套!B69</f>
        <v>3号楼</v>
      </c>
    </row>
    <row r="92" spans="1:20" ht="13">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3622</v>
      </c>
      <c r="Q92" s="24">
        <f t="shared" si="30"/>
        <v>1</v>
      </c>
      <c r="R92" s="660">
        <f t="shared" ca="1" si="31"/>
        <v>21773</v>
      </c>
      <c r="S92" s="312">
        <f t="shared" ca="1" si="22"/>
        <v>1221</v>
      </c>
      <c r="T92" s="3350" t="str">
        <f>办公用房分套!B70</f>
        <v>3号楼</v>
      </c>
    </row>
    <row r="93" spans="1:20" ht="13">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3622</v>
      </c>
      <c r="Q93" s="24">
        <f t="shared" si="30"/>
        <v>1</v>
      </c>
      <c r="R93" s="660">
        <f t="shared" ca="1" si="31"/>
        <v>21338</v>
      </c>
      <c r="S93" s="312">
        <f t="shared" ca="1" si="22"/>
        <v>2176</v>
      </c>
      <c r="T93" s="3350" t="str">
        <f>办公用房分套!B71</f>
        <v>3号楼</v>
      </c>
    </row>
    <row r="94" spans="1:20" ht="13">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3622</v>
      </c>
      <c r="Q94" s="24">
        <f t="shared" si="30"/>
        <v>1</v>
      </c>
      <c r="R94" s="660">
        <f t="shared" ca="1" si="31"/>
        <v>21773</v>
      </c>
      <c r="S94" s="312">
        <f t="shared" ca="1" si="22"/>
        <v>1971</v>
      </c>
      <c r="T94" s="3350" t="str">
        <f>办公用房分套!B72</f>
        <v>3号楼</v>
      </c>
    </row>
    <row r="95" spans="1:20" ht="13">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3622</v>
      </c>
      <c r="Q95" s="24">
        <f t="shared" si="30"/>
        <v>1</v>
      </c>
      <c r="R95" s="660">
        <f t="shared" ca="1" si="31"/>
        <v>21338</v>
      </c>
      <c r="S95" s="312">
        <f t="shared" ca="1" si="22"/>
        <v>2180</v>
      </c>
      <c r="T95" s="3350" t="str">
        <f>办公用房分套!B73</f>
        <v>3号楼</v>
      </c>
    </row>
    <row r="96" spans="1:20" ht="13">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3622</v>
      </c>
      <c r="Q96" s="24">
        <f t="shared" si="30"/>
        <v>1</v>
      </c>
      <c r="R96" s="660">
        <f t="shared" ca="1" si="31"/>
        <v>21773</v>
      </c>
      <c r="S96" s="312">
        <f t="shared" ca="1" si="22"/>
        <v>2018</v>
      </c>
      <c r="T96" s="3350" t="str">
        <f>办公用房分套!B74</f>
        <v>3号楼</v>
      </c>
    </row>
    <row r="97" spans="1:20" ht="13">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3623</v>
      </c>
      <c r="Q97" s="24">
        <f t="shared" si="30"/>
        <v>1.03</v>
      </c>
      <c r="R97" s="660">
        <f t="shared" ca="1" si="31"/>
        <v>21978</v>
      </c>
      <c r="S97" s="312">
        <f t="shared" ca="1" si="22"/>
        <v>2245</v>
      </c>
      <c r="T97" s="3350" t="str">
        <f>办公用房分套!B75</f>
        <v>3号楼</v>
      </c>
    </row>
    <row r="98" spans="1:20" ht="13">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3623</v>
      </c>
      <c r="Q98" s="24">
        <f t="shared" si="30"/>
        <v>1.03</v>
      </c>
      <c r="R98" s="660">
        <f t="shared" ca="1" si="31"/>
        <v>22426</v>
      </c>
      <c r="S98" s="312">
        <f t="shared" ca="1" si="22"/>
        <v>2079</v>
      </c>
      <c r="T98" s="3350" t="str">
        <f>办公用房分套!B76</f>
        <v>3号楼</v>
      </c>
    </row>
    <row r="99" spans="1:20" ht="13">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3623</v>
      </c>
      <c r="Q99" s="24">
        <f t="shared" si="30"/>
        <v>1.03</v>
      </c>
      <c r="R99" s="660">
        <f t="shared" ca="1" si="31"/>
        <v>21978</v>
      </c>
      <c r="S99" s="312">
        <f t="shared" ca="1" si="22"/>
        <v>2245</v>
      </c>
      <c r="T99" s="3350" t="str">
        <f>办公用房分套!B77</f>
        <v>3号楼</v>
      </c>
    </row>
    <row r="100" spans="1:20" ht="13">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3623</v>
      </c>
      <c r="Q100" s="24">
        <f t="shared" si="30"/>
        <v>1.03</v>
      </c>
      <c r="R100" s="660">
        <f t="shared" ca="1" si="31"/>
        <v>22426</v>
      </c>
      <c r="S100" s="312">
        <f t="shared" ca="1" si="22"/>
        <v>2079</v>
      </c>
      <c r="T100" s="3350" t="str">
        <f>办公用房分套!B78</f>
        <v>3号楼</v>
      </c>
    </row>
    <row r="101" spans="1:20" ht="13">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3623</v>
      </c>
      <c r="Q101" s="24">
        <f t="shared" si="30"/>
        <v>1.03</v>
      </c>
      <c r="R101" s="660">
        <f t="shared" ca="1" si="31"/>
        <v>21978</v>
      </c>
      <c r="S101" s="312">
        <f t="shared" ca="1" si="22"/>
        <v>2245</v>
      </c>
      <c r="T101" s="3350" t="str">
        <f>办公用房分套!B79</f>
        <v>3号楼</v>
      </c>
    </row>
    <row r="102" spans="1:20" ht="13">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3623</v>
      </c>
      <c r="Q102" s="24">
        <f t="shared" si="30"/>
        <v>1.03</v>
      </c>
      <c r="R102" s="660">
        <f t="shared" ca="1" si="31"/>
        <v>22426</v>
      </c>
      <c r="S102" s="312">
        <f t="shared" ca="1" si="22"/>
        <v>2079</v>
      </c>
      <c r="T102" s="3350" t="str">
        <f>办公用房分套!B80</f>
        <v>3号楼</v>
      </c>
    </row>
    <row r="103" spans="1:20" ht="13">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3623</v>
      </c>
      <c r="Q103" s="24">
        <f t="shared" si="30"/>
        <v>1.03</v>
      </c>
      <c r="R103" s="660">
        <f t="shared" ca="1" si="31"/>
        <v>21978</v>
      </c>
      <c r="S103" s="312">
        <f t="shared" ca="1" si="22"/>
        <v>2245</v>
      </c>
      <c r="T103" s="3350" t="str">
        <f>办公用房分套!B81</f>
        <v>3号楼</v>
      </c>
    </row>
    <row r="104" spans="1:20" ht="13">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3623</v>
      </c>
      <c r="Q104" s="24">
        <f t="shared" si="30"/>
        <v>1.03</v>
      </c>
      <c r="R104" s="660">
        <f t="shared" ca="1" si="31"/>
        <v>22426</v>
      </c>
      <c r="S104" s="312">
        <f t="shared" ca="1" si="22"/>
        <v>2079</v>
      </c>
      <c r="T104" s="3350" t="str">
        <f>办公用房分套!B82</f>
        <v>3号楼</v>
      </c>
    </row>
    <row r="105" spans="1:20" ht="13">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3633</v>
      </c>
      <c r="Q105" s="24">
        <f t="shared" si="30"/>
        <v>1.06</v>
      </c>
      <c r="R105" s="660">
        <f t="shared" ca="1" si="31"/>
        <v>22618</v>
      </c>
      <c r="S105" s="312">
        <f t="shared" ca="1" si="22"/>
        <v>2311</v>
      </c>
      <c r="T105" s="3350" t="str">
        <f>办公用房分套!B83</f>
        <v>3号楼</v>
      </c>
    </row>
    <row r="106" spans="1:20" ht="13">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3633</v>
      </c>
      <c r="Q106" s="24">
        <f t="shared" si="30"/>
        <v>1.06</v>
      </c>
      <c r="R106" s="660">
        <f t="shared" ca="1" si="31"/>
        <v>23079</v>
      </c>
      <c r="S106" s="312">
        <f t="shared" ca="1" si="22"/>
        <v>2139</v>
      </c>
      <c r="T106" s="3350" t="str">
        <f>办公用房分套!B84</f>
        <v>3号楼</v>
      </c>
    </row>
    <row r="107" spans="1:20" ht="13">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3633</v>
      </c>
      <c r="Q107" s="24">
        <f t="shared" si="30"/>
        <v>1.06</v>
      </c>
      <c r="R107" s="660">
        <f t="shared" ca="1" si="31"/>
        <v>22618</v>
      </c>
      <c r="S107" s="312">
        <f t="shared" ca="1" si="22"/>
        <v>2311</v>
      </c>
      <c r="T107" s="3350" t="str">
        <f>办公用房分套!B85</f>
        <v>3号楼</v>
      </c>
    </row>
    <row r="108" spans="1:20" ht="13">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3633</v>
      </c>
      <c r="Q108" s="24">
        <f t="shared" si="30"/>
        <v>1.06</v>
      </c>
      <c r="R108" s="660">
        <f t="shared" ca="1" si="31"/>
        <v>23079</v>
      </c>
      <c r="S108" s="312">
        <f t="shared" ca="1" si="22"/>
        <v>2139</v>
      </c>
      <c r="T108" s="3350" t="str">
        <f>办公用房分套!B86</f>
        <v>3号楼</v>
      </c>
    </row>
    <row r="109" spans="1:20" ht="13">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3633</v>
      </c>
      <c r="Q109" s="24">
        <f t="shared" si="30"/>
        <v>1.06</v>
      </c>
      <c r="R109" s="660">
        <f t="shared" ca="1" si="31"/>
        <v>22618</v>
      </c>
      <c r="S109" s="312">
        <f t="shared" ca="1" si="22"/>
        <v>2311</v>
      </c>
      <c r="T109" s="3350" t="str">
        <f>办公用房分套!B87</f>
        <v>3号楼</v>
      </c>
    </row>
    <row r="110" spans="1:20" ht="13">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3633</v>
      </c>
      <c r="Q110" s="24">
        <f t="shared" si="30"/>
        <v>1.06</v>
      </c>
      <c r="R110" s="660">
        <f t="shared" ca="1" si="31"/>
        <v>23079</v>
      </c>
      <c r="S110" s="312">
        <f t="shared" ca="1" si="22"/>
        <v>2139</v>
      </c>
      <c r="T110" s="3350" t="str">
        <f>办公用房分套!B88</f>
        <v>3号楼</v>
      </c>
    </row>
    <row r="111" spans="1:20" ht="13">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3633</v>
      </c>
      <c r="Q111" s="24">
        <f t="shared" si="30"/>
        <v>1.06</v>
      </c>
      <c r="R111" s="660">
        <f t="shared" ca="1" si="31"/>
        <v>22618</v>
      </c>
      <c r="S111" s="312">
        <f t="shared" ca="1" si="22"/>
        <v>2311</v>
      </c>
      <c r="T111" s="3350" t="str">
        <f>办公用房分套!B89</f>
        <v>3号楼</v>
      </c>
    </row>
    <row r="112" spans="1:20" ht="13">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3633</v>
      </c>
      <c r="Q112" s="24">
        <f t="shared" si="30"/>
        <v>1.06</v>
      </c>
      <c r="R112" s="660">
        <f t="shared" ca="1" si="31"/>
        <v>23079</v>
      </c>
      <c r="S112" s="312">
        <f t="shared" ca="1" si="22"/>
        <v>2139</v>
      </c>
      <c r="T112" s="3350" t="str">
        <f>办公用房分套!B90</f>
        <v>3号楼</v>
      </c>
    </row>
    <row r="113" spans="1:20" ht="13">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3633</v>
      </c>
      <c r="Q113" s="24">
        <f t="shared" si="30"/>
        <v>1.06</v>
      </c>
      <c r="R113" s="660">
        <f t="shared" ca="1" si="31"/>
        <v>22156</v>
      </c>
      <c r="S113" s="312">
        <f t="shared" ca="1" si="22"/>
        <v>4830</v>
      </c>
      <c r="T113" s="3350" t="str">
        <f>办公用房分套!B91</f>
        <v>3号楼</v>
      </c>
    </row>
    <row r="114" spans="1:20" ht="13">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ht="13">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ht="13">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ht="13">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ht="13">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ht="13">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ht="13">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ht="13">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ht="13">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ht="13">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ht="13">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ht="13">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ht="13">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ht="13">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ht="13">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ht="13">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ht="13">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ht="13">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ht="13">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ht="13">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ht="13">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ht="13">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ht="13">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ht="13">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ht="13">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ht="13">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ht="13">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ht="13">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ht="13">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ht="13">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ht="13">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ht="13">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ht="13">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ht="13">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ht="13">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ht="13">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ht="13">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ht="13">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ht="13">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ht="13">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ht="13">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ht="13">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ht="13">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ht="13">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ht="13">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ht="13">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ht="13">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ht="13">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ht="13">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ht="13">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ht="13">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ht="13">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ht="13">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ht="13">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ht="13">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ht="13">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ht="13">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ht="13">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ht="13">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ht="13">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ht="13">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ht="13">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ht="13">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ht="13">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ht="13">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ht="13">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ht="13">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ht="13">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ht="13">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ht="13">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ht="13">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ht="13">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ht="13">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ht="13">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ht="13">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ht="13">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ht="13">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ht="13">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ht="13">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ht="13">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ht="13">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ht="13">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ht="13">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ht="13">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ht="13">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ht="13">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ht="13">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ht="13">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ht="13">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ht="13">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ht="13">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ht="13">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ht="13">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ht="13">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ht="13">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ht="13">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ht="13">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ht="13">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ht="13">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ht="13">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ht="13">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ht="13">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ht="13">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ht="13">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ht="13">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ht="13">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ht="13">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ht="13">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ht="13">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ht="13">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ht="13">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ht="13">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ht="13">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ht="13">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ht="13">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ht="13">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ht="13">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ht="13">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ht="13">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ht="13">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ht="13">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ht="13">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ht="13">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ht="13">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ht="13">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ht="13">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ht="13">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ht="13">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ht="13">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ht="13">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ht="13">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ht="13">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ht="13">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ht="13">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ht="13">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ht="13">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ht="13">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ht="13">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ht="13">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ht="13">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ht="13">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ht="13">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ht="13">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ht="13">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ht="13">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ht="13">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ht="13">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ht="13">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ht="13">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ht="13">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ht="13">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ht="13">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ht="13">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ht="13">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ht="13">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ht="13">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ht="13">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ht="13">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ht="13">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ht="13">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ht="13">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ht="13">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ht="13">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ht="13">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ht="13">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ht="13">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ht="13">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ht="13">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ht="13">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ht="13">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ht="13">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ht="13">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ht="13">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ht="13">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ht="13">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ht="13">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ht="13">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ht="13">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ht="13">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ht="13">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ht="13">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ht="13">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ht="13">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ht="13">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ht="13">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ht="13">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ht="13">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ht="13">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ht="13">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ht="13">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ht="13">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ht="13">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ht="13">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ht="13">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ht="13">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ht="13">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ht="13">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ht="13">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ht="13">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ht="13">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ht="13">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ht="13">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ht="13">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ht="13">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ht="13">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ht="13">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ht="13">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ht="13">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ht="13">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ht="13">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ht="13">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ht="13">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ht="13">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ht="13">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ht="13">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ht="13">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ht="13">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ht="13">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ht="13">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ht="13">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ht="13">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ht="13">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ht="13">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ht="13">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ht="13">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ht="13">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ht="13">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ht="13">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ht="13">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ht="13">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ht="13">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ht="13">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ht="13">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ht="13">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ht="13">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ht="13">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ht="13">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ht="13">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ht="13">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ht="13">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ht="13">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ht="13">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ht="13">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ht="13">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ht="13">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ht="13">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ht="13">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ht="13">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ht="13">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ht="13">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ht="13">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ht="13">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ht="13">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ht="13">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ht="13">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ht="13">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ht="13">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ht="13">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ht="13">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ht="13">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ht="13">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ht="13">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ht="13">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ht="13">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ht="13">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ht="13">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ht="13">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ht="13">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ht="13">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ht="13">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ht="13">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ht="13">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ht="13">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ht="13">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ht="13">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ht="13">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ht="13">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ht="13">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ht="13">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ht="13">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ht="13">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ht="13">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ht="13">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ht="13">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ht="13">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ht="13">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ht="13">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ht="13">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ht="13">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ht="13">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ht="13">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ht="13">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ht="13">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ht="13">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ht="13">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ht="13">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ht="13">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ht="13">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ht="13">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ht="13">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ht="13">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ht="13">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ht="13">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ht="13">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ht="13">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ht="13">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ht="13">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ht="13">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ht="13">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ht="13">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ht="13">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ht="13">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ht="13">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ht="13">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ht="13">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ht="13">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ht="13">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ht="13">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ht="13">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ht="13">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ht="13">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ht="13">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ht="13">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ht="13">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ht="13">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ht="13">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ht="13">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ht="13">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ht="13">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ht="13">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ht="13">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ht="13">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ht="13">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ht="13">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ht="13">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ht="13">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ht="13">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ht="13">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ht="13">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ht="13">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ht="13">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ht="13">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ht="13">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ht="13">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ht="13">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ht="13">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ht="13">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ht="13">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ht="13">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ht="13">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ht="13">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ht="13">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ht="13">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ht="13">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ht="13">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ht="13">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ht="13">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ht="13">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ht="13">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ht="13">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ht="13">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ht="13">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ht="13">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ht="13">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ht="13">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ht="13">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ht="13">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ht="13">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ht="13">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ht="13">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ht="13">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ht="13">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ht="13">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ht="13">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ht="13">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ht="13">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ht="13">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ht="13">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ht="13">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ht="13">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ht="13">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ht="13">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ht="13">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ht="13">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ht="13">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ht="13">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ht="13">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ht="13">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ht="13">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ht="13">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ht="13">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ht="13">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ht="13">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ht="13">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ht="13">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ht="13">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ht="13">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ht="13">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ht="13">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ht="13">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ht="13">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ht="13">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ht="13">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ht="13">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ht="13">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ht="13">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ht="13">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ht="13">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ht="13">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ht="13">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ht="13">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48</v>
      </c>
      <c r="D1" s="1861"/>
      <c r="E1" s="1861"/>
      <c r="F1" s="1863" t="s">
        <v>1705</v>
      </c>
      <c r="G1" s="1675" t="s">
        <v>3276</v>
      </c>
      <c r="H1" s="1864" t="str">
        <f>IF(G1="现房","——","估价对象范围")</f>
        <v>——</v>
      </c>
      <c r="I1" s="1865" t="s">
        <v>3588</v>
      </c>
    </row>
    <row r="2" spans="1:12" ht="21.75" customHeight="1" thickBot="1">
      <c r="A2" s="3560" t="str">
        <f>项目基本情况!S2</f>
        <v>北京市大兴区广茂大街19号院商业、办公、地下车库用房房地产房地产</v>
      </c>
      <c r="B2" s="3561"/>
      <c r="C2" s="3561"/>
      <c r="D2" s="3561"/>
      <c r="E2" s="3561"/>
      <c r="F2" s="3561"/>
      <c r="G2" s="3561"/>
      <c r="H2" s="3561"/>
      <c r="I2" s="3562"/>
    </row>
    <row r="3" spans="1:12" ht="13">
      <c r="A3" s="3564" t="s">
        <v>1706</v>
      </c>
      <c r="B3" s="3565"/>
      <c r="C3" s="3565"/>
      <c r="D3" s="3565"/>
      <c r="E3" s="3565"/>
      <c r="F3" s="3565"/>
      <c r="G3" s="3565"/>
      <c r="H3" s="3565"/>
      <c r="I3" s="3565"/>
    </row>
    <row r="4" spans="1:12" ht="14">
      <c r="A4" s="1868" t="s">
        <v>1707</v>
      </c>
      <c r="B4" s="1869" t="s">
        <v>1708</v>
      </c>
      <c r="C4" s="1870" t="s">
        <v>3348</v>
      </c>
      <c r="D4" s="1870" t="s">
        <v>3337</v>
      </c>
      <c r="E4" s="3569" t="s">
        <v>1709</v>
      </c>
      <c r="F4" s="3570"/>
      <c r="G4" s="3570"/>
      <c r="H4" s="3570"/>
      <c r="I4" s="3571"/>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3">
      <c r="A5" s="3510" t="s">
        <v>1710</v>
      </c>
      <c r="B5" s="3563">
        <v>25</v>
      </c>
      <c r="C5" s="3566"/>
      <c r="D5" s="3554"/>
      <c r="E5" s="126" t="s">
        <v>1711</v>
      </c>
      <c r="F5" s="1871"/>
      <c r="G5" s="1871"/>
      <c r="H5" s="1871"/>
      <c r="I5" s="1486"/>
    </row>
    <row r="6" spans="1:12" ht="13">
      <c r="A6" s="3510"/>
      <c r="B6" s="3563"/>
      <c r="C6" s="3568"/>
      <c r="D6" s="3554"/>
      <c r="E6" s="126" t="s">
        <v>1712</v>
      </c>
      <c r="F6" s="1871"/>
      <c r="G6" s="1871"/>
      <c r="H6" s="1871"/>
      <c r="I6" s="1486"/>
    </row>
    <row r="7" spans="1:12" ht="13">
      <c r="A7" s="3510"/>
      <c r="B7" s="3563"/>
      <c r="C7" s="3567"/>
      <c r="D7" s="3554"/>
      <c r="E7" s="126" t="s">
        <v>1713</v>
      </c>
      <c r="F7" s="1871"/>
      <c r="G7" s="1871"/>
      <c r="H7" s="1871"/>
      <c r="I7" s="1486"/>
    </row>
    <row r="8" spans="1:12" ht="13">
      <c r="A8" s="3510" t="s">
        <v>1714</v>
      </c>
      <c r="B8" s="3563">
        <v>15</v>
      </c>
      <c r="C8" s="3566"/>
      <c r="D8" s="3554"/>
      <c r="E8" s="126" t="s">
        <v>1715</v>
      </c>
      <c r="F8" s="1871"/>
      <c r="G8" s="1871"/>
      <c r="H8" s="1871"/>
      <c r="I8" s="1486"/>
    </row>
    <row r="9" spans="1:12" ht="13">
      <c r="A9" s="3510"/>
      <c r="B9" s="3563"/>
      <c r="C9" s="3567"/>
      <c r="D9" s="3554"/>
      <c r="E9" s="126" t="s">
        <v>1716</v>
      </c>
      <c r="F9" s="1871"/>
      <c r="G9" s="1871"/>
      <c r="H9" s="1871"/>
      <c r="I9" s="1486"/>
    </row>
    <row r="10" spans="1:12" ht="13">
      <c r="A10" s="3510" t="s">
        <v>1717</v>
      </c>
      <c r="B10" s="3563">
        <v>15</v>
      </c>
      <c r="C10" s="3566"/>
      <c r="D10" s="3554"/>
      <c r="E10" s="126" t="s">
        <v>1718</v>
      </c>
      <c r="F10" s="1871"/>
      <c r="G10" s="1871"/>
      <c r="H10" s="1871"/>
      <c r="I10" s="1486"/>
    </row>
    <row r="11" spans="1:12" ht="13">
      <c r="A11" s="3510"/>
      <c r="B11" s="3563"/>
      <c r="C11" s="3567"/>
      <c r="D11" s="3554"/>
      <c r="E11" s="126" t="s">
        <v>1719</v>
      </c>
      <c r="F11" s="1871"/>
      <c r="G11" s="1871"/>
      <c r="H11" s="1871"/>
      <c r="I11" s="1486"/>
    </row>
    <row r="12" spans="1:12" ht="13">
      <c r="A12" s="3510" t="s">
        <v>1720</v>
      </c>
      <c r="B12" s="3563">
        <v>15</v>
      </c>
      <c r="C12" s="3566"/>
      <c r="D12" s="3554"/>
      <c r="E12" s="126" t="s">
        <v>1721</v>
      </c>
      <c r="F12" s="1871"/>
      <c r="G12" s="1871"/>
      <c r="H12" s="1871"/>
      <c r="I12" s="1486"/>
    </row>
    <row r="13" spans="1:12" ht="13">
      <c r="A13" s="3510"/>
      <c r="B13" s="3563"/>
      <c r="C13" s="3567"/>
      <c r="D13" s="3554"/>
      <c r="E13" s="126" t="s">
        <v>1722</v>
      </c>
      <c r="F13" s="1871"/>
      <c r="G13" s="1871"/>
      <c r="H13" s="1871"/>
      <c r="I13" s="1486"/>
    </row>
    <row r="14" spans="1:12" ht="13">
      <c r="A14" s="3510" t="s">
        <v>1723</v>
      </c>
      <c r="B14" s="3563">
        <v>30</v>
      </c>
      <c r="C14" s="3566">
        <v>4</v>
      </c>
      <c r="D14" s="3554">
        <v>6</v>
      </c>
      <c r="E14" s="126" t="s">
        <v>1724</v>
      </c>
      <c r="F14" s="1871"/>
      <c r="G14" s="1871"/>
      <c r="H14" s="1871"/>
      <c r="I14" s="1486"/>
    </row>
    <row r="15" spans="1:12" ht="13">
      <c r="A15" s="3510"/>
      <c r="B15" s="3563"/>
      <c r="C15" s="3568"/>
      <c r="D15" s="3554"/>
      <c r="E15" s="126" t="s">
        <v>1725</v>
      </c>
      <c r="F15" s="1871"/>
      <c r="G15" s="1871"/>
      <c r="H15" s="1871"/>
      <c r="I15" s="1486"/>
    </row>
    <row r="16" spans="1:12" ht="13">
      <c r="A16" s="3510"/>
      <c r="B16" s="3563"/>
      <c r="C16" s="3567"/>
      <c r="D16" s="3554"/>
      <c r="E16" s="126" t="s">
        <v>1726</v>
      </c>
      <c r="F16" s="1871"/>
      <c r="G16" s="1871"/>
      <c r="H16" s="1871"/>
      <c r="I16" s="1486"/>
    </row>
    <row r="17" spans="1:36" ht="14">
      <c r="A17" s="1872" t="s">
        <v>1727</v>
      </c>
      <c r="B17" s="60"/>
      <c r="C17" s="127">
        <f>SUM(C5:C16)</f>
        <v>4</v>
      </c>
      <c r="D17" s="127">
        <f>SUM(D5:D16)</f>
        <v>6</v>
      </c>
      <c r="E17" s="124"/>
      <c r="F17" s="124"/>
      <c r="G17" s="124"/>
      <c r="H17" s="124"/>
      <c r="I17" s="124"/>
      <c r="K17" s="298"/>
      <c r="L17" s="298" t="s">
        <v>1728</v>
      </c>
      <c r="M17" s="298" t="s">
        <v>1729</v>
      </c>
    </row>
    <row r="18" spans="1:36" ht="32.15" customHeight="1" thickBot="1">
      <c r="A18" s="1873" t="s">
        <v>1730</v>
      </c>
      <c r="B18" s="1874"/>
      <c r="C18" s="128">
        <f>ROUND(C17/SUM(C17:D17),2)</f>
        <v>0.4</v>
      </c>
      <c r="D18" s="128">
        <f>1-C18</f>
        <v>0.6</v>
      </c>
      <c r="E18" s="3585" t="s">
        <v>2627</v>
      </c>
      <c r="F18" s="3586"/>
      <c r="G18" s="3586"/>
      <c r="H18" s="3586"/>
      <c r="I18" s="3586"/>
      <c r="K18" s="298" t="s">
        <v>1731</v>
      </c>
      <c r="L18" s="298">
        <f>IF(C1="",'数据-汇总表'!E3,SUMIF(项目类型,C1,'数据-汇总表'!E17:E26)+SUMIF(项目类型,C1,'数据-汇总表'!I17:I26))</f>
        <v>59578.47</v>
      </c>
      <c r="M18" s="298">
        <f>IF(C1="",'数据-汇总表'!E3,SUMIF(项目类型,C1,'数据-汇总表'!E17:E26))</f>
        <v>59578.47</v>
      </c>
    </row>
    <row r="19" spans="1:36" ht="14">
      <c r="A19" s="1875" t="s">
        <v>1732</v>
      </c>
      <c r="B19" s="1876" t="s">
        <v>1733</v>
      </c>
      <c r="C19" s="129">
        <f ca="1">SUMIF(INDIRECT("'"&amp;C4&amp;"'"&amp;"!A:A"),结果表车!B19,INDIRECT("'"&amp;C4&amp;"'"&amp;"!B:B"))</f>
        <v>28937</v>
      </c>
      <c r="D19" s="130">
        <f ca="1">SUMIF(INDIRECT("'"&amp;D4&amp;"'"&amp;"!A:A"),结果表车!B19,INDIRECT("'"&amp;D4&amp;"'"&amp;"!B:B"))</f>
        <v>11882</v>
      </c>
      <c r="E19" s="1875" t="s">
        <v>1734</v>
      </c>
      <c r="F19" s="1876" t="s">
        <v>1733</v>
      </c>
      <c r="G19" s="131">
        <f ca="1">ROUND(C19*$C$18+D19*$D$18,0)</f>
        <v>18704</v>
      </c>
      <c r="H19" s="1877" t="s">
        <v>1735</v>
      </c>
      <c r="I19" s="124"/>
      <c r="K19" s="298" t="s">
        <v>1736</v>
      </c>
      <c r="L19" s="298">
        <f>IF(C1="",'数据-汇总表'!D3,SUMIF(项目类型,C1,'数据-汇总表'!D17:D26)+SUMIF(项目类型,C1,'数据-汇总表'!H17:H27))</f>
        <v>12091.61</v>
      </c>
      <c r="M19" s="298">
        <f>IF(C1="",'数据-汇总表'!D3,SUMIF(项目类型,C1,'数据-汇总表'!D17:D26))</f>
        <v>12091.61</v>
      </c>
    </row>
    <row r="20" spans="1:36" ht="14">
      <c r="A20" s="1878"/>
      <c r="B20" s="1117" t="s">
        <v>1737</v>
      </c>
      <c r="C20" s="132">
        <f ca="1">SUMIF(INDIRECT("'"&amp;C4&amp;"'"&amp;"!A:A"),结果表车!B20,INDIRECT("'"&amp;C4&amp;"'"&amp;"!B:B"))</f>
        <v>4857</v>
      </c>
      <c r="D20" s="133">
        <f ca="1">SUMIF(INDIRECT("'"&amp;D4&amp;"'"&amp;"!A:A"),结果表车!B20,INDIRECT("'"&amp;D4&amp;"'"&amp;"!B:B"))</f>
        <v>1994</v>
      </c>
      <c r="E20" s="1878"/>
      <c r="F20" s="1117" t="s">
        <v>1737</v>
      </c>
      <c r="G20" s="134">
        <f ca="1">ROUND(C20*$C$18+D20*$D$18,0)</f>
        <v>3139</v>
      </c>
      <c r="H20" s="878" t="s">
        <v>1738</v>
      </c>
      <c r="I20" s="124"/>
    </row>
    <row r="21" spans="1:36" ht="15" customHeight="1" thickBot="1">
      <c r="A21" s="898"/>
      <c r="B21" s="1879" t="s">
        <v>1739</v>
      </c>
      <c r="C21" s="714">
        <f ca="1">ROUND(C19*10000/L19,0)</f>
        <v>23931</v>
      </c>
      <c r="D21" s="715">
        <f ca="1">ROUND(D19*10000/L19,0)</f>
        <v>9827</v>
      </c>
      <c r="E21" s="898"/>
      <c r="F21" s="1879" t="s">
        <v>1739</v>
      </c>
      <c r="G21" s="135">
        <f ca="1">ROUND(G19*10000/L19,0)</f>
        <v>15469</v>
      </c>
      <c r="H21" s="1880" t="s">
        <v>1738</v>
      </c>
      <c r="I21" s="124"/>
    </row>
    <row r="22" spans="1:36" ht="14.5" thickBot="1">
      <c r="A22" s="1802" t="s">
        <v>1740</v>
      </c>
      <c r="B22" s="1881"/>
      <c r="C22" s="1882"/>
      <c r="D22" s="716">
        <f ca="1">IF(C19&lt;D19,D19/C19-1,C19/D19-1)</f>
        <v>1.4353644167648545</v>
      </c>
      <c r="E22" s="124"/>
      <c r="F22" s="124"/>
      <c r="G22" s="124"/>
      <c r="H22" s="124"/>
      <c r="I22" s="124"/>
      <c r="K22" s="720">
        <f ca="1">G19/收益法车!F7</f>
        <v>15.521991701244813</v>
      </c>
    </row>
    <row r="23" spans="1:36" ht="13" thickBot="1">
      <c r="A23" s="1861"/>
      <c r="B23" s="1861"/>
      <c r="C23" s="1861"/>
      <c r="D23" s="1861"/>
      <c r="E23" s="124"/>
      <c r="F23" s="124"/>
      <c r="G23" s="124"/>
      <c r="H23" s="124"/>
      <c r="I23" s="124"/>
    </row>
    <row r="24" spans="1:36" ht="14">
      <c r="A24" s="3578" t="s">
        <v>1741</v>
      </c>
      <c r="B24" s="1876" t="s">
        <v>1733</v>
      </c>
      <c r="C24" s="131">
        <f>IF(B30=0,0,D30)</f>
        <v>0</v>
      </c>
      <c r="D24" s="1883"/>
      <c r="E24" s="124"/>
      <c r="F24" s="124"/>
      <c r="G24" s="124"/>
      <c r="H24" s="124"/>
      <c r="I24" s="124"/>
    </row>
    <row r="25" spans="1:36" ht="14">
      <c r="A25" s="3579"/>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18704</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12644</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6060</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55" t="s">
        <v>1754</v>
      </c>
      <c r="B36" s="1901" t="s">
        <v>1755</v>
      </c>
      <c r="C36" s="140"/>
      <c r="D36" s="1902"/>
      <c r="E36" s="1903"/>
      <c r="F36" s="1904"/>
      <c r="G36" s="124"/>
      <c r="H36" s="124"/>
      <c r="I36" s="124"/>
    </row>
    <row r="37" spans="1:15" ht="14.5" thickBot="1">
      <c r="A37" s="3556"/>
      <c r="B37" s="1788" t="s">
        <v>1756</v>
      </c>
      <c r="C37" s="142"/>
      <c r="D37" s="1233"/>
      <c r="E37" s="1233"/>
      <c r="F37" s="1904"/>
      <c r="G37" s="124"/>
      <c r="H37" s="124"/>
      <c r="I37" s="124"/>
    </row>
    <row r="38" spans="1:15" ht="14.5" thickBot="1">
      <c r="A38" s="3557"/>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5" t="s">
        <v>1768</v>
      </c>
      <c r="B45" s="3576"/>
      <c r="C45" s="3577"/>
      <c r="D45" s="150">
        <f ca="1">ROUND(H101*F45,0)</f>
        <v>18704</v>
      </c>
      <c r="E45" s="151" t="s">
        <v>1769</v>
      </c>
      <c r="F45" s="152">
        <v>1</v>
      </c>
      <c r="G45" s="153" t="s">
        <v>1770</v>
      </c>
      <c r="H45" s="124"/>
      <c r="I45" s="124"/>
      <c r="J45" s="3497" t="s">
        <v>1771</v>
      </c>
      <c r="K45" s="3497"/>
      <c r="L45" s="3497"/>
      <c r="M45" s="3497"/>
      <c r="N45" s="3497"/>
      <c r="O45" s="3497"/>
    </row>
    <row r="46" spans="1:15" ht="14.25" customHeight="1">
      <c r="A46" s="3572" t="s">
        <v>1772</v>
      </c>
      <c r="B46" s="3573"/>
      <c r="C46" s="3573"/>
      <c r="D46" s="3573"/>
      <c r="E46" s="3573"/>
      <c r="F46" s="3573"/>
      <c r="G46" s="3574"/>
      <c r="H46" s="1920"/>
      <c r="I46" s="154"/>
      <c r="J46" s="3307">
        <v>1</v>
      </c>
      <c r="K46" s="3498" t="s">
        <v>1773</v>
      </c>
      <c r="L46" s="3498"/>
      <c r="M46" s="3499"/>
      <c r="N46" s="3499"/>
      <c r="O46" s="3499"/>
    </row>
    <row r="47" spans="1:15" ht="12" customHeight="1">
      <c r="A47" s="155" t="s">
        <v>1774</v>
      </c>
      <c r="B47" s="156"/>
      <c r="C47" s="157"/>
      <c r="D47" s="1179" t="s">
        <v>1775</v>
      </c>
      <c r="E47" s="298" t="s">
        <v>1776</v>
      </c>
      <c r="F47" s="158" t="s">
        <v>1777</v>
      </c>
      <c r="G47" s="2695" t="s">
        <v>1778</v>
      </c>
      <c r="H47" s="2696"/>
      <c r="I47" s="154"/>
      <c r="J47" s="3307">
        <v>2</v>
      </c>
      <c r="K47" s="3498" t="s">
        <v>1779</v>
      </c>
      <c r="L47" s="3498"/>
      <c r="M47" s="3500">
        <f>'数据-取费表'!B2</f>
        <v>44693</v>
      </c>
      <c r="N47" s="3500"/>
      <c r="O47" s="3500"/>
    </row>
    <row r="48" spans="1:15" ht="26">
      <c r="A48" s="3558" t="s">
        <v>1780</v>
      </c>
      <c r="B48" s="3559"/>
      <c r="C48" s="3559"/>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1781</v>
      </c>
      <c r="H48" s="2699"/>
      <c r="I48" s="1920"/>
      <c r="J48" s="3307">
        <v>3</v>
      </c>
      <c r="K48" s="3498" t="s">
        <v>1782</v>
      </c>
      <c r="L48" s="3498"/>
      <c r="M48" s="3501">
        <f ca="1">H101</f>
        <v>18704</v>
      </c>
      <c r="N48" s="3501"/>
      <c r="O48" s="3501"/>
    </row>
    <row r="49" spans="1:35" ht="25.5" customHeight="1">
      <c r="A49" s="3304" t="s">
        <v>1783</v>
      </c>
      <c r="B49" s="3542" t="s">
        <v>1784</v>
      </c>
      <c r="C49" s="3542"/>
      <c r="D49" s="1704">
        <v>0</v>
      </c>
      <c r="E49" s="320" t="s">
        <v>1785</v>
      </c>
      <c r="F49" s="3294" t="s">
        <v>34</v>
      </c>
      <c r="G49" s="3525"/>
      <c r="H49" s="2456" t="s">
        <v>2630</v>
      </c>
      <c r="I49" s="2457"/>
      <c r="J49" s="3307">
        <v>4</v>
      </c>
      <c r="K49" s="3498" t="str">
        <f>IF(项目基本情况!E8="房地产抵押价值","房地产抵押价值","抵押担保权已注销时的房地产抵押价值")</f>
        <v>房地产抵押价值</v>
      </c>
      <c r="L49" s="3498"/>
      <c r="M49" s="3501">
        <f ca="1">IF(项目基本情况!E8="房地产抵押价值",H107,H109)</f>
        <v>18704</v>
      </c>
      <c r="N49" s="3501"/>
      <c r="O49" s="3501"/>
    </row>
    <row r="50" spans="1:35" ht="25.5" customHeight="1">
      <c r="A50" s="2700"/>
      <c r="B50" s="3542" t="s">
        <v>1786</v>
      </c>
      <c r="C50" s="3542"/>
      <c r="D50" s="2701"/>
      <c r="E50" s="328"/>
      <c r="F50" s="3294"/>
      <c r="G50" s="3526"/>
      <c r="H50" s="2458" t="s">
        <v>2631</v>
      </c>
      <c r="I50" s="2457"/>
      <c r="J50" s="3497" t="s">
        <v>1787</v>
      </c>
      <c r="K50" s="3497"/>
      <c r="L50" s="3497"/>
      <c r="M50" s="3497"/>
      <c r="N50" s="3497"/>
      <c r="O50" s="3497"/>
    </row>
    <row r="51" spans="1:35" ht="20.5" customHeight="1">
      <c r="A51" s="2702"/>
      <c r="B51" s="3542" t="s">
        <v>1788</v>
      </c>
      <c r="C51" s="3542"/>
      <c r="D51" s="1179"/>
      <c r="E51" s="323"/>
      <c r="F51" s="3294"/>
      <c r="G51" s="3527"/>
      <c r="H51" s="2458" t="s">
        <v>2632</v>
      </c>
      <c r="I51" s="2457"/>
      <c r="J51" s="3306" t="s">
        <v>1789</v>
      </c>
      <c r="K51" s="3498" t="s">
        <v>1790</v>
      </c>
      <c r="L51" s="3498"/>
      <c r="M51" s="3306" t="s">
        <v>1791</v>
      </c>
      <c r="N51" s="3306" t="s">
        <v>1792</v>
      </c>
      <c r="O51" s="3306" t="s">
        <v>1793</v>
      </c>
    </row>
    <row r="52" spans="1:35" ht="24" customHeight="1">
      <c r="A52" s="3299" t="s">
        <v>1794</v>
      </c>
      <c r="B52" s="3542" t="s">
        <v>1795</v>
      </c>
      <c r="C52" s="3542"/>
      <c r="D52" s="1179">
        <f ca="1">ROUND(D45*'数据-取费表'!B41/(1+'数据-取费表'!C42),0)</f>
        <v>980</v>
      </c>
      <c r="E52" s="3300" t="s">
        <v>1796</v>
      </c>
      <c r="F52" s="2703">
        <f>'数据-取费表'!B41</f>
        <v>5.5000000000000007E-2</v>
      </c>
      <c r="G52" s="2704"/>
      <c r="H52" s="2693"/>
      <c r="I52" s="1921"/>
      <c r="J52" s="3307">
        <v>1</v>
      </c>
      <c r="K52" s="3519" t="s">
        <v>1797</v>
      </c>
      <c r="L52" s="3519"/>
      <c r="M52" s="2674" t="b">
        <f>D48</f>
        <v>0</v>
      </c>
      <c r="N52" s="3307" t="str">
        <f>E48</f>
        <v>销售额×税（费）率</v>
      </c>
      <c r="O52" s="2675">
        <f>F48</f>
        <v>5.5000000000000007E-2</v>
      </c>
    </row>
    <row r="53" spans="1:35" ht="12" customHeight="1">
      <c r="A53" s="3299" t="s">
        <v>1798</v>
      </c>
      <c r="B53" s="3543" t="s">
        <v>2783</v>
      </c>
      <c r="C53" s="3544"/>
      <c r="D53" s="1179">
        <f ca="1">ROUND(D45*'数据-取费表'!B41/(1+'数据-取费表'!C42),0)</f>
        <v>980</v>
      </c>
      <c r="E53" s="3300" t="s">
        <v>1796</v>
      </c>
      <c r="F53" s="2703">
        <f>'数据-取费表'!B41</f>
        <v>5.5000000000000007E-2</v>
      </c>
      <c r="G53" s="2704"/>
      <c r="H53" s="2693"/>
      <c r="I53" s="1921"/>
      <c r="J53" s="3307">
        <v>2</v>
      </c>
      <c r="K53" s="3519" t="s">
        <v>1799</v>
      </c>
      <c r="L53" s="3519"/>
      <c r="M53" s="2674">
        <f t="shared" ref="M53:O54" ca="1" si="0">D55</f>
        <v>9</v>
      </c>
      <c r="N53" s="3307" t="str">
        <f t="shared" si="0"/>
        <v>销售额×税（费）率</v>
      </c>
      <c r="O53" s="2675" t="str">
        <f t="shared" si="0"/>
        <v>免征</v>
      </c>
    </row>
    <row r="54" spans="1:35" ht="12" customHeight="1">
      <c r="A54" s="3299" t="s">
        <v>1800</v>
      </c>
      <c r="B54" s="3543" t="s">
        <v>2784</v>
      </c>
      <c r="C54" s="3544"/>
      <c r="D54" s="1179">
        <f ca="1">C68</f>
        <v>980</v>
      </c>
      <c r="E54" s="323" t="s">
        <v>1801</v>
      </c>
      <c r="F54" s="2703">
        <f>'数据-取费表'!B41</f>
        <v>5.5000000000000007E-2</v>
      </c>
      <c r="G54" s="2704"/>
      <c r="H54" s="2705"/>
      <c r="I54" s="1921"/>
      <c r="J54" s="3307">
        <v>3</v>
      </c>
      <c r="K54" s="3519" t="s">
        <v>1802</v>
      </c>
      <c r="L54" s="3519"/>
      <c r="M54" s="2674">
        <f t="shared" ca="1" si="0"/>
        <v>10603</v>
      </c>
      <c r="N54" s="3307" t="str">
        <f t="shared" si="0"/>
        <v>增值额×税（费）率</v>
      </c>
      <c r="O54" s="2676" t="str">
        <f t="shared" si="0"/>
        <v>免征</v>
      </c>
    </row>
    <row r="55" spans="1:35" ht="24" customHeight="1">
      <c r="A55" s="3581" t="s">
        <v>1803</v>
      </c>
      <c r="B55" s="3559"/>
      <c r="C55" s="3559"/>
      <c r="D55" s="3309">
        <f ca="1">IF(H55="个人住宅",0,ROUND(D45*I55,0))</f>
        <v>9</v>
      </c>
      <c r="E55" s="3300" t="s">
        <v>1804</v>
      </c>
      <c r="F55" s="2703" t="str">
        <f>IF(H55="正常",I55,"免征")</f>
        <v>免征</v>
      </c>
      <c r="G55" s="2704"/>
      <c r="H55" s="2699"/>
      <c r="I55" s="160">
        <f>'数据-取费表'!B49</f>
        <v>5.0000000000000001E-4</v>
      </c>
      <c r="J55" s="3307">
        <f>IF(H59="非个人房产","",4)</f>
        <v>4</v>
      </c>
      <c r="K55" s="3519" t="str">
        <f>IF(H59="非个人房产","——","个人所得税")</f>
        <v>个人所得税</v>
      </c>
      <c r="L55" s="3519"/>
      <c r="M55" s="2677">
        <f ca="1">D59</f>
        <v>178</v>
      </c>
      <c r="N55" s="3308" t="str">
        <f>E59</f>
        <v>差额计税</v>
      </c>
      <c r="O55" s="2678">
        <f>F59</f>
        <v>0.01</v>
      </c>
    </row>
    <row r="56" spans="1:35" ht="26">
      <c r="A56" s="3581" t="s">
        <v>1805</v>
      </c>
      <c r="B56" s="3559"/>
      <c r="C56" s="3559"/>
      <c r="D56" s="3309">
        <f ca="1">IF(H56="个人住宅",D57,D58)</f>
        <v>10603</v>
      </c>
      <c r="E56" s="3300" t="s">
        <v>1806</v>
      </c>
      <c r="F56" s="2703" t="str">
        <f>IF(H56="正常",F58,"免征")</f>
        <v>免征</v>
      </c>
      <c r="G56" s="2706" t="s">
        <v>1807</v>
      </c>
      <c r="H56" s="2707"/>
      <c r="I56" s="1922"/>
      <c r="J56" s="3307" t="str">
        <f>IF(项目基本情况!K6="上海银行",IF(J55="",4,J55+1),"")</f>
        <v/>
      </c>
      <c r="K56" s="3504" t="str">
        <f>IF(项目基本情况!K6="上海银行","其他处置费用","")</f>
        <v/>
      </c>
      <c r="L56" s="3505"/>
      <c r="M56" s="2674" t="str">
        <f>IF(项目基本情况!K6="上海银行",M69,"")</f>
        <v/>
      </c>
      <c r="N56" s="3504" t="str">
        <f>IF(项目基本情况!K6="上海银行","包含处置中涉及的律师、诉讼、拍卖、评估等费用","")</f>
        <v/>
      </c>
      <c r="O56" s="3507"/>
    </row>
    <row r="57" spans="1:35" ht="13">
      <c r="A57" s="3299" t="s">
        <v>1783</v>
      </c>
      <c r="B57" s="3543" t="s">
        <v>1808</v>
      </c>
      <c r="C57" s="3544"/>
      <c r="D57" s="1704">
        <v>0</v>
      </c>
      <c r="E57" s="320" t="s">
        <v>1785</v>
      </c>
      <c r="F57" s="298"/>
      <c r="G57" s="2704"/>
      <c r="H57" s="2708"/>
      <c r="I57" s="1922"/>
      <c r="J57" s="3519">
        <f>IF(AND(J55="",J56=""),4,IF(项目基本情况!K6="上海银行",结果表车!J56+1,结果表车!J55+1))</f>
        <v>5</v>
      </c>
      <c r="K57" s="3519" t="s">
        <v>1809</v>
      </c>
      <c r="L57" s="2679" t="s">
        <v>1810</v>
      </c>
      <c r="M57" s="2680"/>
      <c r="N57" s="2681">
        <f ca="1">SUMIF(M52:M56,"&lt;9e307")</f>
        <v>10790</v>
      </c>
      <c r="O57" s="2682"/>
      <c r="P57" s="2841">
        <f ca="1">N57/M49</f>
        <v>0.57688195038494439</v>
      </c>
    </row>
    <row r="58" spans="1:35" ht="26">
      <c r="A58" s="3299" t="s">
        <v>1794</v>
      </c>
      <c r="B58" s="3543" t="s">
        <v>1811</v>
      </c>
      <c r="C58" s="3542"/>
      <c r="D58" s="3309">
        <f ca="1">IF(H58="转让取得",C81,C97)</f>
        <v>10603</v>
      </c>
      <c r="E58" s="3300" t="s">
        <v>1806</v>
      </c>
      <c r="F58" s="298" t="s">
        <v>34</v>
      </c>
      <c r="G58" s="2704"/>
      <c r="H58" s="2707"/>
      <c r="I58" s="1922"/>
      <c r="J58" s="3519"/>
      <c r="K58" s="3519"/>
      <c r="L58" s="2679" t="s">
        <v>1812</v>
      </c>
      <c r="M58" s="2683"/>
      <c r="N58" s="2684" t="str">
        <f ca="1">NUMBERSTRING(INT(N57*10000),2)&amp;"元整"</f>
        <v>壹亿零柒佰玖拾万元整</v>
      </c>
      <c r="O58" s="2685"/>
    </row>
    <row r="59" spans="1:35" ht="26.5" thickBot="1">
      <c r="A59" s="3523" t="s">
        <v>1813</v>
      </c>
      <c r="B59" s="3524"/>
      <c r="C59" s="3524"/>
      <c r="D59" s="2709">
        <f ca="1">IF(H59="非个人房产","——",IF(H59="个人住宅（满五唯一有凭证）",0,IF(H59="个人其他（无凭证）",ROUND(D45*F59,0),ROUND(C67*F59,0))))</f>
        <v>178</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21">
        <f>J57+1</f>
        <v>6</v>
      </c>
      <c r="K59" s="3519" t="s">
        <v>1814</v>
      </c>
      <c r="L59" s="3307" t="s">
        <v>1810</v>
      </c>
      <c r="M59" s="2686"/>
      <c r="N59" s="2687">
        <f ca="1">M49-N57</f>
        <v>7914</v>
      </c>
      <c r="O59" s="2688"/>
    </row>
    <row r="60" spans="1:35" ht="12" customHeight="1">
      <c r="A60" s="1923"/>
      <c r="B60" s="1861"/>
      <c r="C60" s="1861"/>
      <c r="D60" s="1861"/>
      <c r="E60" s="1692"/>
      <c r="F60" s="1922"/>
      <c r="G60" s="1922"/>
      <c r="H60" s="1924"/>
      <c r="I60" s="124"/>
      <c r="J60" s="3522"/>
      <c r="K60" s="3519"/>
      <c r="L60" s="2679" t="s">
        <v>1812</v>
      </c>
      <c r="M60" s="2683"/>
      <c r="N60" s="2684" t="str">
        <f ca="1">NUMBERSTRING(INT(N59*10000),2)&amp;"元整"</f>
        <v>柒仟玖佰壹拾肆万元整</v>
      </c>
      <c r="O60" s="2685"/>
    </row>
    <row r="61" spans="1:35" ht="13.5" thickBot="1">
      <c r="A61" s="3580" t="s">
        <v>1815</v>
      </c>
      <c r="B61" s="3580"/>
      <c r="C61" s="3580"/>
      <c r="D61" s="3580"/>
      <c r="E61" s="3580"/>
      <c r="F61" s="1922"/>
      <c r="G61" s="1922"/>
      <c r="H61" s="1924"/>
      <c r="I61" s="124"/>
      <c r="J61" s="3307">
        <f>J59+1</f>
        <v>7</v>
      </c>
      <c r="K61" s="3519" t="s">
        <v>1816</v>
      </c>
      <c r="L61" s="3519"/>
      <c r="M61" s="2689"/>
      <c r="N61" s="2690">
        <f ca="1">ROUND(N59*10000/'数据-汇总表'!E3,0)</f>
        <v>450</v>
      </c>
      <c r="O61" s="2691"/>
    </row>
    <row r="62" spans="1:35" ht="13">
      <c r="A62" s="3538" t="s">
        <v>1817</v>
      </c>
      <c r="B62" s="3539"/>
      <c r="C62" s="3303"/>
      <c r="D62" s="3303" t="s">
        <v>1818</v>
      </c>
      <c r="E62" s="161" t="s">
        <v>1819</v>
      </c>
      <c r="F62" s="1922"/>
      <c r="G62" s="1922"/>
      <c r="H62" s="1924"/>
      <c r="I62" s="124"/>
    </row>
    <row r="63" spans="1:35" ht="13">
      <c r="A63" s="168" t="s">
        <v>594</v>
      </c>
      <c r="B63" s="162" t="s">
        <v>1820</v>
      </c>
      <c r="C63" s="2713">
        <f ca="1">ROUND((C64+C65)/(1+'数据-取费表'!C42),0)</f>
        <v>17813</v>
      </c>
      <c r="D63" s="162"/>
      <c r="E63" s="163"/>
      <c r="F63" s="1922"/>
      <c r="G63" s="1922"/>
      <c r="H63" s="1924"/>
      <c r="I63" s="124"/>
      <c r="J63" s="3506" t="s">
        <v>1821</v>
      </c>
      <c r="K63" s="3310" t="s">
        <v>1822</v>
      </c>
      <c r="L63" s="3310">
        <f ca="1">IF(M49&gt;10000,M49*0.5%,IF(AND(M49&gt;1000,M49&lt;=10000),M49*1%,IF(AND(M49&gt;100,M49&lt;=1000),M49*3%,IF(AND(M49&gt;10,M49&lt;=100),M49*5%,M49*8%))))</f>
        <v>93.52</v>
      </c>
      <c r="M63" s="298">
        <f ca="1">ROUND(L63,1)</f>
        <v>93.5</v>
      </c>
      <c r="N63" s="2692"/>
      <c r="Z63" s="1866"/>
      <c r="AI63" s="1867"/>
    </row>
    <row r="64" spans="1:35" ht="14.25" customHeight="1">
      <c r="A64" s="164" t="s">
        <v>589</v>
      </c>
      <c r="B64" s="165" t="s">
        <v>1823</v>
      </c>
      <c r="C64" s="2714">
        <f ca="1">D45</f>
        <v>18704</v>
      </c>
      <c r="D64" s="165" t="s">
        <v>32</v>
      </c>
      <c r="E64" s="167"/>
      <c r="F64" s="1922"/>
      <c r="G64" s="1922"/>
      <c r="H64" s="1924"/>
      <c r="I64" s="124"/>
      <c r="J64" s="3506"/>
      <c r="K64" s="3310" t="s">
        <v>1824</v>
      </c>
      <c r="L64" s="3310">
        <f ca="1">IF(M49&gt;2000,M49*0.5%,IF(AND(M49&gt;1000,M49&lt;=2000),M49*0.6%,IF(AND(M49&gt;500,M49&lt;=1000),M49*0.7%,IF(AND(M49&gt;200,M49&lt;=500),M49*0.8%,IF(AND(M49&gt;100,M49&lt;=200),M49*0.9%,IF(AND(M49&gt;50,M49&lt;=100),M49*1%,IF(AND(M49&gt;20,M49&lt;=50),M49*1.5%,IF(AND(M49&gt;10,M49&lt;=20),M49*2%,IF(AND(M49&gt;1,M49&lt;=10),M49*2.5%)))))))))</f>
        <v>93.52</v>
      </c>
      <c r="M64" s="298">
        <f t="shared" ref="M64:M65" ca="1" si="1">ROUND(L64,1)</f>
        <v>93.5</v>
      </c>
      <c r="N64" s="2693" t="s">
        <v>1825</v>
      </c>
      <c r="Z64" s="1866"/>
      <c r="AI64" s="1867"/>
    </row>
    <row r="65" spans="1:35" ht="14.25" customHeight="1">
      <c r="A65" s="164" t="s">
        <v>590</v>
      </c>
      <c r="B65" s="165" t="s">
        <v>1826</v>
      </c>
      <c r="C65" s="2715"/>
      <c r="D65" s="165"/>
      <c r="E65" s="167"/>
      <c r="F65" s="1922"/>
      <c r="G65" s="1922"/>
      <c r="H65" s="1924"/>
      <c r="I65" s="124"/>
      <c r="J65" s="3506"/>
      <c r="K65" s="3310" t="s">
        <v>1827</v>
      </c>
      <c r="L65" s="3310">
        <f ca="1">IF(M49&gt;1000,M49*0.1%,IF(AND(M49&gt;500,M49&lt;=1000),M49*0.5%,IF(AND(M49&gt;50,M49&lt;=500),M49*1%,IF(AND(M49&gt;1,M49&lt;=50),M49*1.5%))))</f>
        <v>18.704000000000001</v>
      </c>
      <c r="M65" s="298">
        <f t="shared" ca="1" si="1"/>
        <v>18.7</v>
      </c>
      <c r="N65" s="2693" t="s">
        <v>1825</v>
      </c>
      <c r="Z65" s="1866"/>
      <c r="AI65" s="1867"/>
    </row>
    <row r="66" spans="1:35" ht="14.25" customHeight="1">
      <c r="A66" s="168" t="s">
        <v>591</v>
      </c>
      <c r="B66" s="169" t="s">
        <v>1828</v>
      </c>
      <c r="C66" s="2716"/>
      <c r="D66" s="169" t="s">
        <v>32</v>
      </c>
      <c r="E66" s="1438" t="s">
        <v>1093</v>
      </c>
      <c r="F66" s="1922"/>
      <c r="G66" s="1922"/>
      <c r="H66" s="1924"/>
      <c r="I66" s="124"/>
      <c r="J66" s="3506"/>
      <c r="K66" s="3310" t="s">
        <v>1829</v>
      </c>
      <c r="L66" s="3310">
        <f ca="1">M49*0.5%</f>
        <v>93.52</v>
      </c>
      <c r="M66" s="298">
        <f ca="1">IF(L66&gt;0.5,0.5,ROUND(L66,0))</f>
        <v>0.5</v>
      </c>
      <c r="N66" s="2693" t="s">
        <v>1830</v>
      </c>
      <c r="Z66" s="1866"/>
      <c r="AI66" s="1867"/>
    </row>
    <row r="67" spans="1:35" ht="14.25" customHeight="1">
      <c r="A67" s="168" t="s">
        <v>592</v>
      </c>
      <c r="B67" s="169" t="s">
        <v>1831</v>
      </c>
      <c r="C67" s="2717">
        <f ca="1">C63-C66</f>
        <v>17813</v>
      </c>
      <c r="D67" s="165" t="s">
        <v>32</v>
      </c>
      <c r="E67" s="167"/>
      <c r="F67" s="1922"/>
      <c r="G67" s="1922"/>
      <c r="H67" s="1924"/>
      <c r="I67" s="124"/>
      <c r="J67" s="3506"/>
      <c r="K67" s="3310" t="s">
        <v>1832</v>
      </c>
      <c r="L67" s="3310">
        <f ca="1">IF(M49&gt;=10000,(8.25+(M49-10000)*0.01%),IF(AND(M49&gt;=8000,M49&lt;10000),(7.85+(M49-8000)*0.02%),IF(AND(M49&gt;=5000,M49&lt;8000),(6.65+(M49-5000)*0.04%),IF(AND(M49&gt;=2000,M49&lt;5000),(4.25+(PM49-2000)*0.08%),IF(AND(M49&gt;=1000,M49&lt;2000),(2.75+(M49-1000)*0.15%),IF(AND(M49&gt;=100,M49&lt;1000),(0.5+(M49-100)*0.25%),IF(AND(M49&gt;0,M49&lt;100),M49*0.5%)))))))</f>
        <v>9.1204000000000001</v>
      </c>
      <c r="M67" s="298">
        <f ca="1">ROUND(L67*0.9,1)</f>
        <v>8.1999999999999993</v>
      </c>
      <c r="N67" s="2692"/>
      <c r="Z67" s="1866"/>
      <c r="AI67" s="1867"/>
    </row>
    <row r="68" spans="1:35" ht="14.25" customHeight="1" thickBot="1">
      <c r="A68" s="171" t="s">
        <v>593</v>
      </c>
      <c r="B68" s="172" t="s">
        <v>1833</v>
      </c>
      <c r="C68" s="2718">
        <f ca="1">IF(C67&lt;=0,0,ROUND(C67*D68,0))</f>
        <v>980</v>
      </c>
      <c r="D68" s="2719">
        <f>'数据-取费表'!B41</f>
        <v>5.5000000000000007E-2</v>
      </c>
      <c r="E68" s="174"/>
      <c r="F68" s="1922"/>
      <c r="G68" s="1922"/>
      <c r="H68" s="1924"/>
      <c r="I68" s="124"/>
      <c r="J68" s="3506"/>
      <c r="K68" s="3310" t="s">
        <v>1834</v>
      </c>
      <c r="L68" s="3310">
        <f ca="1">IF(M49&gt;10000,M49*0.5%,IF(AND(M49&gt;5000,M49&lt;=10000),M49*1%,IF(AND(M49&gt;1000,M49&lt;=5000),M49*2%,IF(AND(M49&gt;200,M49&lt;=1000),M49*3%,M49*5%))))</f>
        <v>93.52</v>
      </c>
      <c r="M68" s="298">
        <f ca="1">ROUND(L68,1)</f>
        <v>93.5</v>
      </c>
      <c r="N68" s="2692"/>
      <c r="Z68" s="1866"/>
      <c r="AI68" s="1867"/>
    </row>
    <row r="69" spans="1:35" s="1886" customFormat="1" ht="16.5" customHeight="1">
      <c r="A69" s="1925"/>
      <c r="B69" s="1926"/>
      <c r="C69" s="1927"/>
      <c r="D69" s="1928"/>
      <c r="E69" s="1929"/>
      <c r="F69" s="1692"/>
      <c r="G69" s="1692"/>
      <c r="H69" s="1691"/>
      <c r="I69" s="1861"/>
      <c r="J69" s="3506"/>
      <c r="K69" s="3310" t="s">
        <v>1835</v>
      </c>
      <c r="L69" s="3310"/>
      <c r="M69" s="298">
        <f ca="1">ROUND(SUM(M63:M68),0)</f>
        <v>308</v>
      </c>
      <c r="N69" s="2694">
        <f ca="1">M69/M49</f>
        <v>1.6467065868263474E-2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6" t="s">
        <v>1836</v>
      </c>
      <c r="B70" s="3547"/>
      <c r="C70" s="3547"/>
      <c r="D70" s="3547"/>
      <c r="E70" s="3547"/>
      <c r="F70" s="3547"/>
      <c r="G70" s="3547"/>
      <c r="H70" s="3547"/>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8" t="s">
        <v>1817</v>
      </c>
      <c r="B71" s="3539"/>
      <c r="C71" s="3303"/>
      <c r="D71" s="3303"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17813</v>
      </c>
      <c r="D72" s="165" t="s">
        <v>32</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89</v>
      </c>
      <c r="D73" s="165" t="s">
        <v>32</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43" t="s">
        <v>1844</v>
      </c>
      <c r="F76" s="3542"/>
      <c r="G76" s="3542"/>
      <c r="H76" s="3545"/>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309" t="s">
        <v>1846</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89</v>
      </c>
      <c r="D78" s="2726">
        <f>'数据-取费表'!B43</f>
        <v>5.000000000000001E-3</v>
      </c>
      <c r="E78" s="3535" t="s">
        <v>1848</v>
      </c>
      <c r="F78" s="3536"/>
      <c r="G78" s="3536"/>
      <c r="H78" s="3537"/>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17724</v>
      </c>
      <c r="D79" s="165" t="s">
        <v>32</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199.14606741573033</v>
      </c>
      <c r="D80" s="165" t="s">
        <v>32</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10603</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6" t="s">
        <v>1852</v>
      </c>
      <c r="B83" s="3547"/>
      <c r="C83" s="3547"/>
      <c r="D83" s="3547"/>
      <c r="E83" s="3547"/>
      <c r="F83" s="3547"/>
      <c r="G83" s="3547"/>
      <c r="H83" s="3547"/>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8" t="s">
        <v>1817</v>
      </c>
      <c r="B84" s="3539"/>
      <c r="C84" s="3303"/>
      <c r="D84" s="3303"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17813</v>
      </c>
      <c r="D85" s="165" t="s">
        <v>32</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89</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97"/>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97"/>
      <c r="G90" s="3508" t="s">
        <v>2625</v>
      </c>
      <c r="H90" s="3509"/>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5" t="s">
        <v>1861</v>
      </c>
      <c r="F91" s="3536"/>
      <c r="G91" s="353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5" t="s">
        <v>1864</v>
      </c>
      <c r="F92" s="3536"/>
      <c r="G92" s="3536"/>
      <c r="H92" s="3537"/>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89</v>
      </c>
      <c r="D93" s="2726">
        <f>'数据-取费表'!B43</f>
        <v>5.000000000000001E-3</v>
      </c>
      <c r="E93" s="3535" t="s">
        <v>1848</v>
      </c>
      <c r="F93" s="3536"/>
      <c r="G93" s="3536"/>
      <c r="H93" s="3537"/>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82" t="s">
        <v>1868</v>
      </c>
      <c r="F94" s="3583"/>
      <c r="G94" s="3583"/>
      <c r="H94" s="358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17724</v>
      </c>
      <c r="D95" s="165" t="s">
        <v>32</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199.14606741573033</v>
      </c>
      <c r="D96" s="165" t="s">
        <v>32</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10603</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20"/>
      <c r="E100" s="3474" t="s">
        <v>1871</v>
      </c>
      <c r="F100" s="3474"/>
      <c r="G100" s="3474"/>
      <c r="H100" s="3520"/>
      <c r="I100" s="124"/>
    </row>
    <row r="101" spans="1:35" ht="18.75" customHeight="1">
      <c r="A101" s="3528" t="s">
        <v>1872</v>
      </c>
      <c r="B101" s="3529"/>
      <c r="C101" s="2734" t="str">
        <f>C4</f>
        <v>成本法车</v>
      </c>
      <c r="D101" s="2735" t="str">
        <f>D4</f>
        <v>收益法车</v>
      </c>
      <c r="E101" s="3502" t="s">
        <v>1873</v>
      </c>
      <c r="F101" s="3503"/>
      <c r="G101" s="1941" t="s">
        <v>1874</v>
      </c>
      <c r="H101" s="2744">
        <f ca="1">H118</f>
        <v>18704</v>
      </c>
      <c r="I101" s="124"/>
    </row>
    <row r="102" spans="1:35" ht="18.75" customHeight="1">
      <c r="A102" s="3530" t="s">
        <v>1875</v>
      </c>
      <c r="B102" s="2733" t="s">
        <v>1874</v>
      </c>
      <c r="C102" s="2734">
        <f ca="1">C19</f>
        <v>28937</v>
      </c>
      <c r="D102" s="2735">
        <f ca="1">D19</f>
        <v>11882</v>
      </c>
      <c r="E102" s="3502"/>
      <c r="F102" s="3503"/>
      <c r="G102" s="1941" t="s">
        <v>1876</v>
      </c>
      <c r="H102" s="2704">
        <f ca="1">I118</f>
        <v>3139</v>
      </c>
      <c r="I102" s="124"/>
    </row>
    <row r="103" spans="1:35" ht="42.75" customHeight="1">
      <c r="A103" s="3530"/>
      <c r="B103" s="2733" t="s">
        <v>1876</v>
      </c>
      <c r="C103" s="2736">
        <f ca="1">C20</f>
        <v>4857</v>
      </c>
      <c r="D103" s="2737">
        <f ca="1">D20</f>
        <v>1994</v>
      </c>
      <c r="E103" s="3495" t="s">
        <v>1877</v>
      </c>
      <c r="F103" s="3496"/>
      <c r="G103" s="1942" t="s">
        <v>1878</v>
      </c>
      <c r="H103" s="2744">
        <f>IF(D36="正常操作",H104+H105+H106,H105+H106)</f>
        <v>0</v>
      </c>
      <c r="I103" s="124"/>
    </row>
    <row r="104" spans="1:35" ht="18.75" customHeight="1">
      <c r="A104" s="3530" t="s">
        <v>1879</v>
      </c>
      <c r="B104" s="2738" t="s">
        <v>1874</v>
      </c>
      <c r="C104" s="2739">
        <f ca="1">H118</f>
        <v>18704</v>
      </c>
      <c r="D104" s="2740"/>
      <c r="E104" s="1788" t="s">
        <v>1880</v>
      </c>
      <c r="F104" s="1780"/>
      <c r="G104" s="1942" t="s">
        <v>1878</v>
      </c>
      <c r="H104" s="2745">
        <f>IF(D36="同一抵押权人同一抵押物续贷",C36&amp;"（续贷，未扣减，详见特别提示）",C36)</f>
        <v>0</v>
      </c>
      <c r="I104" s="124"/>
    </row>
    <row r="105" spans="1:35" ht="18.75" customHeight="1" thickBot="1">
      <c r="A105" s="3540"/>
      <c r="B105" s="2741" t="s">
        <v>1876</v>
      </c>
      <c r="C105" s="2742">
        <f ca="1">I118</f>
        <v>3139</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1" t="str">
        <f>IF(项目基本情况!E8="已注销","——","3.房地产抵押价值")</f>
        <v>3.房地产抵押价值</v>
      </c>
      <c r="F107" s="3503"/>
      <c r="G107" s="1941" t="s">
        <v>1874</v>
      </c>
      <c r="H107" s="2744">
        <f ca="1">IF(E107="——","——",H101-H103)</f>
        <v>18704</v>
      </c>
      <c r="I107" s="124"/>
    </row>
    <row r="108" spans="1:35" ht="18.75" customHeight="1">
      <c r="A108" s="124"/>
      <c r="B108" s="124"/>
      <c r="C108" s="124"/>
      <c r="D108" s="124"/>
      <c r="E108" s="3531"/>
      <c r="F108" s="3503"/>
      <c r="G108" s="1941" t="s">
        <v>1876</v>
      </c>
      <c r="H108" s="2704">
        <f ca="1">ROUND(H107*10000/'数据-汇总表'!E3,0)</f>
        <v>1064</v>
      </c>
      <c r="I108" s="124"/>
    </row>
    <row r="109" spans="1:35" ht="18.75" customHeight="1">
      <c r="A109" s="124"/>
      <c r="B109" s="124"/>
      <c r="C109" s="124"/>
      <c r="D109" s="124"/>
      <c r="E109" s="3531" t="str">
        <f>IF(项目基本情况!E8="已注销及未注销","4.抵押担保权已注销时的房地产抵押价值",IF(项目基本情况!E8="已注销","3.抵押担保权已注销时的房地产抵押价值","——"))</f>
        <v>——</v>
      </c>
      <c r="F109" s="3503"/>
      <c r="G109" s="1941" t="s">
        <v>1874</v>
      </c>
      <c r="H109" s="2747" t="str">
        <f>IF(E109="——","——",H101-H105-H106)</f>
        <v>——</v>
      </c>
      <c r="I109" s="124"/>
    </row>
    <row r="110" spans="1:35" ht="18.75" customHeight="1">
      <c r="A110" s="124"/>
      <c r="B110" s="124"/>
      <c r="C110" s="124"/>
      <c r="D110" s="124"/>
      <c r="E110" s="3531"/>
      <c r="F110" s="3503"/>
      <c r="G110" s="1941" t="s">
        <v>1876</v>
      </c>
      <c r="H110" s="2704" t="str">
        <f>IF(H109="——","——",ROUND(H109*10000/'数据-汇总表'!E3,0))</f>
        <v>——</v>
      </c>
      <c r="I110" s="124"/>
    </row>
    <row r="111" spans="1:35" ht="18.75" customHeight="1">
      <c r="A111" s="124"/>
      <c r="B111" s="124"/>
      <c r="C111" s="124"/>
      <c r="D111" s="124"/>
      <c r="E111" s="3532" t="str">
        <f>IF(项目基本情况!E9="抵押净值",IF(OR(项目基本情况!E8="已注销",项目基本情况!E8="房地产抵押价值"),"4.抵押净值","5.抵押净值"),"——")</f>
        <v>——</v>
      </c>
      <c r="F111" s="3518"/>
      <c r="G111" s="1941" t="s">
        <v>1874</v>
      </c>
      <c r="H111" s="2744" t="str">
        <f>IF(E111="——","——",N59)</f>
        <v>——</v>
      </c>
      <c r="I111" s="124"/>
    </row>
    <row r="112" spans="1:35" ht="18.75" customHeight="1" thickBot="1">
      <c r="A112" s="124"/>
      <c r="B112" s="124"/>
      <c r="C112" s="124"/>
      <c r="D112" s="124"/>
      <c r="E112" s="3533"/>
      <c r="F112" s="3534"/>
      <c r="G112" s="1944" t="s">
        <v>1876</v>
      </c>
      <c r="H112" s="2748" t="str">
        <f>IF(E111="——","——",N61)</f>
        <v>——</v>
      </c>
      <c r="I112" s="124"/>
    </row>
    <row r="113" spans="1:27" ht="18.75" customHeight="1">
      <c r="A113" s="124"/>
      <c r="B113" s="124"/>
      <c r="C113" s="124"/>
      <c r="D113" s="124"/>
      <c r="E113" s="3541" t="s">
        <v>1882</v>
      </c>
      <c r="F113" s="3541"/>
      <c r="G113" s="3541"/>
      <c r="H113" s="3541"/>
      <c r="I113" s="124"/>
    </row>
    <row r="114" spans="1:27" ht="3.75" customHeight="1">
      <c r="A114" s="1861"/>
      <c r="B114" s="1861"/>
      <c r="C114" s="1861"/>
      <c r="D114" s="1861"/>
      <c r="E114" s="1923"/>
      <c r="F114" s="1923"/>
      <c r="G114" s="1923"/>
      <c r="H114" s="1923"/>
      <c r="I114" s="1861"/>
    </row>
    <row r="115" spans="1:27" ht="18.75" customHeight="1">
      <c r="A115" s="3551" t="s">
        <v>1884</v>
      </c>
      <c r="B115" s="3552"/>
      <c r="C115" s="3552"/>
      <c r="D115" s="3552"/>
      <c r="E115" s="3552"/>
      <c r="F115" s="3552"/>
      <c r="G115" s="3552"/>
      <c r="H115" s="3552"/>
      <c r="I115" s="3553"/>
    </row>
    <row r="116" spans="1:27" ht="27" customHeight="1">
      <c r="A116" s="3510" t="s">
        <v>1885</v>
      </c>
      <c r="B116" s="3480" t="s">
        <v>1886</v>
      </c>
      <c r="C116" s="3480" t="s">
        <v>1887</v>
      </c>
      <c r="D116" s="3482" t="s">
        <v>1888</v>
      </c>
      <c r="E116" s="3483"/>
      <c r="F116" s="3484" t="s">
        <v>1889</v>
      </c>
      <c r="G116" s="3484"/>
      <c r="H116" s="3510" t="s">
        <v>1890</v>
      </c>
      <c r="I116" s="3510"/>
    </row>
    <row r="117" spans="1:27" ht="18.75" customHeight="1">
      <c r="A117" s="3510"/>
      <c r="B117" s="3481"/>
      <c r="C117" s="3481"/>
      <c r="D117" s="3298" t="s">
        <v>1891</v>
      </c>
      <c r="E117" s="3298" t="s">
        <v>1892</v>
      </c>
      <c r="F117" s="3298" t="s">
        <v>1891</v>
      </c>
      <c r="G117" s="3298" t="s">
        <v>1893</v>
      </c>
      <c r="H117" s="3298" t="s">
        <v>1891</v>
      </c>
      <c r="I117" s="3298" t="s">
        <v>1893</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12644</v>
      </c>
      <c r="E118" s="3298">
        <f ca="1">ROUND(IF(C33="自定义",IF(D32="楼面单价",C34,D118*10000/B118),I118-G118),0)</f>
        <v>2122</v>
      </c>
      <c r="F118" s="3298">
        <f ca="1">ROUND(IF(D32="总价",C35,G118*B118/10000),0)</f>
        <v>6060</v>
      </c>
      <c r="G118" s="3298">
        <f ca="1">ROUND(IF(D32="楼面单价",C35,F118*10000/B118),0)</f>
        <v>1017</v>
      </c>
      <c r="H118" s="3298">
        <f ca="1">ROUND(IF(D32="总价",C32,I118*B118/10000),0)</f>
        <v>18704</v>
      </c>
      <c r="I118" s="3298">
        <f ca="1">ROUND(IF(D32="楼面单价",C32,H118*10000/B118),0)</f>
        <v>3139</v>
      </c>
    </row>
    <row r="119" spans="1:27" ht="18.75" customHeight="1">
      <c r="A119" s="3510" t="s">
        <v>1894</v>
      </c>
      <c r="B119" s="3510"/>
      <c r="C119" s="3510"/>
      <c r="D119" s="3514" t="str">
        <f ca="1">NUMBERSTRING(INT(D118*10000),2)&amp;"元整"</f>
        <v>壹亿贰仟陆佰肆拾肆万元整</v>
      </c>
      <c r="E119" s="3515"/>
      <c r="F119" s="3514" t="str">
        <f ca="1">NUMBERSTRING(INT(F118*10000),2)&amp;"元整"</f>
        <v>陆仟零陆拾万元整</v>
      </c>
      <c r="G119" s="3515"/>
      <c r="H119" s="3514" t="str">
        <f ca="1">NUMBERSTRING(INT(H118*10000),2)&amp;"元整"</f>
        <v>壹亿捌仟柒佰零肆万元整</v>
      </c>
      <c r="I119" s="3515"/>
    </row>
    <row r="120" spans="1:27" ht="18.75" customHeight="1">
      <c r="A120" s="3511" t="str">
        <f>IF(项目基本情况!B9="房地产市场价值","",MID(E103,3,LEN(E103)-2))</f>
        <v>估价师知悉的法定优先受偿款</v>
      </c>
      <c r="B120" s="3512"/>
      <c r="C120" s="3513"/>
      <c r="D120" s="3511">
        <f>H103</f>
        <v>0</v>
      </c>
      <c r="E120" s="3512"/>
      <c r="F120" s="3512"/>
      <c r="G120" s="3512"/>
      <c r="H120" s="3512"/>
      <c r="I120" s="351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8" t="s">
        <v>1894</v>
      </c>
      <c r="B121" s="3549"/>
      <c r="C121" s="3550"/>
      <c r="D121" s="3514" t="str">
        <f>IF(D120=0,"零元整",NUMBERSTRING(INT(D120*10000),2)&amp;"元整")</f>
        <v>零元整</v>
      </c>
      <c r="E121" s="3516"/>
      <c r="F121" s="3516"/>
      <c r="G121" s="3516"/>
      <c r="H121" s="3516"/>
      <c r="I121" s="3515"/>
      <c r="AA121" s="720"/>
    </row>
    <row r="122" spans="1:27" ht="18.75" customHeight="1">
      <c r="A122" s="3518" t="str">
        <f>IF(项目基本情况!B9="房地产市场价值","",MID(E107,3,LEN(E107)-2))</f>
        <v>房地产抵押价值</v>
      </c>
      <c r="B122" s="3518"/>
      <c r="C122" s="3518"/>
      <c r="D122" s="3511">
        <f ca="1">H107</f>
        <v>18704</v>
      </c>
      <c r="E122" s="3512"/>
      <c r="F122" s="3512"/>
      <c r="G122" s="3512"/>
      <c r="H122" s="3512"/>
      <c r="I122" s="3513"/>
      <c r="AA122" s="720"/>
    </row>
    <row r="123" spans="1:27" ht="18.75" customHeight="1">
      <c r="A123" s="3510" t="s">
        <v>1894</v>
      </c>
      <c r="B123" s="3510"/>
      <c r="C123" s="3510"/>
      <c r="D123" s="3514" t="str">
        <f ca="1">NUMBERSTRING(INT(D122*10000),2)&amp;"元整"</f>
        <v>壹亿捌仟柒佰零肆万元整</v>
      </c>
      <c r="E123" s="3516"/>
      <c r="F123" s="3516"/>
      <c r="G123" s="3516"/>
      <c r="H123" s="3516"/>
      <c r="I123" s="3515"/>
      <c r="AA123" s="720"/>
    </row>
    <row r="124" spans="1:27" ht="18.75" customHeight="1">
      <c r="A124" s="3518" t="str">
        <f>IF(项目基本情况!B9="房地产市场价值","",MID(E109,3,LEN(E109)-2))</f>
        <v/>
      </c>
      <c r="B124" s="3518"/>
      <c r="C124" s="3518"/>
      <c r="D124" s="3511" t="str">
        <f>H109</f>
        <v>——</v>
      </c>
      <c r="E124" s="3512"/>
      <c r="F124" s="3512"/>
      <c r="G124" s="3512"/>
      <c r="H124" s="3512"/>
      <c r="I124" s="3513"/>
      <c r="AA124" s="720"/>
    </row>
    <row r="125" spans="1:27" ht="18.75" customHeight="1">
      <c r="A125" s="3510" t="s">
        <v>1894</v>
      </c>
      <c r="B125" s="3510"/>
      <c r="C125" s="3510"/>
      <c r="D125" s="3514" t="e">
        <f>NUMBERSTRING(INT(D124*10000),2)&amp;"元整"</f>
        <v>#VALUE!</v>
      </c>
      <c r="E125" s="3516"/>
      <c r="F125" s="3516"/>
      <c r="G125" s="3516"/>
      <c r="H125" s="3516"/>
      <c r="I125" s="3515"/>
      <c r="AA125" s="720"/>
    </row>
    <row r="126" spans="1:27" ht="18.75" customHeight="1">
      <c r="A126" s="3518" t="str">
        <f>IF(项目基本情况!B9="房地产市场价值","",MID(E111,3,LEN(E111)-2))</f>
        <v/>
      </c>
      <c r="B126" s="3518"/>
      <c r="C126" s="3518"/>
      <c r="D126" s="3511" t="str">
        <f>H111</f>
        <v>——</v>
      </c>
      <c r="E126" s="3512"/>
      <c r="F126" s="3512"/>
      <c r="G126" s="3512"/>
      <c r="H126" s="3512"/>
      <c r="I126" s="3513"/>
      <c r="AA126" s="720"/>
    </row>
    <row r="127" spans="1:27" ht="18.75" customHeight="1">
      <c r="A127" s="3510" t="s">
        <v>1894</v>
      </c>
      <c r="B127" s="3510"/>
      <c r="C127" s="3510"/>
      <c r="D127" s="3514" t="e">
        <f>NUMBERSTRING(INT(D126*10000),2)&amp;"元整"</f>
        <v>#VALUE!</v>
      </c>
      <c r="E127" s="3516"/>
      <c r="F127" s="3516"/>
      <c r="G127" s="3516"/>
      <c r="H127" s="3516"/>
      <c r="I127" s="3515"/>
      <c r="AA127" s="720"/>
    </row>
    <row r="128" spans="1:27" ht="21.75" customHeight="1">
      <c r="A128" s="3517" t="s">
        <v>1895</v>
      </c>
      <c r="B128" s="3517"/>
      <c r="C128" s="3517"/>
      <c r="D128" s="3517"/>
      <c r="E128" s="3517"/>
      <c r="F128" s="3517"/>
      <c r="G128" s="3517"/>
      <c r="H128" s="3517"/>
      <c r="I128" s="3517"/>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48</v>
      </c>
      <c r="C1" s="194"/>
      <c r="D1" s="194"/>
      <c r="E1" s="194"/>
      <c r="F1" s="194"/>
      <c r="G1" s="1220">
        <f>MATCH(B1,'数据-取费表'!A6:A16,0)+5</f>
        <v>8</v>
      </c>
    </row>
    <row r="2" spans="1:9" s="196" customFormat="1" ht="18" customHeight="1">
      <c r="A2" s="197" t="s">
        <v>1115</v>
      </c>
      <c r="B2" s="198">
        <f ca="1">IF(D2="——",C52,C52-E2)</f>
        <v>28937</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4857</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3870</v>
      </c>
      <c r="D5" s="207" t="s">
        <v>1911</v>
      </c>
      <c r="E5" s="208" t="s">
        <v>1912</v>
      </c>
      <c r="F5" s="208" t="s">
        <v>1913</v>
      </c>
      <c r="G5" s="209"/>
    </row>
    <row r="6" spans="1:9" s="210" customFormat="1" ht="13.5" customHeight="1">
      <c r="A6" s="847" t="s">
        <v>610</v>
      </c>
      <c r="B6" s="211" t="s">
        <v>1915</v>
      </c>
      <c r="C6" s="212">
        <f>'土地比较法-住宅、综合'!F62</f>
        <v>2657</v>
      </c>
      <c r="D6" s="213"/>
      <c r="E6" s="214"/>
      <c r="F6" s="214"/>
      <c r="G6" s="215"/>
    </row>
    <row r="7" spans="1:9" s="210" customFormat="1" ht="13.5" customHeight="1">
      <c r="A7" s="847" t="s">
        <v>611</v>
      </c>
      <c r="B7" s="211" t="s">
        <v>1917</v>
      </c>
      <c r="C7" s="216">
        <f>ROUND(C6*F7,0)</f>
        <v>81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1132</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59578.47</v>
      </c>
      <c r="E19" s="207">
        <f>'数据-取费表'!B31</f>
        <v>200</v>
      </c>
      <c r="F19" s="227"/>
      <c r="G19" s="1970" t="s">
        <v>3649</v>
      </c>
    </row>
    <row r="20" spans="1:7" s="210" customFormat="1" ht="13.5" customHeight="1">
      <c r="A20" s="251" t="s">
        <v>1935</v>
      </c>
      <c r="B20" s="206" t="s">
        <v>1936</v>
      </c>
      <c r="C20" s="228">
        <f ca="1">ROUND((C5+C19)*F20,0)</f>
        <v>77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513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508</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197</v>
      </c>
      <c r="D27" s="231">
        <f ca="1">C29</f>
        <v>1E-3</v>
      </c>
      <c r="E27" s="232" t="s">
        <v>1940</v>
      </c>
      <c r="F27" s="242">
        <f ca="1">IF(B1="",'数据-取费表'!Q16,INDIRECT("'数据-取费表'!q"&amp;$G$1))</f>
        <v>0.05</v>
      </c>
      <c r="G27" s="243" t="s">
        <v>1957</v>
      </c>
    </row>
    <row r="28" spans="1:7" s="210" customFormat="1" ht="13.5" customHeight="1">
      <c r="A28" s="849" t="s">
        <v>610</v>
      </c>
      <c r="B28" s="244" t="s">
        <v>1958</v>
      </c>
      <c r="C28" s="245">
        <f ca="1">ROUND((C5+C19+C20)*F27*'数据-取费表'!B21/'数据-取费表'!B20,0)</f>
        <v>197</v>
      </c>
      <c r="D28" s="231"/>
      <c r="E28" s="232"/>
      <c r="F28" s="242"/>
      <c r="G28" s="243"/>
    </row>
    <row r="29" spans="1:7" s="210" customFormat="1" ht="13.5" customHeight="1">
      <c r="A29" s="849" t="s">
        <v>611</v>
      </c>
      <c r="B29" s="244" t="s">
        <v>1959</v>
      </c>
      <c r="C29" s="234">
        <f ca="1">ROUND(C21*F27*'数据-取费表'!B21/'数据-取费表'!B20,4)</f>
        <v>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5033</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19870</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1968</v>
      </c>
    </row>
    <row r="35" spans="1:7" ht="13.5" customHeight="1">
      <c r="A35" s="849" t="s">
        <v>615</v>
      </c>
      <c r="B35" s="211" t="s">
        <v>1969</v>
      </c>
      <c r="C35" s="216">
        <f ca="1">ROUND(C34*F35,0)</f>
        <v>536</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1192</v>
      </c>
      <c r="D37" s="213">
        <f ca="1">D19</f>
        <v>59578.47</v>
      </c>
      <c r="E37" s="245">
        <f>'数据-取费表'!B35</f>
        <v>200</v>
      </c>
      <c r="F37" s="255"/>
      <c r="G37" s="257" t="s">
        <v>1974</v>
      </c>
    </row>
    <row r="38" spans="1:7" ht="13.5" customHeight="1">
      <c r="A38" s="849" t="s">
        <v>618</v>
      </c>
      <c r="B38" s="211" t="s">
        <v>1975</v>
      </c>
      <c r="C38" s="216">
        <f ca="1">ROUND(C34*F38,0)</f>
        <v>268</v>
      </c>
      <c r="D38" s="216"/>
      <c r="E38" s="216"/>
      <c r="F38" s="255">
        <f>'数据-取费表'!B36</f>
        <v>1.4999999999999999E-2</v>
      </c>
      <c r="G38" s="215" t="s">
        <v>1970</v>
      </c>
    </row>
    <row r="39" spans="1:7" s="210" customFormat="1" ht="13.5" customHeight="1">
      <c r="A39" s="251" t="s">
        <v>1933</v>
      </c>
      <c r="B39" s="206" t="s">
        <v>1936</v>
      </c>
      <c r="C39" s="228">
        <f ca="1">ROUND(C33*F20,0)</f>
        <v>397</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1290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1265</v>
      </c>
      <c r="D42" s="234"/>
      <c r="E42" s="234"/>
      <c r="F42" s="235"/>
      <c r="G42" s="3629" t="s">
        <v>1986</v>
      </c>
    </row>
    <row r="43" spans="1:7" ht="13.5" customHeight="1">
      <c r="A43" s="849" t="s">
        <v>611</v>
      </c>
      <c r="B43" s="211" t="s">
        <v>1948</v>
      </c>
      <c r="C43" s="234">
        <f ca="1">ROUND(IF('数据-取费表'!B22&lt;=1,C39*F22*'数据-取费表'!B21/2,C39*(POWER((1+F22),'数据-取费表'!B21/2)-1)),0)</f>
        <v>25</v>
      </c>
      <c r="D43" s="234"/>
      <c r="E43" s="234"/>
      <c r="F43" s="235"/>
      <c r="G43" s="3630"/>
    </row>
    <row r="44" spans="1:7" ht="13.5" customHeight="1">
      <c r="A44" s="849" t="s">
        <v>612</v>
      </c>
      <c r="B44" s="211" t="s">
        <v>1951</v>
      </c>
      <c r="C44" s="234">
        <f ca="1">ROUND(IF('数据-取费表'!B22&lt;=1,C40*F22*'数据-取费表'!B21/2,C40*(POWER((1+F22),'数据-取费表'!B21/2)-1)),4)</f>
        <v>1.2999999999999999E-3</v>
      </c>
      <c r="D44" s="234"/>
      <c r="E44" s="234"/>
      <c r="F44" s="235"/>
      <c r="G44" s="3631"/>
    </row>
    <row r="45" spans="1:7" s="210" customFormat="1" ht="13.5" customHeight="1">
      <c r="A45" s="251" t="s">
        <v>1942</v>
      </c>
      <c r="B45" s="240" t="s">
        <v>1955</v>
      </c>
      <c r="C45" s="241">
        <f ca="1">C46</f>
        <v>1013</v>
      </c>
      <c r="D45" s="231">
        <f ca="1">C47</f>
        <v>1E-3</v>
      </c>
      <c r="E45" s="232" t="s">
        <v>1981</v>
      </c>
      <c r="F45" s="2465">
        <f ca="1">F27</f>
        <v>0.05</v>
      </c>
      <c r="G45" s="243" t="s">
        <v>1990</v>
      </c>
    </row>
    <row r="46" spans="1:7" s="210" customFormat="1" ht="13.5" customHeight="1">
      <c r="A46" s="849" t="s">
        <v>610</v>
      </c>
      <c r="B46" s="244" t="s">
        <v>1991</v>
      </c>
      <c r="C46" s="245">
        <f ca="1">ROUND((C33+C39)*F27,0)</f>
        <v>1013</v>
      </c>
      <c r="D46" s="259"/>
      <c r="E46" s="232"/>
      <c r="F46" s="242"/>
      <c r="G46" s="243"/>
    </row>
    <row r="47" spans="1:7" s="210" customFormat="1" ht="13.5" customHeight="1">
      <c r="A47" s="849" t="s">
        <v>611</v>
      </c>
      <c r="B47" s="244" t="s">
        <v>1992</v>
      </c>
      <c r="C47" s="234">
        <f ca="1">ROUND(C40*F27,4)</f>
        <v>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24392</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23904</v>
      </c>
      <c r="D51" s="228"/>
      <c r="E51" s="228"/>
      <c r="F51" s="260"/>
      <c r="G51" s="230" t="s">
        <v>2002</v>
      </c>
    </row>
    <row r="52" spans="1:7" s="204" customFormat="1" ht="16.5" thickBot="1">
      <c r="A52" s="261" t="s">
        <v>2003</v>
      </c>
      <c r="B52" s="262"/>
      <c r="C52" s="263">
        <f ca="1">C31+C51</f>
        <v>28937</v>
      </c>
      <c r="D52" s="262"/>
      <c r="E52" s="262"/>
      <c r="F52" s="262"/>
      <c r="G52" s="264"/>
    </row>
    <row r="55" spans="1:7" ht="15.5">
      <c r="B55" s="266" t="s">
        <v>2004</v>
      </c>
      <c r="C55" s="267"/>
    </row>
    <row r="56" spans="1:7" ht="13">
      <c r="B56" s="269" t="s">
        <v>1234</v>
      </c>
      <c r="C56" s="271">
        <f ca="1">1-C57</f>
        <v>0.17400000000000004</v>
      </c>
    </row>
    <row r="57" spans="1:7" ht="13">
      <c r="B57" s="269" t="s">
        <v>1235</v>
      </c>
      <c r="C57" s="270">
        <f ca="1">ROUND(C51/C52,3)</f>
        <v>0.82599999999999996</v>
      </c>
    </row>
  </sheetData>
  <sheetProtection password="CEE9" sheet="1" objects="1" scenarios="1" formatCells="0"/>
  <mergeCells count="1">
    <mergeCell ref="G42:G44"/>
  </mergeCells>
  <phoneticPr fontId="143"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B491-5437-4F5B-86A0-A49F58FBA411}">
  <sheetPr>
    <tabColor rgb="FF92D050"/>
  </sheetPr>
  <dimension ref="A1:AK83"/>
  <sheetViews>
    <sheetView view="pageBreakPreview" topLeftCell="A7" zoomScale="70" zoomScaleNormal="70" zoomScaleSheetLayoutView="70" workbookViewId="0">
      <selection activeCell="F7" sqref="F7"/>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27</v>
      </c>
      <c r="D1" s="1475" t="s">
        <v>70</v>
      </c>
      <c r="E1" s="1476" t="s">
        <v>1108</v>
      </c>
      <c r="F1" s="1153">
        <f ca="1">J53</f>
        <v>43.23</v>
      </c>
      <c r="G1" s="1491">
        <f>MATCH(C1,'数据-取费表'!A6:A16,0)+5</f>
        <v>9</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109727</v>
      </c>
      <c r="C2" s="1500" t="s">
        <v>1237</v>
      </c>
      <c r="D2" s="1500"/>
      <c r="E2" s="1501"/>
      <c r="F2" s="1502"/>
      <c r="G2" s="2857"/>
      <c r="H2" s="2846"/>
      <c r="I2" s="2846"/>
      <c r="J2" s="2846"/>
      <c r="K2" s="2847"/>
      <c r="L2" s="2846"/>
      <c r="M2" s="2846"/>
    </row>
    <row r="3" spans="1:37" ht="18" customHeight="1" thickBot="1">
      <c r="A3" s="1503" t="s">
        <v>1238</v>
      </c>
      <c r="B3" s="1504">
        <f ca="1">IF(ISERROR(B2*10000/F43),0,ROUND(B2*10000/F43,0))</f>
        <v>15900</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6431</v>
      </c>
      <c r="D5" s="1477" t="s">
        <v>1123</v>
      </c>
      <c r="E5" s="1163"/>
      <c r="F5" s="1164"/>
      <c r="G5" s="1497"/>
      <c r="H5" s="295">
        <v>1</v>
      </c>
      <c r="I5" s="296" t="s">
        <v>1122</v>
      </c>
      <c r="J5" s="1162">
        <f ca="1">J6+J10+J12</f>
        <v>0</v>
      </c>
      <c r="K5" s="1477" t="s">
        <v>1123</v>
      </c>
      <c r="L5" s="1163"/>
      <c r="M5" s="1164"/>
    </row>
    <row r="6" spans="1:37" ht="18" customHeight="1">
      <c r="A6" s="1161" t="s">
        <v>822</v>
      </c>
      <c r="B6" s="3655" t="s">
        <v>1124</v>
      </c>
      <c r="C6" s="1166">
        <f ca="1">ROUND(F6*F8*F7*(1-F9)/10000,0)</f>
        <v>6423</v>
      </c>
      <c r="D6" s="150" t="s">
        <v>2604</v>
      </c>
      <c r="E6" s="298" t="s">
        <v>1126</v>
      </c>
      <c r="F6" s="299">
        <f ca="1">INDIRECT("'数据-取费表'!u"&amp;$G$1)</f>
        <v>3</v>
      </c>
      <c r="G6" s="1497"/>
      <c r="H6" s="1161" t="s">
        <v>822</v>
      </c>
      <c r="I6" s="3655" t="s">
        <v>1124</v>
      </c>
      <c r="J6" s="297">
        <f ca="1">ROUND(M6*M8*M7*(1-M9)/10000,0)</f>
        <v>0</v>
      </c>
      <c r="K6" s="150" t="s">
        <v>2603</v>
      </c>
      <c r="L6" s="298" t="s">
        <v>1126</v>
      </c>
      <c r="M6" s="299">
        <f ca="1">INDIRECT("'数据-取费表'!z"&amp;$G$1)</f>
        <v>0</v>
      </c>
    </row>
    <row r="7" spans="1:37" ht="18" customHeight="1">
      <c r="A7" s="1165"/>
      <c r="B7" s="3656"/>
      <c r="C7" s="1167"/>
      <c r="D7" s="303"/>
      <c r="E7" s="3367" t="s">
        <v>1127</v>
      </c>
      <c r="F7" s="299">
        <f ca="1">IF(INDIRECT("'数据-取费表'!ah"&amp;$G$1)="",INDIRECT("'数据-取费表'!k"&amp;$G$1),INDIRECT("'数据-取费表'!ah"&amp;$G$1))</f>
        <v>69011.599999999991</v>
      </c>
      <c r="G7" s="1497"/>
      <c r="H7" s="300"/>
      <c r="I7" s="3656"/>
      <c r="J7" s="302"/>
      <c r="K7" s="303"/>
      <c r="L7" s="298" t="s">
        <v>1127</v>
      </c>
      <c r="M7" s="299">
        <f ca="1">F7</f>
        <v>69011.599999999991</v>
      </c>
    </row>
    <row r="8" spans="1:37" ht="18" customHeight="1">
      <c r="A8" s="300"/>
      <c r="B8" s="3656"/>
      <c r="C8" s="302"/>
      <c r="D8" s="303"/>
      <c r="E8" s="298" t="s">
        <v>1128</v>
      </c>
      <c r="F8" s="299">
        <f ca="1">INDIRECT("'数据-取费表'!ai"&amp;$G$1)</f>
        <v>365</v>
      </c>
      <c r="G8" s="1497"/>
      <c r="H8" s="300"/>
      <c r="I8" s="3656"/>
      <c r="J8" s="302"/>
      <c r="K8" s="303"/>
      <c r="L8" s="298" t="s">
        <v>1128</v>
      </c>
      <c r="M8" s="299">
        <f ca="1">INDIRECT("'数据-取费表'!ai"&amp;$G$1)</f>
        <v>365</v>
      </c>
    </row>
    <row r="9" spans="1:37" ht="18" customHeight="1">
      <c r="A9" s="300"/>
      <c r="B9" s="3657"/>
      <c r="C9" s="302"/>
      <c r="D9" s="303"/>
      <c r="E9" s="298" t="s">
        <v>1129</v>
      </c>
      <c r="F9" s="308">
        <f ca="1">INDIRECT("'数据-取费表'!w"&amp;$G$1)</f>
        <v>0.15</v>
      </c>
      <c r="G9" s="1497"/>
      <c r="H9" s="300"/>
      <c r="I9" s="3657"/>
      <c r="J9" s="302"/>
      <c r="K9" s="303"/>
      <c r="L9" s="309" t="s">
        <v>1129</v>
      </c>
      <c r="M9" s="310">
        <f ca="1">INDIRECT("'数据-取费表'!ab"&amp;$G$1)</f>
        <v>0</v>
      </c>
    </row>
    <row r="10" spans="1:37" ht="18" customHeight="1">
      <c r="A10" s="1161" t="s">
        <v>826</v>
      </c>
      <c r="B10" s="1478" t="s">
        <v>1130</v>
      </c>
      <c r="C10" s="312">
        <f ca="1">ROUND(IF(F10="押一",C6/12*F11,IF(F10="押二",C6/12*2*F11,IF(F10="押三",C6/12*3*F11,C11*F11))),0)</f>
        <v>8</v>
      </c>
      <c r="D10" s="1479" t="s">
        <v>2611</v>
      </c>
      <c r="E10" s="309" t="s">
        <v>1131</v>
      </c>
      <c r="F10" s="1208" t="s">
        <v>3340</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41398</v>
      </c>
      <c r="D13" s="3364" t="s">
        <v>1136</v>
      </c>
      <c r="E13" s="3364"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27605</v>
      </c>
      <c r="D14" s="3370" t="s">
        <v>1139</v>
      </c>
      <c r="E14" s="3369"/>
      <c r="F14" s="315"/>
      <c r="G14" s="1497"/>
      <c r="H14" s="1074" t="s">
        <v>822</v>
      </c>
      <c r="I14" s="298" t="s">
        <v>1140</v>
      </c>
      <c r="J14" s="24">
        <f ca="1">C29</f>
        <v>42243</v>
      </c>
      <c r="K14" s="3366"/>
      <c r="L14" s="877"/>
      <c r="M14" s="878"/>
    </row>
    <row r="15" spans="1:37" s="1510" customFormat="1" ht="18" customHeight="1" thickBot="1">
      <c r="A15" s="1074" t="s">
        <v>823</v>
      </c>
      <c r="B15" s="298" t="s">
        <v>1141</v>
      </c>
      <c r="C15" s="24">
        <f ca="1">ROUND(C14*F15,0)</f>
        <v>828</v>
      </c>
      <c r="D15" s="3365" t="s">
        <v>1142</v>
      </c>
      <c r="E15" s="3365"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991</v>
      </c>
      <c r="K16" s="1179" t="s">
        <v>1146</v>
      </c>
      <c r="L16" s="3372"/>
      <c r="M16" s="1164"/>
    </row>
    <row r="17" spans="1:37" s="1510" customFormat="1" ht="18" customHeight="1">
      <c r="A17" s="1074" t="s">
        <v>1111</v>
      </c>
      <c r="B17" s="298" t="s">
        <v>1147</v>
      </c>
      <c r="C17" s="24">
        <f ca="1">ROUND(F17*(F43+INDIRECT("'数据-取费表'!S"&amp;$G$1))/10000,0)</f>
        <v>1380</v>
      </c>
      <c r="D17" s="298" t="s">
        <v>1148</v>
      </c>
      <c r="E17" s="298" t="s">
        <v>1149</v>
      </c>
      <c r="F17" s="26">
        <f>'数据-取费表'!B35</f>
        <v>200</v>
      </c>
      <c r="G17" s="1509"/>
      <c r="H17" s="1074" t="s">
        <v>822</v>
      </c>
      <c r="I17" s="298" t="s">
        <v>1150</v>
      </c>
      <c r="J17" s="2462">
        <f ca="1">ROUND(IF(AND(项目基本情况!B11="自然人",项目基本情况!B10="北京市"),J6*M17/(1+'数据-取费表'!C42),J18+J19+J20),0)</f>
        <v>357</v>
      </c>
      <c r="K17" s="3370" t="s">
        <v>1151</v>
      </c>
      <c r="L17" s="3371"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414</v>
      </c>
      <c r="D18" s="298" t="s">
        <v>1142</v>
      </c>
      <c r="E18" s="298" t="s">
        <v>1143</v>
      </c>
      <c r="F18" s="318">
        <f>'数据-取费表'!B36</f>
        <v>1.4999999999999999E-2</v>
      </c>
      <c r="G18" s="1509"/>
      <c r="H18" s="1074" t="s">
        <v>821</v>
      </c>
      <c r="I18" s="298" t="s">
        <v>1154</v>
      </c>
      <c r="J18" s="24">
        <f ca="1">ROUND(J6*M18/(1+'数据-取费表'!C42),2)</f>
        <v>0</v>
      </c>
      <c r="K18" s="3371"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30227</v>
      </c>
      <c r="D19" s="126" t="s">
        <v>1157</v>
      </c>
      <c r="E19" s="3374"/>
      <c r="F19" s="26"/>
      <c r="G19" s="1497"/>
      <c r="H19" s="1074" t="s">
        <v>823</v>
      </c>
      <c r="I19" s="298" t="s">
        <v>1158</v>
      </c>
      <c r="J19" s="24">
        <f ca="1">IF(K19="按租金收入计税",ROUND(J6*M19/(1+'数据-取费表'!C42),2),ROUND(C29*M19*0.7,2))</f>
        <v>354.84</v>
      </c>
      <c r="K19" s="1483" t="s">
        <v>1159</v>
      </c>
      <c r="L19" s="298" t="s">
        <v>1143</v>
      </c>
      <c r="M19" s="318">
        <f>IF(K19="按租金收入计税",'数据-取费表'!B51,'数据-取费表'!B50)</f>
        <v>1.2E-2</v>
      </c>
    </row>
    <row r="20" spans="1:37" s="1510" customFormat="1" ht="18" customHeight="1">
      <c r="A20" s="1074" t="s">
        <v>826</v>
      </c>
      <c r="B20" s="298" t="s">
        <v>1160</v>
      </c>
      <c r="C20" s="24">
        <f ca="1">ROUND(C19*F20,0)</f>
        <v>605</v>
      </c>
      <c r="D20" s="319" t="s">
        <v>1161</v>
      </c>
      <c r="E20" s="298" t="s">
        <v>1143</v>
      </c>
      <c r="F20" s="318">
        <f>'数据-取费表'!B37</f>
        <v>0.02</v>
      </c>
      <c r="G20" s="1509"/>
      <c r="H20" s="1074" t="s">
        <v>1110</v>
      </c>
      <c r="I20" s="150" t="s">
        <v>1162</v>
      </c>
      <c r="J20" s="25">
        <f ca="1">ROUND(M20*M21/10000,2)</f>
        <v>2.1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14006.09</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374"/>
      <c r="F22" s="26"/>
      <c r="G22" s="1497"/>
      <c r="H22" s="1074" t="s">
        <v>826</v>
      </c>
      <c r="I22" s="298" t="s">
        <v>1170</v>
      </c>
      <c r="J22" s="24">
        <f ca="1">ROUND(J14*M22,1)</f>
        <v>633.6</v>
      </c>
      <c r="K22" s="3371"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1963</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371"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374"/>
      <c r="F25" s="26"/>
      <c r="G25" s="1497"/>
      <c r="H25" s="1171" t="s">
        <v>818</v>
      </c>
      <c r="I25" s="1186" t="s">
        <v>1184</v>
      </c>
      <c r="J25" s="306">
        <f ca="1">J5-J16</f>
        <v>-991</v>
      </c>
      <c r="K25" s="1187" t="s">
        <v>1185</v>
      </c>
      <c r="L25" s="1188"/>
      <c r="M25" s="1189"/>
    </row>
    <row r="26" spans="1:37" ht="13">
      <c r="A26" s="1074" t="s">
        <v>821</v>
      </c>
      <c r="B26" s="298" t="s">
        <v>1186</v>
      </c>
      <c r="C26" s="24">
        <f ca="1">ROUND((C19+C20)*F26,0)</f>
        <v>6166</v>
      </c>
      <c r="D26" s="319" t="s">
        <v>1187</v>
      </c>
      <c r="E26" s="309" t="s">
        <v>1188</v>
      </c>
      <c r="F26" s="308">
        <f ca="1">INDIRECT("'数据-取费表'!q"&amp;$G$1)</f>
        <v>0.2</v>
      </c>
      <c r="G26" s="1497"/>
      <c r="H26" s="295" t="s">
        <v>819</v>
      </c>
      <c r="I26" s="296" t="s">
        <v>1189</v>
      </c>
      <c r="J26" s="297">
        <f ca="1">IF(J5&lt;&gt;0,ROUND(J25*(1-((1+M28)/(1+M26))^M27)/(M26-M28),0),0)</f>
        <v>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365"/>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42243</v>
      </c>
      <c r="D29" s="1184"/>
      <c r="E29" s="1182"/>
      <c r="F29" s="1185"/>
      <c r="G29" s="1509"/>
      <c r="H29" s="330" t="s">
        <v>820</v>
      </c>
      <c r="I29" s="331" t="s">
        <v>1200</v>
      </c>
      <c r="J29" s="332">
        <f ca="1">ROUND(J26/(1+F40)^F41,0)</f>
        <v>0</v>
      </c>
      <c r="K29" s="333" t="s">
        <v>1201</v>
      </c>
      <c r="L29" s="334"/>
      <c r="M29" s="335">
        <f ca="1">INDIRECT("'数据-取费表'!k"&amp;$G$1)</f>
        <v>69011.599999999991</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1812</v>
      </c>
      <c r="D30" s="1179" t="s">
        <v>1146</v>
      </c>
      <c r="E30" s="3372"/>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1073</v>
      </c>
      <c r="D31" s="3370" t="s">
        <v>1151</v>
      </c>
      <c r="E31" s="3371"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336.44</v>
      </c>
      <c r="D32" s="3371"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734.06</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2.1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14006.09</v>
      </c>
      <c r="G35" s="1497"/>
      <c r="H35" s="2848"/>
      <c r="I35" s="1511"/>
      <c r="J35" s="1512"/>
      <c r="K35" s="2852"/>
      <c r="L35" s="2851"/>
      <c r="M35" s="2851"/>
    </row>
    <row r="36" spans="1:18" ht="18" customHeight="1">
      <c r="A36" s="1194" t="s">
        <v>826</v>
      </c>
      <c r="B36" s="298" t="s">
        <v>1170</v>
      </c>
      <c r="C36" s="24">
        <f ca="1">ROUND(C29*F36,1)</f>
        <v>633.6</v>
      </c>
      <c r="D36" s="3371"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41.4</v>
      </c>
      <c r="D37" s="3371"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64.3</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4619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109727</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15900</v>
      </c>
      <c r="D43" s="333" t="s">
        <v>1209</v>
      </c>
      <c r="E43" s="334" t="s">
        <v>1210</v>
      </c>
      <c r="F43" s="335">
        <f ca="1">INDIRECT("'数据-取费表'!k"&amp;$G$1)</f>
        <v>69011.599999999991</v>
      </c>
      <c r="G43" s="1497"/>
      <c r="H43" s="1284"/>
      <c r="I43" s="1284"/>
      <c r="J43" s="1284"/>
      <c r="K43" s="2693"/>
      <c r="L43" s="1284"/>
      <c r="M43" s="1284"/>
    </row>
    <row r="44" spans="1:18" s="1497" customFormat="1" ht="18" customHeight="1">
      <c r="A44" s="1513"/>
      <c r="B44" s="1513"/>
      <c r="C44" s="1514"/>
      <c r="D44" s="1513"/>
      <c r="E44" s="1513">
        <f ca="1">F43/F7</f>
        <v>1</v>
      </c>
      <c r="F44" s="1513">
        <f ca="1">C40/F7</f>
        <v>1.5899790759814294</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-178971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109727</v>
      </c>
      <c r="R47" s="1533" t="s">
        <v>1250</v>
      </c>
    </row>
    <row r="48" spans="1:18" s="1497" customFormat="1" ht="43.5" thickBot="1">
      <c r="A48" s="1202" t="s">
        <v>863</v>
      </c>
      <c r="B48" s="296" t="s">
        <v>1122</v>
      </c>
      <c r="C48" s="3373">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42243</v>
      </c>
      <c r="R49" s="1533" t="s">
        <v>1250</v>
      </c>
    </row>
    <row r="50" spans="1:18" s="1497" customFormat="1" ht="13.5" thickBot="1">
      <c r="A50" s="1068"/>
      <c r="B50" s="1071"/>
      <c r="C50" s="1210"/>
      <c r="D50" s="1045"/>
      <c r="E50" s="1147" t="s">
        <v>1127</v>
      </c>
      <c r="F50" s="1148">
        <f ca="1">F7</f>
        <v>69011.599999999991</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32488</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3" t="s">
        <v>1269</v>
      </c>
      <c r="L53" s="3654"/>
      <c r="O53" s="1531" t="s">
        <v>833</v>
      </c>
      <c r="P53" s="1532" t="s">
        <v>1270</v>
      </c>
      <c r="Q53" s="1533">
        <f ca="1">Q47+Q48</f>
        <v>109727</v>
      </c>
      <c r="R53" s="1533" t="s">
        <v>834</v>
      </c>
    </row>
    <row r="54" spans="1:18" s="1497" customFormat="1" ht="26.5" thickBot="1">
      <c r="A54" s="1247"/>
      <c r="B54" s="1480" t="s">
        <v>1109</v>
      </c>
      <c r="C54" s="1051"/>
      <c r="D54" s="1479"/>
      <c r="E54" s="336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36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41398</v>
      </c>
      <c r="D56" s="1560"/>
      <c r="E56" s="1561"/>
      <c r="F56" s="1553"/>
      <c r="I56" s="1562" t="s">
        <v>1275</v>
      </c>
      <c r="J56" s="1563" t="s">
        <v>3173</v>
      </c>
      <c r="K56" s="1534" t="s">
        <v>1276</v>
      </c>
      <c r="L56" s="1537" t="str">
        <f ca="1">IF(L48&lt;J51,"——",L48-J53)</f>
        <v>——</v>
      </c>
      <c r="O56" s="1531" t="s">
        <v>827</v>
      </c>
      <c r="P56" s="1532" t="s">
        <v>1249</v>
      </c>
      <c r="Q56" s="1533">
        <f ca="1">C40+J29</f>
        <v>109727</v>
      </c>
      <c r="R56" s="1533" t="s">
        <v>1250</v>
      </c>
    </row>
    <row r="57" spans="1:18" s="1497" customFormat="1" ht="26.5" thickBot="1">
      <c r="A57" s="1564"/>
      <c r="B57" s="1042" t="s">
        <v>1199</v>
      </c>
      <c r="C57" s="234">
        <f ca="1">C29</f>
        <v>42243</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4226</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3551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3548.41</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2.1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109727</v>
      </c>
      <c r="R62" s="1533" t="s">
        <v>834</v>
      </c>
    </row>
    <row r="63" spans="1:18" s="1497" customFormat="1" ht="13.5" thickBot="1">
      <c r="A63" s="322"/>
      <c r="B63" s="1048"/>
      <c r="C63" s="29"/>
      <c r="D63" s="1058"/>
      <c r="E63" s="1042" t="s">
        <v>1168</v>
      </c>
      <c r="F63" s="299">
        <f t="shared" ca="1" si="0"/>
        <v>14006.09</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633.6</v>
      </c>
      <c r="D64" s="1056" t="s">
        <v>1203</v>
      </c>
      <c r="E64" s="1042" t="s">
        <v>1143</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41.4</v>
      </c>
      <c r="D65" s="1056" t="s">
        <v>1175</v>
      </c>
      <c r="E65" s="1042" t="s">
        <v>1143</v>
      </c>
      <c r="F65" s="326">
        <f t="shared" ca="1" si="0"/>
        <v>1E-3</v>
      </c>
      <c r="I65" s="1575" t="s">
        <v>1300</v>
      </c>
      <c r="J65" s="1576">
        <v>40</v>
      </c>
      <c r="K65" s="1576">
        <v>30</v>
      </c>
      <c r="L65" s="1576">
        <v>50</v>
      </c>
      <c r="M65" s="1578">
        <v>0.02</v>
      </c>
      <c r="O65" s="1531" t="s">
        <v>827</v>
      </c>
      <c r="P65" s="1532" t="s">
        <v>1249</v>
      </c>
      <c r="Q65" s="1533">
        <f ca="1">C40+J29</f>
        <v>109727</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-4226</v>
      </c>
      <c r="D67" s="1055" t="s">
        <v>1185</v>
      </c>
      <c r="E67" s="1060"/>
      <c r="F67" s="1061"/>
      <c r="O67" s="1541" t="s">
        <v>829</v>
      </c>
      <c r="P67" s="1532" t="s">
        <v>1283</v>
      </c>
      <c r="Q67" s="1579">
        <f ca="1">L51</f>
        <v>32488</v>
      </c>
      <c r="R67" s="1533" t="s">
        <v>1303</v>
      </c>
    </row>
    <row r="68" spans="1:18" s="1497" customFormat="1" ht="16" thickBot="1">
      <c r="A68" s="1039" t="s">
        <v>819</v>
      </c>
      <c r="B68" s="1040" t="s">
        <v>1206</v>
      </c>
      <c r="C68" s="297">
        <f ca="1">ROUND(C67*(1-((1+F70)/(1+F68))^F69)/(F68-F70),0)</f>
        <v>-69244</v>
      </c>
      <c r="D68" s="1057" t="s">
        <v>1190</v>
      </c>
      <c r="E68" s="1042" t="s">
        <v>1191</v>
      </c>
      <c r="F68" s="308">
        <f ca="1">F40</f>
        <v>5.5E-2</v>
      </c>
      <c r="O68" s="1541" t="s">
        <v>830</v>
      </c>
      <c r="P68" s="1580" t="s">
        <v>1304</v>
      </c>
      <c r="Q68" s="1533">
        <f ca="1">ROUND(Q69-Q70*Q71,0)</f>
        <v>1721</v>
      </c>
      <c r="R68" s="1533" t="s">
        <v>838</v>
      </c>
    </row>
    <row r="69" spans="1:18" s="1497" customFormat="1" ht="13.5" thickBot="1">
      <c r="A69" s="1043"/>
      <c r="B69" s="1044"/>
      <c r="C69" s="302"/>
      <c r="D69" s="1062" t="s">
        <v>1194</v>
      </c>
      <c r="E69" s="1042" t="s">
        <v>1195</v>
      </c>
      <c r="F69" s="329">
        <f ca="1">F41</f>
        <v>43.23</v>
      </c>
      <c r="O69" s="1541" t="s">
        <v>835</v>
      </c>
      <c r="P69" s="1580" t="s">
        <v>1305</v>
      </c>
      <c r="Q69" s="1533">
        <f ca="1">C39</f>
        <v>4619</v>
      </c>
      <c r="R69" s="1533" t="s">
        <v>1250</v>
      </c>
    </row>
    <row r="70" spans="1:18" s="1497" customFormat="1" ht="13.5" thickBot="1">
      <c r="A70" s="1046"/>
      <c r="B70" s="1047"/>
      <c r="C70" s="306"/>
      <c r="D70" s="1058"/>
      <c r="E70" s="1042" t="s">
        <v>1198</v>
      </c>
      <c r="F70" s="1145"/>
      <c r="O70" s="1541" t="s">
        <v>836</v>
      </c>
      <c r="P70" s="1580" t="s">
        <v>1306</v>
      </c>
      <c r="Q70" s="1533">
        <f ca="1">C13</f>
        <v>41398</v>
      </c>
      <c r="R70" s="1533" t="s">
        <v>1250</v>
      </c>
    </row>
    <row r="71" spans="1:18" s="1497" customFormat="1" ht="13.5" thickBot="1">
      <c r="A71" s="1063" t="s">
        <v>820</v>
      </c>
      <c r="B71" s="1064" t="s">
        <v>1208</v>
      </c>
      <c r="C71" s="332">
        <f ca="1">ROUND(C68*10000/F71,0)</f>
        <v>-10034</v>
      </c>
      <c r="D71" s="1065" t="s">
        <v>1209</v>
      </c>
      <c r="E71" s="1066" t="s">
        <v>1210</v>
      </c>
      <c r="F71" s="335">
        <f ca="1">F43</f>
        <v>69011.599999999991</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2898</v>
      </c>
      <c r="D75" s="1497"/>
      <c r="E75" s="1497"/>
      <c r="F75" s="1497"/>
      <c r="K75" s="1515"/>
      <c r="L75" s="1497"/>
      <c r="O75" s="1531" t="s">
        <v>833</v>
      </c>
      <c r="P75" s="1532" t="s">
        <v>1270</v>
      </c>
      <c r="Q75" s="1533">
        <f ca="1">Q65+Q66</f>
        <v>109727</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0.373</v>
      </c>
    </row>
    <row r="80" spans="1:18" ht="13">
      <c r="B80" s="336" t="s">
        <v>1232</v>
      </c>
      <c r="C80" s="270">
        <f ca="1">ROUND(C75/C39,3)</f>
        <v>0.627</v>
      </c>
    </row>
    <row r="81" spans="2:3" ht="13.5">
      <c r="B81" s="266" t="s">
        <v>1233</v>
      </c>
      <c r="C81" s="234"/>
    </row>
    <row r="82" spans="2:3" ht="13">
      <c r="B82" s="269" t="s">
        <v>1234</v>
      </c>
      <c r="C82" s="271">
        <f ca="1">1-C83</f>
        <v>0.623</v>
      </c>
    </row>
    <row r="83" spans="2:3" ht="13">
      <c r="B83" s="269" t="s">
        <v>1235</v>
      </c>
      <c r="C83" s="270">
        <f ca="1">ROUND(C13/C40,3)</f>
        <v>0.377</v>
      </c>
    </row>
  </sheetData>
  <sheetProtection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xr:uid="{A028604E-11A3-44E7-B902-890C92F96953}">
      <formula1>"按租金收入计税,按房产原值计税"</formula1>
    </dataValidation>
    <dataValidation type="list" allowBlank="1" showInputMessage="1" showErrorMessage="1" sqref="D33 D61" xr:uid="{C3C7CCAE-6EAF-4ECB-B3A4-65876D27D33B}">
      <formula1>"按租金收入计税,按房产原值计税,按票据"</formula1>
    </dataValidation>
    <dataValidation type="list" allowBlank="1" showInputMessage="1" showErrorMessage="1" sqref="C1" xr:uid="{21CCC41C-B2A9-49BA-87E0-8937C539D797}">
      <formula1>项目类型</formula1>
    </dataValidation>
    <dataValidation type="list" allowBlank="1" showInputMessage="1" showErrorMessage="1" sqref="J47" xr:uid="{7173423C-2E27-4673-A9B1-B6F18C3E6A50}">
      <formula1>"钢,钢混,砖混"</formula1>
    </dataValidation>
    <dataValidation type="list" allowBlank="1" showInputMessage="1" showErrorMessage="1" sqref="J48" xr:uid="{046726F8-0349-4C1E-8B63-C841F00104C8}">
      <formula1>"非生产用房,生产用房,受腐蚀的生产用房"</formula1>
    </dataValidation>
    <dataValidation type="list" allowBlank="1" showInputMessage="1" showErrorMessage="1" sqref="J56" xr:uid="{9408AE1D-3091-43C5-9171-2F2DF52EAC19}">
      <formula1>判定</formula1>
    </dataValidation>
    <dataValidation type="list" allowBlank="1" showInputMessage="1" showErrorMessage="1" sqref="L55" xr:uid="{055837E8-DE47-4E83-9A24-5AA1B5769B40}">
      <formula1>"比较法,基准地价,收益还原"</formula1>
    </dataValidation>
    <dataValidation type="list" allowBlank="1" showInputMessage="1" showErrorMessage="1" sqref="M10 F10 F53" xr:uid="{C197147B-7343-41CD-A98A-CC16A5004566}">
      <formula1>"押一,押二,押三,自定义"</formula1>
    </dataValidation>
    <dataValidation type="list" allowBlank="1" showInputMessage="1" showErrorMessage="1" sqref="D1" xr:uid="{6BA4CF8B-DD28-4BE2-B06A-DE2DDEAE1E0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25" zoomScale="70" zoomScaleNormal="70" zoomScaleSheetLayoutView="70" workbookViewId="0">
      <selection activeCell="F43" sqref="F43"/>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48</v>
      </c>
      <c r="D1" s="1475" t="s">
        <v>70</v>
      </c>
      <c r="E1" s="1476" t="s">
        <v>1108</v>
      </c>
      <c r="F1" s="1153">
        <f ca="1">J53</f>
        <v>43.23</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11882</v>
      </c>
      <c r="C2" s="1500" t="s">
        <v>1237</v>
      </c>
      <c r="D2" s="1500"/>
      <c r="E2" s="1501"/>
      <c r="F2" s="1502"/>
      <c r="G2" s="2857"/>
      <c r="H2" s="2846"/>
      <c r="I2" s="2846"/>
      <c r="J2" s="2846"/>
      <c r="K2" s="2847"/>
      <c r="L2" s="2846"/>
      <c r="M2" s="2846"/>
    </row>
    <row r="3" spans="1:37" ht="18" customHeight="1" thickBot="1">
      <c r="A3" s="1503" t="s">
        <v>1238</v>
      </c>
      <c r="B3" s="1504">
        <f ca="1">IF(ISERROR(B2*10000/F43),0,ROUND(B2*10000/F43,0))</f>
        <v>1994</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737</v>
      </c>
      <c r="D5" s="1477" t="s">
        <v>1123</v>
      </c>
      <c r="E5" s="1163"/>
      <c r="F5" s="1164"/>
      <c r="G5" s="1497"/>
      <c r="H5" s="295">
        <v>1</v>
      </c>
      <c r="I5" s="296" t="s">
        <v>1122</v>
      </c>
      <c r="J5" s="1162">
        <f ca="1">J6+J10+J12</f>
        <v>0</v>
      </c>
      <c r="K5" s="1477" t="s">
        <v>1123</v>
      </c>
      <c r="L5" s="1163"/>
      <c r="M5" s="1164"/>
    </row>
    <row r="6" spans="1:37" ht="18" customHeight="1">
      <c r="A6" s="1161" t="s">
        <v>822</v>
      </c>
      <c r="B6" s="3655" t="s">
        <v>1124</v>
      </c>
      <c r="C6" s="1166">
        <f ca="1">ROUND(F6*F8*F7*(1-F9)/10000,0)</f>
        <v>737</v>
      </c>
      <c r="D6" s="150" t="s">
        <v>2604</v>
      </c>
      <c r="E6" s="298" t="s">
        <v>1126</v>
      </c>
      <c r="F6" s="299">
        <f ca="1">INDIRECT("'数据-取费表'!u"&amp;$G$1)</f>
        <v>600</v>
      </c>
      <c r="G6" s="1497"/>
      <c r="H6" s="1161" t="s">
        <v>822</v>
      </c>
      <c r="I6" s="3655" t="s">
        <v>1124</v>
      </c>
      <c r="J6" s="297">
        <f ca="1">ROUND(M6*M8*M7*(1-M9)/10000,0)</f>
        <v>0</v>
      </c>
      <c r="K6" s="150" t="s">
        <v>2603</v>
      </c>
      <c r="L6" s="298" t="s">
        <v>1126</v>
      </c>
      <c r="M6" s="299">
        <f ca="1">INDIRECT("'数据-取费表'!z"&amp;$G$1)</f>
        <v>0</v>
      </c>
    </row>
    <row r="7" spans="1:37" ht="18" customHeight="1">
      <c r="A7" s="1165"/>
      <c r="B7" s="3656"/>
      <c r="C7" s="1167"/>
      <c r="D7" s="303"/>
      <c r="E7" s="3276" t="s">
        <v>1127</v>
      </c>
      <c r="F7" s="299">
        <f ca="1">IF(INDIRECT("'数据-取费表'!ah"&amp;$G$1)="",INDIRECT("'数据-取费表'!k"&amp;$G$1),INDIRECT("'数据-取费表'!ah"&amp;$G$1))</f>
        <v>1205</v>
      </c>
      <c r="G7" s="1497"/>
      <c r="H7" s="300"/>
      <c r="I7" s="3656"/>
      <c r="J7" s="302"/>
      <c r="K7" s="303"/>
      <c r="L7" s="298" t="s">
        <v>1127</v>
      </c>
      <c r="M7" s="299">
        <f ca="1">F7</f>
        <v>1205</v>
      </c>
    </row>
    <row r="8" spans="1:37" ht="18" customHeight="1">
      <c r="A8" s="300"/>
      <c r="B8" s="3656"/>
      <c r="C8" s="302"/>
      <c r="D8" s="303"/>
      <c r="E8" s="298" t="s">
        <v>1128</v>
      </c>
      <c r="F8" s="299">
        <f ca="1">INDIRECT("'数据-取费表'!ai"&amp;$G$1)</f>
        <v>12</v>
      </c>
      <c r="G8" s="1497"/>
      <c r="H8" s="300"/>
      <c r="I8" s="3656"/>
      <c r="J8" s="302"/>
      <c r="K8" s="303"/>
      <c r="L8" s="298" t="s">
        <v>1128</v>
      </c>
      <c r="M8" s="299">
        <f ca="1">INDIRECT("'数据-取费表'!ai"&amp;$G$1)</f>
        <v>12</v>
      </c>
    </row>
    <row r="9" spans="1:37" ht="18" customHeight="1">
      <c r="A9" s="300"/>
      <c r="B9" s="3657"/>
      <c r="C9" s="302"/>
      <c r="D9" s="303"/>
      <c r="E9" s="298" t="s">
        <v>1129</v>
      </c>
      <c r="F9" s="308">
        <f ca="1">INDIRECT("'数据-取费表'!w"&amp;$G$1)</f>
        <v>0.15</v>
      </c>
      <c r="G9" s="1497"/>
      <c r="H9" s="300"/>
      <c r="I9" s="3657"/>
      <c r="J9" s="302"/>
      <c r="K9" s="303"/>
      <c r="L9" s="309" t="s">
        <v>1129</v>
      </c>
      <c r="M9" s="310">
        <f ca="1">INDIRECT("'数据-取费表'!ab"&amp;$G$1)</f>
        <v>0</v>
      </c>
    </row>
    <row r="10" spans="1:37" ht="18" customHeight="1">
      <c r="A10" s="1161" t="s">
        <v>826</v>
      </c>
      <c r="B10" s="1478" t="s">
        <v>1130</v>
      </c>
      <c r="C10" s="312">
        <f ca="1">ROUND(IF(F10="押一",C6/12*F11,IF(F10="押二",C6/12*2*F11,IF(F10="押三",C6/12*3*F11,C11*F11))),0)</f>
        <v>0</v>
      </c>
      <c r="D10" s="1479" t="s">
        <v>2611</v>
      </c>
      <c r="E10" s="309" t="s">
        <v>1131</v>
      </c>
      <c r="F10" s="1208" t="s">
        <v>3347</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23904</v>
      </c>
      <c r="D13" s="3270" t="s">
        <v>1136</v>
      </c>
      <c r="E13" s="3270"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17874</v>
      </c>
      <c r="D14" s="3286" t="s">
        <v>1139</v>
      </c>
      <c r="E14" s="3285"/>
      <c r="F14" s="315"/>
      <c r="G14" s="1497"/>
      <c r="H14" s="1074" t="s">
        <v>822</v>
      </c>
      <c r="I14" s="298" t="s">
        <v>1140</v>
      </c>
      <c r="J14" s="24">
        <f ca="1">C29</f>
        <v>24392</v>
      </c>
      <c r="K14" s="3274"/>
      <c r="L14" s="877"/>
      <c r="M14" s="878"/>
    </row>
    <row r="15" spans="1:37" s="1510" customFormat="1" ht="18" customHeight="1" thickBot="1">
      <c r="A15" s="1074" t="s">
        <v>823</v>
      </c>
      <c r="B15" s="298" t="s">
        <v>1141</v>
      </c>
      <c r="C15" s="24">
        <f ca="1">ROUND(C14*F15,0)</f>
        <v>536</v>
      </c>
      <c r="D15" s="3271" t="s">
        <v>1142</v>
      </c>
      <c r="E15" s="3271"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329</v>
      </c>
      <c r="K16" s="1179" t="s">
        <v>1146</v>
      </c>
      <c r="L16" s="3290"/>
      <c r="M16" s="1164"/>
    </row>
    <row r="17" spans="1:37" s="1510" customFormat="1" ht="18" customHeight="1">
      <c r="A17" s="1074" t="s">
        <v>1111</v>
      </c>
      <c r="B17" s="298" t="s">
        <v>1147</v>
      </c>
      <c r="C17" s="24">
        <f ca="1">ROUND(F17*(F43+INDIRECT("'数据-取费表'!S"&amp;$G$1))/10000,0)</f>
        <v>1192</v>
      </c>
      <c r="D17" s="298" t="s">
        <v>1148</v>
      </c>
      <c r="E17" s="298" t="s">
        <v>1149</v>
      </c>
      <c r="F17" s="26">
        <f>'数据-取费表'!B35</f>
        <v>200</v>
      </c>
      <c r="G17" s="1509"/>
      <c r="H17" s="1074" t="s">
        <v>822</v>
      </c>
      <c r="I17" s="298" t="s">
        <v>1150</v>
      </c>
      <c r="J17" s="2462">
        <f ca="1">ROUND(IF(AND(项目基本情况!B11="自然人",项目基本情况!B10="北京市"),J6*M17/(1+'数据-取费表'!C42),J18+J19+J20),0)</f>
        <v>207</v>
      </c>
      <c r="K17" s="3286" t="s">
        <v>1151</v>
      </c>
      <c r="L17" s="3289"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268</v>
      </c>
      <c r="D18" s="298" t="s">
        <v>1142</v>
      </c>
      <c r="E18" s="298" t="s">
        <v>1143</v>
      </c>
      <c r="F18" s="318">
        <f>'数据-取费表'!B36</f>
        <v>1.4999999999999999E-2</v>
      </c>
      <c r="G18" s="1509"/>
      <c r="H18" s="1074" t="s">
        <v>821</v>
      </c>
      <c r="I18" s="298" t="s">
        <v>1154</v>
      </c>
      <c r="J18" s="24">
        <f ca="1">ROUND(J6*M18/(1+'数据-取费表'!C42),2)</f>
        <v>0</v>
      </c>
      <c r="K18" s="3289"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19870</v>
      </c>
      <c r="D19" s="126" t="s">
        <v>1157</v>
      </c>
      <c r="E19" s="3293"/>
      <c r="F19" s="26"/>
      <c r="G19" s="1497"/>
      <c r="H19" s="1074" t="s">
        <v>823</v>
      </c>
      <c r="I19" s="298" t="s">
        <v>1158</v>
      </c>
      <c r="J19" s="24">
        <f ca="1">IF(K19="按租金收入计税",ROUND(J6*M19/(1+'数据-取费表'!C42),2),ROUND(C29*M19*0.7,2))</f>
        <v>204.89</v>
      </c>
      <c r="K19" s="1483" t="s">
        <v>1159</v>
      </c>
      <c r="L19" s="298" t="s">
        <v>1143</v>
      </c>
      <c r="M19" s="318">
        <f>IF(K19="按租金收入计税",'数据-取费表'!B51,'数据-取费表'!B50)</f>
        <v>1.2E-2</v>
      </c>
    </row>
    <row r="20" spans="1:37" s="1510" customFormat="1" ht="18" customHeight="1">
      <c r="A20" s="1074" t="s">
        <v>826</v>
      </c>
      <c r="B20" s="298" t="s">
        <v>1160</v>
      </c>
      <c r="C20" s="24">
        <f ca="1">ROUND(C19*F20,0)</f>
        <v>397</v>
      </c>
      <c r="D20" s="319" t="s">
        <v>1161</v>
      </c>
      <c r="E20" s="298" t="s">
        <v>1143</v>
      </c>
      <c r="F20" s="318">
        <f>'数据-取费表'!B37</f>
        <v>0.02</v>
      </c>
      <c r="G20" s="1509"/>
      <c r="H20" s="1074" t="s">
        <v>1110</v>
      </c>
      <c r="I20" s="150" t="s">
        <v>1162</v>
      </c>
      <c r="J20" s="25">
        <f ca="1">ROUND(M20*M21/10000,2)</f>
        <v>1.81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293"/>
      <c r="F22" s="26"/>
      <c r="G22" s="1497"/>
      <c r="H22" s="1074" t="s">
        <v>826</v>
      </c>
      <c r="I22" s="298" t="s">
        <v>1170</v>
      </c>
      <c r="J22" s="24">
        <f ca="1">ROUND(J14*M22,1)</f>
        <v>122</v>
      </c>
      <c r="K22" s="3289" t="s">
        <v>1171</v>
      </c>
      <c r="L22" s="298" t="s">
        <v>1143</v>
      </c>
      <c r="M22" s="324">
        <f ca="1">INDIRECT("'数据-取费表'!Ak"&amp;$G$1)</f>
        <v>5.0000000000000001E-3</v>
      </c>
    </row>
    <row r="23" spans="1:37" s="1510" customFormat="1" ht="18" customHeight="1">
      <c r="A23" s="1074" t="s">
        <v>821</v>
      </c>
      <c r="B23" s="298" t="s">
        <v>1172</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289"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293"/>
      <c r="F25" s="26"/>
      <c r="G25" s="1497"/>
      <c r="H25" s="1171" t="s">
        <v>818</v>
      </c>
      <c r="I25" s="1186" t="s">
        <v>1184</v>
      </c>
      <c r="J25" s="306">
        <f ca="1">J5-J16</f>
        <v>-329</v>
      </c>
      <c r="K25" s="1187" t="s">
        <v>1185</v>
      </c>
      <c r="L25" s="1188"/>
      <c r="M25" s="1189"/>
    </row>
    <row r="26" spans="1:37" ht="13">
      <c r="A26" s="1074" t="s">
        <v>821</v>
      </c>
      <c r="B26" s="298" t="s">
        <v>1186</v>
      </c>
      <c r="C26" s="24">
        <f ca="1">ROUND((C19+C20)*F26,0)</f>
        <v>1013</v>
      </c>
      <c r="D26" s="319" t="s">
        <v>1187</v>
      </c>
      <c r="E26" s="309" t="s">
        <v>1188</v>
      </c>
      <c r="F26" s="308">
        <f ca="1">INDIRECT("'数据-取费表'!q"&amp;$G$1)</f>
        <v>0.05</v>
      </c>
      <c r="G26" s="1497"/>
      <c r="H26" s="295" t="s">
        <v>819</v>
      </c>
      <c r="I26" s="296" t="s">
        <v>1189</v>
      </c>
      <c r="J26" s="297">
        <f ca="1">IF(J5&lt;&gt;0,ROUND(J25*(1-((1+M28)/(1+M26))^M27)/(M26-M28),0),0)</f>
        <v>0</v>
      </c>
      <c r="K26" s="320" t="s">
        <v>1190</v>
      </c>
      <c r="L26" s="298" t="s">
        <v>1191</v>
      </c>
      <c r="M26" s="308">
        <f ca="1">INDIRECT("'数据-取费表'!I"&amp;$G$1)</f>
        <v>0.05</v>
      </c>
    </row>
    <row r="27" spans="1:37" ht="18" customHeight="1">
      <c r="A27" s="1074" t="s">
        <v>823</v>
      </c>
      <c r="B27" s="298" t="s">
        <v>1192</v>
      </c>
      <c r="C27" s="24">
        <f ca="1">ROUND(F21*F26,4)</f>
        <v>1E-3</v>
      </c>
      <c r="D27" s="319" t="s">
        <v>1193</v>
      </c>
      <c r="E27" s="3271"/>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24392</v>
      </c>
      <c r="D29" s="1184"/>
      <c r="E29" s="1182"/>
      <c r="F29" s="1185"/>
      <c r="G29" s="1509"/>
      <c r="H29" s="330" t="s">
        <v>820</v>
      </c>
      <c r="I29" s="331" t="s">
        <v>1200</v>
      </c>
      <c r="J29" s="332">
        <f ca="1">ROUND(J26/(1+F40)^F41,0)</f>
        <v>0</v>
      </c>
      <c r="K29" s="333" t="s">
        <v>1201</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278</v>
      </c>
      <c r="D30" s="1179" t="s">
        <v>1146</v>
      </c>
      <c r="E30" s="329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125</v>
      </c>
      <c r="D31" s="3286" t="s">
        <v>1151</v>
      </c>
      <c r="E31" s="3289"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38.6</v>
      </c>
      <c r="D32" s="3289"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84.23</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1.81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12091.61</v>
      </c>
      <c r="G35" s="1497"/>
      <c r="H35" s="2848"/>
      <c r="I35" s="1511"/>
      <c r="J35" s="1512"/>
      <c r="K35" s="2852"/>
      <c r="L35" s="2851"/>
      <c r="M35" s="2851"/>
    </row>
    <row r="36" spans="1:18" ht="18" customHeight="1">
      <c r="A36" s="1194" t="s">
        <v>826</v>
      </c>
      <c r="B36" s="298" t="s">
        <v>1170</v>
      </c>
      <c r="C36" s="24">
        <f ca="1">ROUND(C29*F36,1)</f>
        <v>122</v>
      </c>
      <c r="D36" s="3289" t="s">
        <v>1203</v>
      </c>
      <c r="E36" s="298" t="s">
        <v>1143</v>
      </c>
      <c r="F36" s="324">
        <f ca="1">INDIRECT("'数据-取费表'!Ak"&amp;$G$1)</f>
        <v>5.0000000000000001E-3</v>
      </c>
      <c r="G36" s="1497"/>
      <c r="H36" s="2851"/>
      <c r="I36" s="1511"/>
      <c r="J36" s="1512"/>
      <c r="K36" s="2693"/>
      <c r="L36" s="2851"/>
      <c r="M36" s="2851"/>
    </row>
    <row r="37" spans="1:18" ht="18" customHeight="1">
      <c r="A37" s="1074" t="s">
        <v>862</v>
      </c>
      <c r="B37" s="298" t="s">
        <v>1174</v>
      </c>
      <c r="C37" s="24">
        <f ca="1">ROUND(C13*F37,1)</f>
        <v>23.9</v>
      </c>
      <c r="D37" s="3289"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7.4</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459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11882</v>
      </c>
      <c r="D40" s="320" t="s">
        <v>1190</v>
      </c>
      <c r="E40" s="298" t="s">
        <v>1191</v>
      </c>
      <c r="F40" s="308">
        <f ca="1">INDIRECT("'数据-取费表'!I"&amp;$G$1)</f>
        <v>0.05</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1994</v>
      </c>
      <c r="D43" s="333" t="s">
        <v>1209</v>
      </c>
      <c r="E43" s="334" t="s">
        <v>1210</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9.860580912863071</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-50491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11882</v>
      </c>
      <c r="R47" s="1533" t="s">
        <v>1250</v>
      </c>
    </row>
    <row r="48" spans="1:18" s="1497" customFormat="1" ht="43.5" thickBot="1">
      <c r="A48" s="1202" t="s">
        <v>863</v>
      </c>
      <c r="B48" s="296" t="s">
        <v>1122</v>
      </c>
      <c r="C48" s="3292">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24392</v>
      </c>
      <c r="R49" s="1533" t="s">
        <v>1250</v>
      </c>
    </row>
    <row r="50" spans="1:18" s="1497" customFormat="1" ht="13.5" thickBot="1">
      <c r="A50" s="1068"/>
      <c r="B50" s="1071"/>
      <c r="C50" s="1210"/>
      <c r="D50" s="1045"/>
      <c r="E50" s="1147" t="s">
        <v>1127</v>
      </c>
      <c r="F50" s="1148">
        <f ca="1">F7</f>
        <v>1205</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12</v>
      </c>
      <c r="I51" s="1545" t="s">
        <v>1261</v>
      </c>
      <c r="J51" s="1546">
        <f>IF(J49="",J50,J49+J50-YEAR('数据-取费表'!B2))</f>
        <v>59</v>
      </c>
      <c r="K51" s="1547" t="s">
        <v>1262</v>
      </c>
      <c r="L51" s="1548">
        <f ca="1">ROUND(-PV(INDIRECT("'数据-取费表'!h"&amp;$G$1),J51,(C39-C13*C76),0),0)</f>
        <v>-24974</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3" t="s">
        <v>1269</v>
      </c>
      <c r="L53" s="3654"/>
      <c r="O53" s="1531" t="s">
        <v>833</v>
      </c>
      <c r="P53" s="1532" t="s">
        <v>1270</v>
      </c>
      <c r="Q53" s="1533">
        <f ca="1">Q47+Q48</f>
        <v>11882</v>
      </c>
      <c r="R53" s="1533" t="s">
        <v>834</v>
      </c>
    </row>
    <row r="54" spans="1:18" s="1497" customFormat="1" ht="26.5" thickBot="1">
      <c r="A54" s="1247"/>
      <c r="B54" s="1480" t="s">
        <v>1109</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27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23904</v>
      </c>
      <c r="D56" s="1560"/>
      <c r="E56" s="1561"/>
      <c r="F56" s="1553"/>
      <c r="I56" s="1562" t="s">
        <v>1275</v>
      </c>
      <c r="J56" s="1563" t="s">
        <v>3173</v>
      </c>
      <c r="K56" s="1534" t="s">
        <v>1276</v>
      </c>
      <c r="L56" s="1537" t="str">
        <f ca="1">IF(L48&lt;J51,"——",L48-J53)</f>
        <v>——</v>
      </c>
      <c r="O56" s="1531" t="s">
        <v>827</v>
      </c>
      <c r="P56" s="1532" t="s">
        <v>1249</v>
      </c>
      <c r="Q56" s="1533">
        <f ca="1">C40+J29</f>
        <v>11882</v>
      </c>
      <c r="R56" s="1533" t="s">
        <v>1250</v>
      </c>
    </row>
    <row r="57" spans="1:18" s="1497" customFormat="1" ht="26.5" thickBot="1">
      <c r="A57" s="1564"/>
      <c r="B57" s="1042" t="s">
        <v>1199</v>
      </c>
      <c r="C57" s="234">
        <f ca="1">C29</f>
        <v>24392</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2197</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2051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2048.9299999999998</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1.81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11882</v>
      </c>
      <c r="R62" s="1533" t="s">
        <v>834</v>
      </c>
    </row>
    <row r="63" spans="1:18" s="1497" customFormat="1" ht="13.5" thickBot="1">
      <c r="A63" s="322"/>
      <c r="B63" s="1048"/>
      <c r="C63" s="29"/>
      <c r="D63" s="1058"/>
      <c r="E63" s="1042" t="s">
        <v>1168</v>
      </c>
      <c r="F63" s="299">
        <f t="shared" ca="1" si="0"/>
        <v>12091.61</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122</v>
      </c>
      <c r="D64" s="1056" t="s">
        <v>1203</v>
      </c>
      <c r="E64" s="1042" t="s">
        <v>1143</v>
      </c>
      <c r="F64" s="324">
        <f t="shared" ca="1" si="0"/>
        <v>5.0000000000000001E-3</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23.9</v>
      </c>
      <c r="D65" s="1056" t="s">
        <v>1175</v>
      </c>
      <c r="E65" s="1042" t="s">
        <v>1143</v>
      </c>
      <c r="F65" s="326">
        <f t="shared" ca="1" si="0"/>
        <v>1E-3</v>
      </c>
      <c r="I65" s="1575" t="s">
        <v>1300</v>
      </c>
      <c r="J65" s="1576">
        <v>40</v>
      </c>
      <c r="K65" s="1576">
        <v>30</v>
      </c>
      <c r="L65" s="1576">
        <v>50</v>
      </c>
      <c r="M65" s="1578">
        <v>0.02</v>
      </c>
      <c r="O65" s="1531" t="s">
        <v>827</v>
      </c>
      <c r="P65" s="1532" t="s">
        <v>1249</v>
      </c>
      <c r="Q65" s="1533">
        <f ca="1">C40+J29</f>
        <v>11882</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-2197</v>
      </c>
      <c r="D67" s="1055" t="s">
        <v>1185</v>
      </c>
      <c r="E67" s="1060"/>
      <c r="F67" s="1061"/>
      <c r="O67" s="1541" t="s">
        <v>829</v>
      </c>
      <c r="P67" s="1532" t="s">
        <v>1283</v>
      </c>
      <c r="Q67" s="1579">
        <f ca="1">L51</f>
        <v>-24974</v>
      </c>
      <c r="R67" s="1533" t="s">
        <v>1303</v>
      </c>
    </row>
    <row r="68" spans="1:18" s="1497" customFormat="1" ht="16" thickBot="1">
      <c r="A68" s="1039" t="s">
        <v>819</v>
      </c>
      <c r="B68" s="1040" t="s">
        <v>1206</v>
      </c>
      <c r="C68" s="297">
        <f ca="1">ROUND(C67*(1-((1+F70)/(1+F68))^F69)/(F68-F70),0)</f>
        <v>-38609</v>
      </c>
      <c r="D68" s="1057" t="s">
        <v>1190</v>
      </c>
      <c r="E68" s="1042" t="s">
        <v>1191</v>
      </c>
      <c r="F68" s="308">
        <f ca="1">F40</f>
        <v>0.05</v>
      </c>
      <c r="O68" s="1541" t="s">
        <v>830</v>
      </c>
      <c r="P68" s="1580" t="s">
        <v>1304</v>
      </c>
      <c r="Q68" s="1533">
        <f ca="1">ROUND(Q69-Q70*Q71,0)</f>
        <v>-1214</v>
      </c>
      <c r="R68" s="1533" t="s">
        <v>838</v>
      </c>
    </row>
    <row r="69" spans="1:18" s="1497" customFormat="1" ht="13.5" thickBot="1">
      <c r="A69" s="1043"/>
      <c r="B69" s="1044"/>
      <c r="C69" s="302"/>
      <c r="D69" s="1062" t="s">
        <v>1194</v>
      </c>
      <c r="E69" s="1042" t="s">
        <v>1195</v>
      </c>
      <c r="F69" s="329">
        <f ca="1">F41</f>
        <v>43.23</v>
      </c>
      <c r="O69" s="1541" t="s">
        <v>835</v>
      </c>
      <c r="P69" s="1580" t="s">
        <v>1305</v>
      </c>
      <c r="Q69" s="1533">
        <f ca="1">C39</f>
        <v>459</v>
      </c>
      <c r="R69" s="1533" t="s">
        <v>1250</v>
      </c>
    </row>
    <row r="70" spans="1:18" s="1497" customFormat="1" ht="13.5" thickBot="1">
      <c r="A70" s="1046"/>
      <c r="B70" s="1047"/>
      <c r="C70" s="306"/>
      <c r="D70" s="1058"/>
      <c r="E70" s="1042" t="s">
        <v>1198</v>
      </c>
      <c r="F70" s="1145"/>
      <c r="O70" s="1541" t="s">
        <v>836</v>
      </c>
      <c r="P70" s="1580" t="s">
        <v>1306</v>
      </c>
      <c r="Q70" s="1533">
        <f ca="1">C13</f>
        <v>23904</v>
      </c>
      <c r="R70" s="1533" t="s">
        <v>1250</v>
      </c>
    </row>
    <row r="71" spans="1:18" s="1497" customFormat="1" ht="13.5" thickBot="1">
      <c r="A71" s="1063" t="s">
        <v>820</v>
      </c>
      <c r="B71" s="1064" t="s">
        <v>1208</v>
      </c>
      <c r="C71" s="332">
        <f ca="1">ROUND(C68*10000/F71,0)</f>
        <v>-6480</v>
      </c>
      <c r="D71" s="1065" t="s">
        <v>1209</v>
      </c>
      <c r="E71" s="1066" t="s">
        <v>1210</v>
      </c>
      <c r="F71" s="335">
        <f ca="1">F43</f>
        <v>59578.47</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1673</v>
      </c>
      <c r="D75" s="1497"/>
      <c r="E75" s="1497"/>
      <c r="F75" s="1497"/>
      <c r="K75" s="1515"/>
      <c r="L75" s="1497"/>
      <c r="O75" s="1531" t="s">
        <v>833</v>
      </c>
      <c r="P75" s="1532" t="s">
        <v>1270</v>
      </c>
      <c r="Q75" s="1533">
        <f ca="1">Q65+Q66</f>
        <v>11882</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-2.645</v>
      </c>
    </row>
    <row r="80" spans="1:18" ht="13">
      <c r="B80" s="336" t="s">
        <v>1232</v>
      </c>
      <c r="C80" s="270">
        <f ca="1">ROUND(C75/C39,3)</f>
        <v>3.645</v>
      </c>
    </row>
    <row r="81" spans="2:3" ht="13.5">
      <c r="B81" s="266" t="s">
        <v>1233</v>
      </c>
      <c r="C81" s="234"/>
    </row>
    <row r="82" spans="2:3" ht="13">
      <c r="B82" s="269" t="s">
        <v>1234</v>
      </c>
      <c r="C82" s="271">
        <f ca="1">1-C83</f>
        <v>-1.012</v>
      </c>
    </row>
    <row r="83" spans="2:3" ht="13">
      <c r="B83" s="269" t="s">
        <v>1235</v>
      </c>
      <c r="C83" s="270">
        <f ca="1">ROUND(C13/C40,3)</f>
        <v>2.012</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E00-000000000000}">
      <formula1>"在建（套用方法）,土地（套用方法）,——"</formula1>
    </dataValidation>
    <dataValidation type="list" allowBlank="1" showInputMessage="1" showErrorMessage="1" sqref="M10 F10 F53" xr:uid="{00000000-0002-0000-2E00-000001000000}">
      <formula1>"押一,押二,押三,自定义"</formula1>
    </dataValidation>
    <dataValidation type="list" allowBlank="1" showInputMessage="1" showErrorMessage="1" sqref="L55" xr:uid="{00000000-0002-0000-2E00-000002000000}">
      <formula1>"比较法,基准地价,收益还原"</formula1>
    </dataValidation>
    <dataValidation type="list" allowBlank="1" showInputMessage="1" showErrorMessage="1" sqref="J56" xr:uid="{00000000-0002-0000-2E00-000003000000}">
      <formula1>判定</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47" xr:uid="{00000000-0002-0000-2E00-000005000000}">
      <formula1>"钢,钢混,砖混"</formula1>
    </dataValidation>
    <dataValidation type="list" allowBlank="1" showInputMessage="1" showErrorMessage="1" sqref="C1" xr:uid="{00000000-0002-0000-2E00-000006000000}">
      <formula1>项目类型</formula1>
    </dataValidation>
    <dataValidation type="list" allowBlank="1" showInputMessage="1" showErrorMessage="1" sqref="D33 D61" xr:uid="{00000000-0002-0000-2E00-000007000000}">
      <formula1>"按租金收入计税,按房产原值计税,按票据"</formula1>
    </dataValidation>
    <dataValidation type="list" allowBlank="1" showInputMessage="1" showErrorMessage="1" sqref="K19" xr:uid="{00000000-0002-0000-2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20"/>
  <sheetViews>
    <sheetView zoomScale="80" zoomScaleNormal="80" workbookViewId="0">
      <selection activeCell="N18" sqref="N18"/>
    </sheetView>
  </sheetViews>
  <sheetFormatPr defaultColWidth="9" defaultRowHeight="12.5"/>
  <cols>
    <col min="1" max="1" width="9" style="2338"/>
    <col min="2" max="6" width="9" style="2338" customWidth="1"/>
    <col min="7" max="7" width="9" style="2376"/>
    <col min="8" max="8" width="9" style="2338"/>
    <col min="9" max="12" width="9" style="2338" customWidth="1"/>
    <col min="13" max="13" width="2.08984375" style="2338" customWidth="1"/>
    <col min="14" max="14" width="9" style="2376" customWidth="1"/>
    <col min="15" max="17" width="9" style="2338" customWidth="1"/>
    <col min="18" max="18" width="2.36328125" style="2338" customWidth="1"/>
    <col min="19" max="19" width="7.08984375" style="2376" customWidth="1"/>
    <col min="20" max="22" width="7.08984375" style="2338" customWidth="1"/>
    <col min="23" max="23" width="24.08984375" style="2338" customWidth="1"/>
    <col min="24" max="25" width="9" style="2338"/>
    <col min="26" max="27" width="11.6328125" style="2338" customWidth="1"/>
    <col min="28" max="28" width="9" style="2338"/>
    <col min="29" max="29" width="2" style="2338" customWidth="1"/>
    <col min="30" max="16384" width="9" style="2338"/>
  </cols>
  <sheetData>
    <row r="1" spans="1:34" s="2317" customFormat="1" ht="13">
      <c r="B1" s="3738" t="s">
        <v>874</v>
      </c>
      <c r="C1" s="3738"/>
      <c r="D1" s="3738"/>
      <c r="E1" s="3738"/>
      <c r="F1" s="3738"/>
      <c r="G1" s="3734" t="s">
        <v>875</v>
      </c>
      <c r="H1" s="3734"/>
      <c r="I1" s="3734"/>
      <c r="J1" s="3734"/>
      <c r="K1" s="3734"/>
      <c r="L1" s="3734"/>
      <c r="N1" s="3734" t="s">
        <v>876</v>
      </c>
      <c r="O1" s="3734"/>
      <c r="P1" s="3734"/>
      <c r="Q1" s="3734"/>
      <c r="S1" s="3734" t="s">
        <v>877</v>
      </c>
      <c r="T1" s="3734"/>
      <c r="U1" s="3734"/>
      <c r="V1" s="3734"/>
      <c r="X1" s="3733" t="s">
        <v>878</v>
      </c>
      <c r="Y1" s="3734"/>
      <c r="Z1" s="3734"/>
      <c r="AA1" s="3734"/>
      <c r="AB1" s="3734"/>
      <c r="AD1" s="3733" t="s">
        <v>879</v>
      </c>
      <c r="AE1" s="3734"/>
      <c r="AF1" s="3734"/>
      <c r="AG1" s="3734"/>
      <c r="AH1" s="3734"/>
    </row>
    <row r="2" spans="1:34" s="2318" customFormat="1" ht="14.5" thickBot="1">
      <c r="B2" s="2319" t="s">
        <v>880</v>
      </c>
      <c r="C2" s="2319" t="s">
        <v>881</v>
      </c>
      <c r="D2" s="2320" t="s">
        <v>882</v>
      </c>
      <c r="E2" s="2320" t="s">
        <v>883</v>
      </c>
      <c r="F2" s="2319" t="s">
        <v>884</v>
      </c>
      <c r="G2" s="2321"/>
      <c r="I2" s="2319" t="s">
        <v>880</v>
      </c>
      <c r="J2" s="2320" t="s">
        <v>1106</v>
      </c>
      <c r="K2" s="2320" t="s">
        <v>572</v>
      </c>
      <c r="L2" s="2319" t="s">
        <v>884</v>
      </c>
      <c r="N2" s="2319" t="s">
        <v>880</v>
      </c>
      <c r="O2" s="2320" t="s">
        <v>1106</v>
      </c>
      <c r="P2" s="2320" t="s">
        <v>572</v>
      </c>
      <c r="Q2" s="2319" t="s">
        <v>884</v>
      </c>
      <c r="S2" s="2319" t="s">
        <v>880</v>
      </c>
      <c r="T2" s="2320" t="s">
        <v>1106</v>
      </c>
      <c r="U2" s="2320" t="s">
        <v>572</v>
      </c>
      <c r="V2" s="2319" t="s">
        <v>884</v>
      </c>
      <c r="X2" s="2319" t="s">
        <v>880</v>
      </c>
      <c r="Y2" s="2319" t="s">
        <v>881</v>
      </c>
      <c r="Z2" s="2320" t="s">
        <v>882</v>
      </c>
      <c r="AA2" s="2320" t="s">
        <v>883</v>
      </c>
      <c r="AB2" s="2319" t="s">
        <v>884</v>
      </c>
      <c r="AD2" s="2319" t="s">
        <v>880</v>
      </c>
      <c r="AE2" s="2319" t="s">
        <v>881</v>
      </c>
      <c r="AF2" s="2320" t="s">
        <v>882</v>
      </c>
      <c r="AG2" s="2320" t="s">
        <v>883</v>
      </c>
      <c r="AH2" s="2319" t="s">
        <v>884</v>
      </c>
    </row>
    <row r="3" spans="1:34" s="2328" customFormat="1" ht="14">
      <c r="A3" s="2322" t="s">
        <v>2609</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ht="13">
      <c r="A5" s="2340" t="s">
        <v>2932</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2610</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ht="13">
      <c r="A6" s="2351" t="s">
        <v>2931</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3376">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ht="13">
      <c r="A7" s="2351" t="s">
        <v>2809</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3376">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ht="13">
      <c r="A8" s="2351" t="s">
        <v>2808</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3376">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ht="13">
      <c r="A9" s="2351" t="s">
        <v>2807</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3376">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ht="13">
      <c r="A10" s="2351" t="s">
        <v>2805</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3376">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ht="13">
      <c r="A11" s="2351" t="s">
        <v>2804</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3376">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ht="13">
      <c r="A12" s="2351" t="s">
        <v>2626</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3376">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ht="13">
      <c r="A13" s="2351" t="s">
        <v>2624</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3376">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ht="13">
      <c r="A14" s="2351" t="s">
        <v>2623</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429">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2622</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429">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ht="13">
      <c r="A16" s="2351" t="s">
        <v>2620</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3377">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2618</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429">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ht="13">
      <c r="A18" s="2351" t="s">
        <v>2621</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36">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5" customHeight="1">
      <c r="A19" s="2351" t="s">
        <v>2616</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36"/>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5" customHeight="1">
      <c r="A20" s="2351" t="s">
        <v>2615</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36"/>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2608</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43"/>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ht="13">
      <c r="A22" s="2351" t="s">
        <v>2606</v>
      </c>
      <c r="B22" s="2366">
        <v>439</v>
      </c>
      <c r="C22" s="2366">
        <v>327</v>
      </c>
      <c r="D22" s="2366">
        <f>C22</f>
        <v>327</v>
      </c>
      <c r="E22" s="2366">
        <v>627</v>
      </c>
      <c r="F22" s="2367">
        <v>283</v>
      </c>
      <c r="G22" s="3739">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5" customHeight="1">
      <c r="A23" s="2351" t="s">
        <v>2607</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36"/>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5" customHeight="1">
      <c r="A24" s="2351" t="s">
        <v>1107</v>
      </c>
      <c r="B24" s="2352">
        <f t="shared" si="199"/>
        <v>419.31181600000002</v>
      </c>
      <c r="C24" s="2352">
        <f t="shared" si="200"/>
        <v>313.95436800000004</v>
      </c>
      <c r="D24" s="2352">
        <f t="shared" si="201"/>
        <v>313.95436800000004</v>
      </c>
      <c r="E24" s="2352">
        <f t="shared" si="202"/>
        <v>596.63028431999999</v>
      </c>
      <c r="F24" s="2352">
        <f t="shared" si="203"/>
        <v>274.74220703999998</v>
      </c>
      <c r="G24" s="3736"/>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885</v>
      </c>
      <c r="B25" s="2352">
        <f>B26*(1+N25)</f>
        <v>405.524</v>
      </c>
      <c r="C25" s="2352">
        <f>C26*(1+O25)</f>
        <v>307.79840000000002</v>
      </c>
      <c r="D25" s="2352">
        <f>C25</f>
        <v>307.79840000000002</v>
      </c>
      <c r="E25" s="2352">
        <f>E26*(1+P25)</f>
        <v>574.67759999999998</v>
      </c>
      <c r="F25" s="2352">
        <f>F26*(1+Q25)</f>
        <v>270.20280000000002</v>
      </c>
      <c r="G25" s="3743"/>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ht="13">
      <c r="A26" s="2351" t="s">
        <v>154</v>
      </c>
      <c r="B26" s="2366">
        <v>392</v>
      </c>
      <c r="C26" s="2366">
        <v>302</v>
      </c>
      <c r="D26" s="2366">
        <f>C26</f>
        <v>302</v>
      </c>
      <c r="E26" s="2366">
        <v>553</v>
      </c>
      <c r="F26" s="2367">
        <v>266</v>
      </c>
      <c r="G26" s="3739">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153</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36"/>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143</v>
      </c>
      <c r="B28" s="2352">
        <f t="shared" si="212"/>
        <v>360.06949782209392</v>
      </c>
      <c r="C28" s="2352">
        <f t="shared" si="212"/>
        <v>289.84672674747821</v>
      </c>
      <c r="D28" s="2352">
        <f t="shared" si="213"/>
        <v>289.84672674747821</v>
      </c>
      <c r="E28" s="2352">
        <f t="shared" si="214"/>
        <v>501.06543001181495</v>
      </c>
      <c r="F28" s="2352">
        <f t="shared" si="214"/>
        <v>256.82882500744967</v>
      </c>
      <c r="G28" s="3736"/>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 thickBot="1">
      <c r="A29" s="2351" t="s">
        <v>152</v>
      </c>
      <c r="B29" s="2352">
        <f t="shared" si="212"/>
        <v>346.720748986128</v>
      </c>
      <c r="C29" s="2352">
        <f t="shared" si="212"/>
        <v>284.30282172386285</v>
      </c>
      <c r="D29" s="2352">
        <f t="shared" si="213"/>
        <v>284.30282172386285</v>
      </c>
      <c r="E29" s="2352">
        <f t="shared" si="214"/>
        <v>479.58023546306947</v>
      </c>
      <c r="F29" s="2352">
        <f t="shared" si="214"/>
        <v>253.25788877571213</v>
      </c>
      <c r="G29" s="3737"/>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151</v>
      </c>
      <c r="B30" s="2366">
        <v>333</v>
      </c>
      <c r="C30" s="2366">
        <v>277</v>
      </c>
      <c r="D30" s="2366">
        <f t="shared" si="213"/>
        <v>277</v>
      </c>
      <c r="E30" s="2366">
        <v>459</v>
      </c>
      <c r="F30" s="2367">
        <v>249</v>
      </c>
      <c r="G30" s="3735">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150</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36"/>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149</v>
      </c>
      <c r="B32" s="2352">
        <f t="shared" si="216"/>
        <v>322.34053690220776</v>
      </c>
      <c r="C32" s="2352">
        <f t="shared" si="216"/>
        <v>271.46160770422546</v>
      </c>
      <c r="D32" s="2352">
        <f t="shared" si="213"/>
        <v>271.46160770422546</v>
      </c>
      <c r="E32" s="2352">
        <f t="shared" si="217"/>
        <v>442.69434542172456</v>
      </c>
      <c r="F32" s="2352">
        <f t="shared" si="217"/>
        <v>241.34030753190925</v>
      </c>
      <c r="G32" s="3736"/>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148</v>
      </c>
      <c r="B33" s="2352">
        <f t="shared" si="216"/>
        <v>319.87748030386797</v>
      </c>
      <c r="C33" s="2352">
        <f t="shared" si="216"/>
        <v>269.60135833173649</v>
      </c>
      <c r="D33" s="2352">
        <f t="shared" si="213"/>
        <v>269.60135833173649</v>
      </c>
      <c r="E33" s="2352">
        <f t="shared" si="217"/>
        <v>439.18089823583784</v>
      </c>
      <c r="F33" s="2352">
        <f t="shared" si="217"/>
        <v>239.23503918706311</v>
      </c>
      <c r="G33" s="3737"/>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147</v>
      </c>
      <c r="B34" s="2380">
        <v>318</v>
      </c>
      <c r="C34" s="2380">
        <v>268</v>
      </c>
      <c r="D34" s="2380">
        <f t="shared" si="213"/>
        <v>268</v>
      </c>
      <c r="E34" s="2380">
        <v>437</v>
      </c>
      <c r="F34" s="2381">
        <v>237</v>
      </c>
      <c r="G34" s="3735">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146</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36"/>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 thickBot="1">
      <c r="A36" s="2351" t="s">
        <v>145</v>
      </c>
      <c r="B36" s="2352">
        <f t="shared" si="218"/>
        <v>314.72141172386546</v>
      </c>
      <c r="C36" s="2352">
        <f t="shared" si="218"/>
        <v>263.03901319069001</v>
      </c>
      <c r="D36" s="2352">
        <f t="shared" si="213"/>
        <v>263.03901319069001</v>
      </c>
      <c r="E36" s="2352">
        <f t="shared" si="219"/>
        <v>433.65745506782821</v>
      </c>
      <c r="F36" s="2352">
        <f t="shared" si="219"/>
        <v>233.23005080045735</v>
      </c>
      <c r="G36" s="3736"/>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144</v>
      </c>
      <c r="B37" s="2385">
        <f t="shared" si="218"/>
        <v>307.34512863658733</v>
      </c>
      <c r="C37" s="2385">
        <f t="shared" si="218"/>
        <v>257.80556031626975</v>
      </c>
      <c r="D37" s="2385">
        <f t="shared" si="213"/>
        <v>257.80556031626975</v>
      </c>
      <c r="E37" s="2385">
        <f t="shared" si="219"/>
        <v>422.70928459677179</v>
      </c>
      <c r="F37" s="2385">
        <f t="shared" si="219"/>
        <v>229.73803270336617</v>
      </c>
      <c r="G37" s="3737"/>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886</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887</v>
      </c>
      <c r="B38" s="2366">
        <v>299</v>
      </c>
      <c r="C38" s="2366">
        <v>252</v>
      </c>
      <c r="D38" s="2366">
        <f t="shared" si="213"/>
        <v>252</v>
      </c>
      <c r="E38" s="2366">
        <v>409</v>
      </c>
      <c r="F38" s="2367">
        <v>227</v>
      </c>
      <c r="G38" s="3740">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888</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41"/>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ht="13">
      <c r="A40" s="2351" t="s">
        <v>889</v>
      </c>
      <c r="B40" s="2352">
        <f t="shared" si="222"/>
        <v>288.2649053828776</v>
      </c>
      <c r="C40" s="2352">
        <f t="shared" si="222"/>
        <v>243.64564425013293</v>
      </c>
      <c r="D40" s="2352">
        <f t="shared" si="213"/>
        <v>243.64564425013293</v>
      </c>
      <c r="E40" s="2352">
        <f t="shared" si="223"/>
        <v>393.31080825986544</v>
      </c>
      <c r="F40" s="2352">
        <f t="shared" si="223"/>
        <v>223.07903790551154</v>
      </c>
      <c r="G40" s="3741"/>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890</v>
      </c>
      <c r="B41" s="2352">
        <f t="shared" si="222"/>
        <v>282.50186729015837</v>
      </c>
      <c r="C41" s="2352">
        <f t="shared" si="222"/>
        <v>238.09796174155468</v>
      </c>
      <c r="D41" s="2352">
        <f t="shared" si="213"/>
        <v>238.09796174155468</v>
      </c>
      <c r="E41" s="2352">
        <f t="shared" si="223"/>
        <v>385.33438646014054</v>
      </c>
      <c r="F41" s="2352">
        <f t="shared" si="223"/>
        <v>221.55034055567739</v>
      </c>
      <c r="G41" s="3742"/>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891</v>
      </c>
      <c r="B42" s="2401">
        <v>278</v>
      </c>
      <c r="C42" s="2401">
        <v>234</v>
      </c>
      <c r="D42" s="2401">
        <f t="shared" si="213"/>
        <v>234</v>
      </c>
      <c r="E42" s="2401">
        <v>379</v>
      </c>
      <c r="F42" s="2402">
        <v>220</v>
      </c>
      <c r="G42" s="3735">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892</v>
      </c>
      <c r="B43" s="2352">
        <f>B42/(1+N42)</f>
        <v>275.49301357645425</v>
      </c>
      <c r="C43" s="2352">
        <f>C42/(1+O42)</f>
        <v>232.41954707985698</v>
      </c>
      <c r="D43" s="2352">
        <f t="shared" si="213"/>
        <v>232.41954707985698</v>
      </c>
      <c r="E43" s="2352">
        <f t="shared" ref="E43:F45" si="224">E42/(1+P42)</f>
        <v>375.32184591008121</v>
      </c>
      <c r="F43" s="2352">
        <f t="shared" si="224"/>
        <v>218.03766105054513</v>
      </c>
      <c r="G43" s="3736"/>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893</v>
      </c>
      <c r="B44" s="2352">
        <f>B43/(1+N43)</f>
        <v>275.24529281292263</v>
      </c>
      <c r="C44" s="2352">
        <f>C43/(1+O43)</f>
        <v>231.74747938962707</v>
      </c>
      <c r="D44" s="2352">
        <f t="shared" si="213"/>
        <v>231.74747938962707</v>
      </c>
      <c r="E44" s="2352">
        <f t="shared" si="224"/>
        <v>375.35938184826603</v>
      </c>
      <c r="F44" s="2352">
        <f t="shared" si="224"/>
        <v>216.78033510692495</v>
      </c>
      <c r="G44" s="3736"/>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 thickBot="1">
      <c r="A45" s="2351" t="s">
        <v>894</v>
      </c>
      <c r="B45" s="2352">
        <f>B44/(1+N44)</f>
        <v>275.19025476197027</v>
      </c>
      <c r="C45" s="2403">
        <v>232</v>
      </c>
      <c r="D45" s="2403">
        <f t="shared" si="213"/>
        <v>232</v>
      </c>
      <c r="E45" s="2352">
        <f t="shared" si="224"/>
        <v>375.65990977608692</v>
      </c>
      <c r="F45" s="2352">
        <f t="shared" si="224"/>
        <v>214.12518283971252</v>
      </c>
      <c r="G45" s="3737"/>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895</v>
      </c>
      <c r="B46" s="2366">
        <v>275</v>
      </c>
      <c r="C46" s="2366">
        <v>232</v>
      </c>
      <c r="D46" s="2366">
        <f t="shared" si="213"/>
        <v>232</v>
      </c>
      <c r="E46" s="2366">
        <v>376</v>
      </c>
      <c r="F46" s="2367">
        <v>213</v>
      </c>
      <c r="G46" s="3735">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896</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36">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897</v>
      </c>
      <c r="B48" s="2352">
        <f t="shared" si="225"/>
        <v>275.19335084830601</v>
      </c>
      <c r="C48" s="2352">
        <f t="shared" si="225"/>
        <v>230.18088050139744</v>
      </c>
      <c r="D48" s="2352">
        <f t="shared" si="213"/>
        <v>230.18088050139744</v>
      </c>
      <c r="E48" s="2352">
        <f t="shared" si="226"/>
        <v>377.58482925212331</v>
      </c>
      <c r="F48" s="2352">
        <f t="shared" si="226"/>
        <v>210.90687997847917</v>
      </c>
      <c r="G48" s="3736">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 thickBot="1">
      <c r="A49" s="2351" t="s">
        <v>898</v>
      </c>
      <c r="B49" s="2352">
        <f t="shared" si="225"/>
        <v>276.29854502841971</v>
      </c>
      <c r="C49" s="2352">
        <f t="shared" si="225"/>
        <v>229.79023709833027</v>
      </c>
      <c r="D49" s="2352">
        <f t="shared" si="213"/>
        <v>229.79023709833027</v>
      </c>
      <c r="E49" s="2352">
        <f t="shared" si="226"/>
        <v>379.78759731655936</v>
      </c>
      <c r="F49" s="2352">
        <f t="shared" si="226"/>
        <v>211.32953905659235</v>
      </c>
      <c r="G49" s="3737">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899</v>
      </c>
      <c r="B50" s="2366">
        <v>269</v>
      </c>
      <c r="C50" s="2366">
        <v>221</v>
      </c>
      <c r="D50" s="2366">
        <f t="shared" si="213"/>
        <v>221</v>
      </c>
      <c r="E50" s="2366">
        <v>373</v>
      </c>
      <c r="F50" s="2367">
        <v>196</v>
      </c>
      <c r="G50" s="3735">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900</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36">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901</v>
      </c>
      <c r="B52" s="2352">
        <f t="shared" si="227"/>
        <v>242.95398227588385</v>
      </c>
      <c r="C52" s="2352">
        <f t="shared" si="227"/>
        <v>199.59137053614126</v>
      </c>
      <c r="D52" s="2352">
        <f t="shared" si="213"/>
        <v>199.59137053614126</v>
      </c>
      <c r="E52" s="2352">
        <f t="shared" si="228"/>
        <v>335.92189522342125</v>
      </c>
      <c r="F52" s="2352">
        <f t="shared" si="228"/>
        <v>183.10139991109489</v>
      </c>
      <c r="G52" s="3736">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 thickBot="1">
      <c r="A53" s="2351" t="s">
        <v>902</v>
      </c>
      <c r="B53" s="2352">
        <f t="shared" si="227"/>
        <v>232.06990378821649</v>
      </c>
      <c r="C53" s="2352">
        <f t="shared" si="227"/>
        <v>192.74878854286936</v>
      </c>
      <c r="D53" s="2352">
        <f t="shared" si="213"/>
        <v>192.74878854286936</v>
      </c>
      <c r="E53" s="2352">
        <f t="shared" si="228"/>
        <v>319.71247284992984</v>
      </c>
      <c r="F53" s="2352">
        <f t="shared" si="228"/>
        <v>175.67053622862409</v>
      </c>
      <c r="G53" s="3737">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903</v>
      </c>
      <c r="B54" s="2366">
        <v>220</v>
      </c>
      <c r="C54" s="2366">
        <v>187</v>
      </c>
      <c r="D54" s="2366">
        <f t="shared" si="213"/>
        <v>187</v>
      </c>
      <c r="E54" s="2366">
        <v>301</v>
      </c>
      <c r="F54" s="2367">
        <v>168</v>
      </c>
      <c r="G54" s="3735">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904</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36">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905</v>
      </c>
      <c r="B56" s="2352">
        <f t="shared" si="229"/>
        <v>210.630522469011</v>
      </c>
      <c r="C56" s="2352">
        <f t="shared" si="229"/>
        <v>181.69567812247232</v>
      </c>
      <c r="D56" s="2352">
        <f t="shared" si="213"/>
        <v>181.69567812247232</v>
      </c>
      <c r="E56" s="2352">
        <f t="shared" si="230"/>
        <v>286.13517466736738</v>
      </c>
      <c r="F56" s="2352">
        <f t="shared" si="230"/>
        <v>165.47535084591149</v>
      </c>
      <c r="G56" s="3736">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906</v>
      </c>
      <c r="B57" s="2352">
        <f t="shared" si="229"/>
        <v>208.83454537875372</v>
      </c>
      <c r="C57" s="2352">
        <f t="shared" si="229"/>
        <v>183.77230517090351</v>
      </c>
      <c r="D57" s="2352">
        <f t="shared" si="213"/>
        <v>183.77230517090351</v>
      </c>
      <c r="E57" s="2352">
        <f t="shared" si="230"/>
        <v>281.10342338870947</v>
      </c>
      <c r="F57" s="2352">
        <f t="shared" si="230"/>
        <v>168.97309388942256</v>
      </c>
      <c r="G57" s="3737">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907</v>
      </c>
      <c r="B58" s="2401">
        <v>214</v>
      </c>
      <c r="C58" s="2401">
        <v>188</v>
      </c>
      <c r="D58" s="2401">
        <f t="shared" si="213"/>
        <v>188</v>
      </c>
      <c r="E58" s="2401">
        <v>289</v>
      </c>
      <c r="F58" s="2402">
        <v>166</v>
      </c>
      <c r="G58" s="3735">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908</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36">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909</v>
      </c>
      <c r="B60" s="2352">
        <f t="shared" si="231"/>
        <v>206.31694671589116</v>
      </c>
      <c r="C60" s="2352">
        <f t="shared" si="231"/>
        <v>183.61041121036101</v>
      </c>
      <c r="D60" s="2352">
        <f t="shared" si="213"/>
        <v>183.61041121036101</v>
      </c>
      <c r="E60" s="2352">
        <f t="shared" si="232"/>
        <v>276.66850301795557</v>
      </c>
      <c r="F60" s="2352">
        <f t="shared" si="232"/>
        <v>165.1360938278614</v>
      </c>
      <c r="G60" s="3736">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 thickBot="1">
      <c r="A61" s="2351" t="s">
        <v>910</v>
      </c>
      <c r="B61" s="2404">
        <f t="shared" si="231"/>
        <v>196.62341248059772</v>
      </c>
      <c r="C61" s="2404">
        <f t="shared" si="231"/>
        <v>170.99125648199012</v>
      </c>
      <c r="D61" s="2404">
        <f t="shared" si="213"/>
        <v>170.99125648199012</v>
      </c>
      <c r="E61" s="2404">
        <f t="shared" si="232"/>
        <v>266.07857570490052</v>
      </c>
      <c r="F61" s="2404">
        <f t="shared" si="232"/>
        <v>154.53499328828505</v>
      </c>
      <c r="G61" s="3737">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911</v>
      </c>
      <c r="B62" s="2366">
        <v>188</v>
      </c>
      <c r="C62" s="2366">
        <v>165</v>
      </c>
      <c r="D62" s="2366">
        <f t="shared" si="213"/>
        <v>165</v>
      </c>
      <c r="E62" s="2366">
        <v>254</v>
      </c>
      <c r="F62" s="2367">
        <v>148</v>
      </c>
      <c r="G62" s="3735">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912</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36">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913</v>
      </c>
      <c r="B64" s="2352">
        <f t="shared" si="235"/>
        <v>168.82017748715555</v>
      </c>
      <c r="C64" s="2352">
        <f t="shared" si="235"/>
        <v>148.06267029972753</v>
      </c>
      <c r="D64" s="2352">
        <f t="shared" si="213"/>
        <v>148.06267029972753</v>
      </c>
      <c r="E64" s="2352">
        <f t="shared" si="236"/>
        <v>216.46288379323747</v>
      </c>
      <c r="F64" s="2352">
        <f t="shared" si="236"/>
        <v>134.23529411764704</v>
      </c>
      <c r="G64" s="3736">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914</v>
      </c>
      <c r="B65" s="2352">
        <f t="shared" si="235"/>
        <v>163.84913591779542</v>
      </c>
      <c r="C65" s="2352">
        <f t="shared" si="235"/>
        <v>145.0283378746594</v>
      </c>
      <c r="D65" s="2352">
        <f t="shared" si="213"/>
        <v>145.0283378746594</v>
      </c>
      <c r="E65" s="2352">
        <f t="shared" si="236"/>
        <v>204.95180722891567</v>
      </c>
      <c r="F65" s="2352">
        <f t="shared" si="236"/>
        <v>125.95920303605313</v>
      </c>
      <c r="G65" s="3737">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915</v>
      </c>
      <c r="B66" s="2380">
        <v>159</v>
      </c>
      <c r="C66" s="2380">
        <v>141</v>
      </c>
      <c r="D66" s="2380">
        <f t="shared" si="213"/>
        <v>141</v>
      </c>
      <c r="E66" s="2380">
        <v>195</v>
      </c>
      <c r="F66" s="2381">
        <v>122</v>
      </c>
      <c r="G66" s="3735">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916</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36">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917</v>
      </c>
      <c r="B68" s="2352">
        <f t="shared" si="239"/>
        <v>146.57412060301507</v>
      </c>
      <c r="C68" s="2352">
        <f t="shared" si="239"/>
        <v>136.46831955922866</v>
      </c>
      <c r="D68" s="2352">
        <f t="shared" si="213"/>
        <v>136.46831955922866</v>
      </c>
      <c r="E68" s="2352">
        <f t="shared" si="240"/>
        <v>166.73864894795128</v>
      </c>
      <c r="F68" s="2352">
        <f t="shared" si="240"/>
        <v>115.05882352941177</v>
      </c>
      <c r="G68" s="3736">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918</v>
      </c>
      <c r="B69" s="2352">
        <f t="shared" si="239"/>
        <v>144.04145728643215</v>
      </c>
      <c r="C69" s="2352">
        <f t="shared" si="239"/>
        <v>136.12396694214877</v>
      </c>
      <c r="D69" s="2352">
        <f t="shared" si="213"/>
        <v>136.12396694214877</v>
      </c>
      <c r="E69" s="2352">
        <f t="shared" si="240"/>
        <v>158.32225913621264</v>
      </c>
      <c r="F69" s="2352">
        <f t="shared" si="240"/>
        <v>114.04278074866311</v>
      </c>
      <c r="G69" s="3737">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919</v>
      </c>
      <c r="B70" s="2380">
        <v>138</v>
      </c>
      <c r="C70" s="2380">
        <v>131</v>
      </c>
      <c r="D70" s="2380">
        <f t="shared" si="213"/>
        <v>131</v>
      </c>
      <c r="E70" s="2380">
        <v>155</v>
      </c>
      <c r="F70" s="2381">
        <v>114</v>
      </c>
      <c r="G70" s="3735">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920</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36">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921</v>
      </c>
      <c r="B72" s="2352">
        <f t="shared" si="243"/>
        <v>124.29032258064517</v>
      </c>
      <c r="C72" s="2352">
        <f t="shared" si="243"/>
        <v>123.8968609865471</v>
      </c>
      <c r="D72" s="2352">
        <f t="shared" si="213"/>
        <v>123.8968609865471</v>
      </c>
      <c r="E72" s="2352">
        <f t="shared" si="244"/>
        <v>138.00507614213197</v>
      </c>
      <c r="F72" s="2352">
        <f t="shared" si="244"/>
        <v>107.96106557377048</v>
      </c>
      <c r="G72" s="3736">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922</v>
      </c>
      <c r="B73" s="2352">
        <f t="shared" si="243"/>
        <v>122.57204301075269</v>
      </c>
      <c r="C73" s="2352">
        <f t="shared" si="243"/>
        <v>123.4932735426009</v>
      </c>
      <c r="D73" s="2352">
        <f t="shared" si="213"/>
        <v>123.4932735426009</v>
      </c>
      <c r="E73" s="2352">
        <f t="shared" si="244"/>
        <v>129.82233502538071</v>
      </c>
      <c r="F73" s="2352">
        <f t="shared" si="244"/>
        <v>107.39446721311475</v>
      </c>
      <c r="G73" s="3737">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923</v>
      </c>
      <c r="B74" s="2401">
        <v>121</v>
      </c>
      <c r="C74" s="2401">
        <v>122</v>
      </c>
      <c r="D74" s="2401">
        <f t="shared" si="213"/>
        <v>122</v>
      </c>
      <c r="E74" s="2401">
        <v>124</v>
      </c>
      <c r="F74" s="2402">
        <v>107</v>
      </c>
      <c r="G74" s="3735">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924</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36">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925</v>
      </c>
      <c r="B76" s="2352">
        <f t="shared" si="247"/>
        <v>116.99099099099099</v>
      </c>
      <c r="C76" s="2352">
        <f t="shared" si="247"/>
        <v>118.84848484848486</v>
      </c>
      <c r="D76" s="2352">
        <f t="shared" si="213"/>
        <v>118.84848484848486</v>
      </c>
      <c r="E76" s="2352">
        <f t="shared" si="248"/>
        <v>117.60960960960961</v>
      </c>
      <c r="F76" s="2352">
        <f t="shared" si="248"/>
        <v>104</v>
      </c>
      <c r="G76" s="3736">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 thickBot="1">
      <c r="A77" s="2351" t="s">
        <v>926</v>
      </c>
      <c r="B77" s="2404">
        <f t="shared" si="247"/>
        <v>112.48648648648648</v>
      </c>
      <c r="C77" s="2404">
        <f t="shared" si="247"/>
        <v>115.21212121212122</v>
      </c>
      <c r="D77" s="2404">
        <f t="shared" si="213"/>
        <v>115.21212121212122</v>
      </c>
      <c r="E77" s="2404">
        <f t="shared" si="248"/>
        <v>110.4024024024024</v>
      </c>
      <c r="F77" s="2404">
        <f t="shared" si="248"/>
        <v>104</v>
      </c>
      <c r="G77" s="3737">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927</v>
      </c>
      <c r="B78" s="2421">
        <v>111</v>
      </c>
      <c r="C78" s="2421">
        <v>114</v>
      </c>
      <c r="D78" s="2421">
        <f t="shared" si="213"/>
        <v>114</v>
      </c>
      <c r="E78" s="2421">
        <v>108</v>
      </c>
      <c r="F78" s="2422">
        <v>104</v>
      </c>
      <c r="G78" s="3735">
        <v>2003</v>
      </c>
      <c r="H78" s="2411">
        <v>4</v>
      </c>
      <c r="I78" s="2423"/>
      <c r="J78" s="2423"/>
      <c r="K78" s="2423"/>
      <c r="L78" s="2423"/>
      <c r="N78" s="2424"/>
      <c r="O78" s="2423"/>
      <c r="P78" s="2423"/>
      <c r="Q78" s="2423"/>
      <c r="S78" s="2424"/>
      <c r="T78" s="2423"/>
      <c r="U78" s="2423"/>
      <c r="V78" s="2423"/>
      <c r="X78" s="2415"/>
      <c r="Y78" s="2415"/>
      <c r="Z78" s="2415"/>
    </row>
    <row r="79" spans="1:26">
      <c r="A79" s="2351" t="s">
        <v>928</v>
      </c>
      <c r="B79" s="2425">
        <f t="shared" ref="B79:C81" si="249">B80+(B$78-B$82)/4</f>
        <v>109.75</v>
      </c>
      <c r="C79" s="2425">
        <f t="shared" si="249"/>
        <v>112.25</v>
      </c>
      <c r="D79" s="2425">
        <f t="shared" si="213"/>
        <v>112.25</v>
      </c>
      <c r="E79" s="2425">
        <f t="shared" ref="E79:F81" si="250">E80+(E$78-E$82)/4</f>
        <v>107.25</v>
      </c>
      <c r="F79" s="2425">
        <f t="shared" si="250"/>
        <v>103.5</v>
      </c>
      <c r="G79" s="3736">
        <v>2003</v>
      </c>
      <c r="H79" s="2377">
        <v>3</v>
      </c>
      <c r="I79" s="2423"/>
      <c r="J79" s="2423"/>
      <c r="K79" s="2423"/>
      <c r="L79" s="2423"/>
      <c r="X79" s="2415"/>
      <c r="Y79" s="2415"/>
      <c r="Z79" s="2415"/>
    </row>
    <row r="80" spans="1:26">
      <c r="A80" s="2351" t="s">
        <v>929</v>
      </c>
      <c r="B80" s="2425">
        <f t="shared" si="249"/>
        <v>108.5</v>
      </c>
      <c r="C80" s="2425">
        <f t="shared" si="249"/>
        <v>110.5</v>
      </c>
      <c r="D80" s="2425">
        <f t="shared" si="213"/>
        <v>110.5</v>
      </c>
      <c r="E80" s="2425">
        <f t="shared" si="250"/>
        <v>106.5</v>
      </c>
      <c r="F80" s="2425">
        <f t="shared" si="250"/>
        <v>103</v>
      </c>
      <c r="G80" s="3736">
        <v>2003</v>
      </c>
      <c r="H80" s="2364">
        <v>2</v>
      </c>
      <c r="I80" s="2423"/>
      <c r="J80" s="2423"/>
      <c r="K80" s="2423"/>
      <c r="L80" s="2423"/>
      <c r="X80" s="2415"/>
      <c r="Y80" s="2415"/>
      <c r="Z80" s="2415"/>
    </row>
    <row r="81" spans="1:26" ht="13" thickBot="1">
      <c r="A81" s="2351" t="s">
        <v>930</v>
      </c>
      <c r="B81" s="2425">
        <f t="shared" si="249"/>
        <v>107.25</v>
      </c>
      <c r="C81" s="2425">
        <f t="shared" si="249"/>
        <v>108.75</v>
      </c>
      <c r="D81" s="2425">
        <f t="shared" si="213"/>
        <v>108.75</v>
      </c>
      <c r="E81" s="2425">
        <f t="shared" si="250"/>
        <v>105.75</v>
      </c>
      <c r="F81" s="2425">
        <f t="shared" si="250"/>
        <v>102.5</v>
      </c>
      <c r="G81" s="3737">
        <v>2003</v>
      </c>
      <c r="H81" s="2426">
        <v>1</v>
      </c>
      <c r="I81" s="2423"/>
      <c r="J81" s="2423"/>
      <c r="K81" s="2423"/>
      <c r="L81" s="2423"/>
      <c r="S81" s="2354"/>
      <c r="T81" s="2339"/>
      <c r="U81" s="2339"/>
      <c r="X81" s="2415"/>
      <c r="Y81" s="2415"/>
      <c r="Z81" s="2415"/>
    </row>
    <row r="82" spans="1:26" ht="13.5" thickBot="1">
      <c r="A82" s="2351" t="s">
        <v>931</v>
      </c>
      <c r="B82" s="2427">
        <v>106</v>
      </c>
      <c r="C82" s="2427">
        <v>107</v>
      </c>
      <c r="D82" s="2427">
        <f t="shared" si="213"/>
        <v>107</v>
      </c>
      <c r="E82" s="2427">
        <v>105</v>
      </c>
      <c r="F82" s="2428">
        <v>102</v>
      </c>
      <c r="G82" s="3735">
        <v>2002</v>
      </c>
      <c r="H82" s="2372">
        <v>4</v>
      </c>
      <c r="I82" s="2423"/>
      <c r="J82" s="2423"/>
      <c r="K82" s="2423"/>
      <c r="L82" s="2423"/>
      <c r="N82" s="2424"/>
      <c r="O82" s="2423"/>
      <c r="P82" s="2423"/>
      <c r="Q82" s="2423"/>
      <c r="S82" s="2424"/>
      <c r="T82" s="2423"/>
      <c r="U82" s="2423"/>
      <c r="V82" s="2423"/>
      <c r="X82" s="2415"/>
      <c r="Y82" s="2415"/>
      <c r="Z82" s="2415"/>
    </row>
    <row r="83" spans="1:26">
      <c r="A83" s="2351" t="s">
        <v>932</v>
      </c>
      <c r="B83" s="2425">
        <f t="shared" ref="B83:C85" si="251">B84+(B$82-B$86)/4</f>
        <v>105</v>
      </c>
      <c r="C83" s="2425">
        <f t="shared" si="251"/>
        <v>106</v>
      </c>
      <c r="D83" s="2425">
        <f t="shared" si="213"/>
        <v>106</v>
      </c>
      <c r="E83" s="2425">
        <f t="shared" ref="E83:F85" si="252">E84+(E$82-E$86)/4</f>
        <v>104.5</v>
      </c>
      <c r="F83" s="2425">
        <f t="shared" si="252"/>
        <v>101.5</v>
      </c>
      <c r="G83" s="3736">
        <v>2002</v>
      </c>
      <c r="H83" s="2377">
        <v>3</v>
      </c>
      <c r="I83" s="2423"/>
      <c r="J83" s="2423"/>
      <c r="K83" s="2423"/>
      <c r="L83" s="2423"/>
      <c r="X83" s="2415"/>
      <c r="Y83" s="2415"/>
      <c r="Z83" s="2415"/>
    </row>
    <row r="84" spans="1:26">
      <c r="A84" s="2351" t="s">
        <v>933</v>
      </c>
      <c r="B84" s="2425">
        <f t="shared" si="251"/>
        <v>104</v>
      </c>
      <c r="C84" s="2425">
        <f t="shared" si="251"/>
        <v>105</v>
      </c>
      <c r="D84" s="2425">
        <f t="shared" si="213"/>
        <v>105</v>
      </c>
      <c r="E84" s="2425">
        <f t="shared" si="252"/>
        <v>104</v>
      </c>
      <c r="F84" s="2425">
        <f t="shared" si="252"/>
        <v>101</v>
      </c>
      <c r="G84" s="3736">
        <v>2002</v>
      </c>
      <c r="H84" s="2364">
        <v>2</v>
      </c>
      <c r="I84" s="2423"/>
      <c r="J84" s="2423"/>
      <c r="K84" s="2423"/>
      <c r="L84" s="2423"/>
      <c r="X84" s="2415"/>
      <c r="Y84" s="2415"/>
      <c r="Z84" s="2415"/>
    </row>
    <row r="85" spans="1:26" s="2388" customFormat="1" ht="13" thickBot="1">
      <c r="A85" s="2384" t="s">
        <v>934</v>
      </c>
      <c r="B85" s="2391">
        <f t="shared" si="251"/>
        <v>103</v>
      </c>
      <c r="C85" s="2391">
        <f t="shared" si="251"/>
        <v>104</v>
      </c>
      <c r="D85" s="2391">
        <f t="shared" si="213"/>
        <v>104</v>
      </c>
      <c r="E85" s="2391">
        <f t="shared" si="252"/>
        <v>103.5</v>
      </c>
      <c r="F85" s="2391">
        <f t="shared" si="252"/>
        <v>100.5</v>
      </c>
      <c r="G85" s="3737">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ht="13">
      <c r="A88" s="2436" t="s">
        <v>935</v>
      </c>
      <c r="G88" s="2438"/>
      <c r="N88" s="2438"/>
      <c r="S88" s="2438"/>
    </row>
    <row r="89" spans="1:26" s="2437" customFormat="1" ht="13">
      <c r="A89" s="2437" t="s">
        <v>936</v>
      </c>
      <c r="G89" s="2438"/>
      <c r="N89" s="2438"/>
      <c r="S89" s="2438"/>
    </row>
    <row r="90" spans="1:26" s="2437" customFormat="1" ht="13">
      <c r="A90" s="2437" t="s">
        <v>937</v>
      </c>
      <c r="G90" s="2438"/>
      <c r="I90" s="2439"/>
      <c r="J90" s="2439"/>
      <c r="K90" s="2439"/>
      <c r="L90" s="2439"/>
      <c r="N90" s="2440"/>
      <c r="O90" s="2439"/>
      <c r="P90" s="2439"/>
      <c r="Q90" s="2439"/>
      <c r="S90" s="2440"/>
      <c r="T90" s="2439"/>
      <c r="U90" s="2439"/>
      <c r="V90" s="2439"/>
    </row>
    <row r="91" spans="1:26" s="2437" customFormat="1" ht="13">
      <c r="A91" s="2437" t="s">
        <v>938</v>
      </c>
      <c r="G91" s="2438"/>
      <c r="N91" s="2438"/>
      <c r="S91" s="2438"/>
    </row>
    <row r="98" spans="7:22" ht="13" thickBot="1"/>
    <row r="99" spans="7:22" ht="13">
      <c r="G99" s="2338"/>
      <c r="S99" s="2441" t="s">
        <v>939</v>
      </c>
      <c r="T99" s="2442" t="s">
        <v>940</v>
      </c>
      <c r="U99" s="2442" t="s">
        <v>941</v>
      </c>
      <c r="V99" s="2442" t="s">
        <v>942</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127091</v>
      </c>
      <c r="C2" s="2" t="s">
        <v>133</v>
      </c>
      <c r="D2" s="195"/>
      <c r="E2" s="195"/>
      <c r="F2" s="195"/>
      <c r="G2" s="195"/>
    </row>
    <row r="3" spans="1:7" s="196" customFormat="1" ht="18" customHeight="1" thickBot="1">
      <c r="A3" s="199" t="s">
        <v>85</v>
      </c>
      <c r="B3" s="200">
        <f ca="1">ROUND(B2*10000/'数据-汇总表'!E3,0)</f>
        <v>7231</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47" t="s">
        <v>610</v>
      </c>
      <c r="B6" s="211" t="s">
        <v>91</v>
      </c>
      <c r="C6" s="212">
        <v>20000</v>
      </c>
      <c r="D6" s="213"/>
      <c r="E6" s="214"/>
      <c r="F6" s="214"/>
      <c r="G6" s="215"/>
    </row>
    <row r="7" spans="1:7" s="210" customFormat="1" ht="13.5" customHeight="1">
      <c r="A7" s="847" t="s">
        <v>611</v>
      </c>
      <c r="B7" s="211" t="s">
        <v>57</v>
      </c>
      <c r="C7" s="216">
        <f>ROUND(C6*F7,0)</f>
        <v>610</v>
      </c>
      <c r="D7" s="216"/>
      <c r="E7" s="214"/>
      <c r="F7" s="217">
        <f>'数据-取费表'!B48+'数据-取费表'!B49</f>
        <v>3.0499999999999999E-2</v>
      </c>
      <c r="G7" s="215"/>
    </row>
    <row r="8" spans="1:7" s="219" customFormat="1" ht="13">
      <c r="A8" s="847" t="s">
        <v>612</v>
      </c>
      <c r="B8" s="211" t="s">
        <v>92</v>
      </c>
      <c r="C8" s="216" t="str">
        <f>IF(G8="已包含在土地购买价格中","0",'数据-取费表'!B29)</f>
        <v>0</v>
      </c>
      <c r="D8" s="218"/>
      <c r="E8" s="216"/>
      <c r="F8" s="217"/>
      <c r="G8" s="1" t="s">
        <v>873</v>
      </c>
    </row>
    <row r="9" spans="1:7" s="210" customFormat="1" ht="13.5" customHeight="1">
      <c r="A9" s="848" t="s">
        <v>619</v>
      </c>
      <c r="B9" s="220" t="s">
        <v>93</v>
      </c>
      <c r="C9" s="221">
        <f>ROUND(D9*E9/10000,0)</f>
        <v>0</v>
      </c>
      <c r="D9" s="915">
        <f>'数据-汇总表'!E5</f>
        <v>0</v>
      </c>
      <c r="E9" s="221">
        <f>'数据-取费表'!B27</f>
        <v>0</v>
      </c>
      <c r="F9" s="217"/>
      <c r="G9" s="222"/>
    </row>
    <row r="10" spans="1:7" s="210" customFormat="1" ht="13.5" customHeight="1">
      <c r="A10" s="848" t="s">
        <v>620</v>
      </c>
      <c r="B10" s="220" t="s">
        <v>94</v>
      </c>
      <c r="C10" s="221">
        <f>ROUND(D10*E10/10000,0)</f>
        <v>3340</v>
      </c>
      <c r="D10" s="915">
        <f>'数据-汇总表'!E6</f>
        <v>175770.51</v>
      </c>
      <c r="E10" s="221">
        <f>'数据-取费表'!B28</f>
        <v>190</v>
      </c>
      <c r="F10" s="217"/>
      <c r="G10" s="222"/>
    </row>
    <row r="11" spans="1:7" s="210" customFormat="1" ht="13.5" hidden="1" customHeight="1">
      <c r="A11" s="223" t="s">
        <v>7</v>
      </c>
      <c r="B11" s="211" t="s">
        <v>95</v>
      </c>
      <c r="C11" s="207"/>
      <c r="D11" s="917"/>
      <c r="E11" s="214"/>
      <c r="F11" s="214"/>
      <c r="G11" s="215"/>
    </row>
    <row r="12" spans="1:7" s="210" customFormat="1" ht="13.5" hidden="1" customHeight="1">
      <c r="A12" s="223" t="s">
        <v>8</v>
      </c>
      <c r="B12" s="211" t="s">
        <v>96</v>
      </c>
      <c r="C12" s="207">
        <v>0</v>
      </c>
      <c r="D12" s="917"/>
      <c r="E12" s="224"/>
      <c r="F12" s="217">
        <v>3.0499999999999999E-2</v>
      </c>
      <c r="G12" s="215"/>
    </row>
    <row r="13" spans="1:7" s="210" customFormat="1" ht="13.5" hidden="1" customHeight="1">
      <c r="A13" s="223" t="s">
        <v>9</v>
      </c>
      <c r="B13" s="211" t="s">
        <v>97</v>
      </c>
      <c r="C13" s="207"/>
      <c r="D13" s="917"/>
      <c r="E13" s="214"/>
      <c r="F13" s="214"/>
      <c r="G13" s="215"/>
    </row>
    <row r="14" spans="1:7" s="210" customFormat="1" ht="13.5" hidden="1" customHeight="1">
      <c r="A14" s="223" t="s">
        <v>10</v>
      </c>
      <c r="B14" s="211" t="s">
        <v>92</v>
      </c>
      <c r="C14" s="207"/>
      <c r="D14" s="917"/>
      <c r="E14" s="214"/>
      <c r="F14" s="214"/>
      <c r="G14" s="215" t="s">
        <v>98</v>
      </c>
    </row>
    <row r="15" spans="1:7" s="210" customFormat="1" ht="13.5" hidden="1" customHeight="1">
      <c r="A15" s="223" t="s">
        <v>11</v>
      </c>
      <c r="B15" s="211" t="s">
        <v>99</v>
      </c>
      <c r="C15" s="216"/>
      <c r="D15" s="917"/>
      <c r="E15" s="214"/>
      <c r="F15" s="214"/>
      <c r="G15" s="215" t="s">
        <v>100</v>
      </c>
    </row>
    <row r="16" spans="1:7" s="210" customFormat="1" ht="13.5" hidden="1" customHeight="1">
      <c r="A16" s="223" t="s">
        <v>12</v>
      </c>
      <c r="B16" s="211" t="s">
        <v>92</v>
      </c>
      <c r="C16" s="216"/>
      <c r="D16" s="917"/>
      <c r="E16" s="214"/>
      <c r="F16" s="214"/>
      <c r="G16" s="215"/>
    </row>
    <row r="17" spans="1:7" s="210" customFormat="1" ht="13.5" hidden="1" customHeight="1">
      <c r="A17" s="223" t="s">
        <v>13</v>
      </c>
      <c r="B17" s="211" t="s">
        <v>101</v>
      </c>
      <c r="C17" s="225"/>
      <c r="D17" s="918"/>
      <c r="E17" s="225"/>
      <c r="F17" s="225"/>
      <c r="G17" s="215" t="s">
        <v>100</v>
      </c>
    </row>
    <row r="18" spans="1:7" s="210" customFormat="1" ht="13.5" hidden="1" customHeight="1">
      <c r="A18" s="223" t="s">
        <v>14</v>
      </c>
      <c r="B18" s="211" t="s">
        <v>102</v>
      </c>
      <c r="C18" s="216">
        <v>0</v>
      </c>
      <c r="D18" s="917"/>
      <c r="E18" s="214"/>
      <c r="F18" s="217">
        <v>3.0499999999999999E-2</v>
      </c>
      <c r="G18" s="215" t="s">
        <v>103</v>
      </c>
    </row>
    <row r="19" spans="1:7" s="219" customFormat="1" ht="13.5" customHeight="1">
      <c r="A19" s="846" t="s">
        <v>842</v>
      </c>
      <c r="B19" s="206" t="s">
        <v>111</v>
      </c>
      <c r="C19" s="207">
        <f>IF(G19="已包含在土地取得成本中","0",ROUND(D19*E19/10000,0))</f>
        <v>3515</v>
      </c>
      <c r="D19" s="919">
        <f>'数据-汇总表'!E3</f>
        <v>175770.51</v>
      </c>
      <c r="E19" s="207">
        <f>'数据-取费表'!B31</f>
        <v>200</v>
      </c>
      <c r="F19" s="227"/>
      <c r="G19" s="1" t="s">
        <v>861</v>
      </c>
    </row>
    <row r="20" spans="1:7" s="210" customFormat="1" ht="13.5" customHeight="1">
      <c r="A20" s="846" t="s">
        <v>844</v>
      </c>
      <c r="B20" s="206" t="s">
        <v>104</v>
      </c>
      <c r="C20" s="228">
        <f>ROUND((C5+C19)*F20,0)</f>
        <v>483</v>
      </c>
      <c r="D20" s="228"/>
      <c r="E20" s="228"/>
      <c r="F20" s="229">
        <f>'数据-取费表'!B37</f>
        <v>0.02</v>
      </c>
      <c r="G20" s="1159" t="s">
        <v>855</v>
      </c>
    </row>
    <row r="21" spans="1:7" s="210" customFormat="1" ht="13.5" customHeight="1">
      <c r="A21" s="846" t="s">
        <v>846</v>
      </c>
      <c r="B21" s="206" t="s">
        <v>105</v>
      </c>
      <c r="C21" s="231">
        <f>F21</f>
        <v>0.02</v>
      </c>
      <c r="D21" s="232" t="s">
        <v>126</v>
      </c>
      <c r="E21" s="228"/>
      <c r="F21" s="229">
        <f>'数据-取费表'!B38</f>
        <v>0.02</v>
      </c>
      <c r="G21" s="230" t="s">
        <v>106</v>
      </c>
    </row>
    <row r="22" spans="1:7" s="210" customFormat="1" ht="13.5" customHeight="1">
      <c r="A22" s="846" t="s">
        <v>605</v>
      </c>
      <c r="B22" s="206" t="s">
        <v>107</v>
      </c>
      <c r="C22" s="1196">
        <f ca="1">ROUND(SUM(C23:C25),0)</f>
        <v>3200</v>
      </c>
      <c r="D22" s="231">
        <f ca="1">C26</f>
        <v>1.2999999999999999E-3</v>
      </c>
      <c r="E22" s="232" t="s">
        <v>126</v>
      </c>
      <c r="F22" s="233">
        <f ca="1">'数据-取费表'!B40</f>
        <v>4.2000000000000003E-2</v>
      </c>
      <c r="G22" s="1159" t="str">
        <f>IF('数据-取费表'!B22&lt;=1,"单利计息","复利计息")</f>
        <v>复利计息</v>
      </c>
    </row>
    <row r="23" spans="1:7" s="210" customFormat="1" ht="13.5" customHeight="1">
      <c r="A23" s="849" t="s">
        <v>613</v>
      </c>
      <c r="B23" s="211" t="s">
        <v>848</v>
      </c>
      <c r="C23" s="1197">
        <f ca="1">ROUND(IF('数据-取费表'!B22&lt;=1,C5*F22*'数据-取费表'!B23,C5*(POWER((1+F22),'数据-取费表'!B23)-1)),0)</f>
        <v>2707</v>
      </c>
      <c r="D23" s="234"/>
      <c r="E23" s="234"/>
      <c r="F23" s="235"/>
      <c r="G23" s="236" t="s">
        <v>108</v>
      </c>
    </row>
    <row r="24" spans="1:7" s="210" customFormat="1" ht="13.5" customHeight="1">
      <c r="A24" s="849" t="s">
        <v>611</v>
      </c>
      <c r="B24" s="211" t="s">
        <v>843</v>
      </c>
      <c r="C24" s="1197">
        <f ca="1">ROUND(IF('数据-取费表'!B22&lt;=1,C19*F22*('数据-取费表'!B19/2+'数据-取费表'!B21),C19*(POWER((1+F22),('数据-取费表'!B19/2+'数据-取费表'!B21))-1)),0)</f>
        <v>462</v>
      </c>
      <c r="D24" s="234"/>
      <c r="E24" s="234"/>
      <c r="F24" s="235"/>
      <c r="G24" s="236" t="s">
        <v>109</v>
      </c>
    </row>
    <row r="25" spans="1:7" s="210" customFormat="1" ht="26">
      <c r="A25" s="849" t="s">
        <v>612</v>
      </c>
      <c r="B25" s="211" t="s">
        <v>845</v>
      </c>
      <c r="C25" s="1197">
        <f ca="1">ROUND(IF('数据-取费表'!B22&lt;=1,C20*F22*'数据-取费表'!B23/2,C20*(POWER((1+F22),'数据-取费表'!B23/2)-1)),0)</f>
        <v>31</v>
      </c>
      <c r="D25" s="234"/>
      <c r="E25" s="237"/>
      <c r="F25" s="235"/>
      <c r="G25" s="238" t="s">
        <v>110</v>
      </c>
    </row>
    <row r="26" spans="1:7" s="210" customFormat="1" ht="13">
      <c r="A26" s="849" t="s">
        <v>614</v>
      </c>
      <c r="B26" s="211" t="s">
        <v>847</v>
      </c>
      <c r="C26" s="234">
        <f ca="1">ROUND(IF('数据-取费表'!B22&lt;=1,F21*F22*'数据-取费表'!B23/2,F21*(POWER((1+F22),'数据-取费表'!B23/2)-1)),4)</f>
        <v>1.2999999999999999E-3</v>
      </c>
      <c r="D26" s="234"/>
      <c r="E26" s="237"/>
      <c r="F26" s="235"/>
      <c r="G26" s="239"/>
    </row>
    <row r="27" spans="1:7" s="210" customFormat="1" ht="27">
      <c r="A27" s="846" t="s">
        <v>606</v>
      </c>
      <c r="B27" s="240" t="s">
        <v>112</v>
      </c>
      <c r="C27" s="241">
        <f>C28</f>
        <v>3691</v>
      </c>
      <c r="D27" s="231">
        <f>C29</f>
        <v>3.0000000000000001E-3</v>
      </c>
      <c r="E27" s="232" t="s">
        <v>126</v>
      </c>
      <c r="F27" s="242">
        <f>'数据-取费表'!Q16</f>
        <v>0.15</v>
      </c>
      <c r="G27" s="243" t="s">
        <v>856</v>
      </c>
    </row>
    <row r="28" spans="1:7" s="210" customFormat="1" ht="13.5" customHeight="1">
      <c r="A28" s="849" t="s">
        <v>613</v>
      </c>
      <c r="B28" s="244" t="s">
        <v>849</v>
      </c>
      <c r="C28" s="245">
        <f>ROUND((C5+C19+C20)*F27*'数据-取费表'!B21/'数据-取费表'!B20,0)</f>
        <v>3691</v>
      </c>
      <c r="D28" s="231"/>
      <c r="E28" s="232"/>
      <c r="F28" s="242"/>
      <c r="G28" s="243"/>
    </row>
    <row r="29" spans="1:7" s="210" customFormat="1" ht="13.5" customHeight="1">
      <c r="A29" s="849" t="s">
        <v>611</v>
      </c>
      <c r="B29" s="244" t="s">
        <v>850</v>
      </c>
      <c r="C29" s="234">
        <f>ROUND(C21*F27*'数据-取费表'!B21/'数据-取费表'!B20,4)</f>
        <v>3.0000000000000001E-3</v>
      </c>
      <c r="D29" s="231"/>
      <c r="E29" s="232"/>
      <c r="F29" s="242"/>
      <c r="G29" s="243"/>
    </row>
    <row r="30" spans="1:7" s="210" customFormat="1" ht="13.5" customHeight="1">
      <c r="A30" s="846" t="s">
        <v>607</v>
      </c>
      <c r="B30" s="206" t="s">
        <v>58</v>
      </c>
      <c r="C30" s="231">
        <f>F30</f>
        <v>5.5000000000000007E-2</v>
      </c>
      <c r="D30" s="232" t="s">
        <v>127</v>
      </c>
      <c r="E30" s="237"/>
      <c r="F30" s="233">
        <f>'数据-取费表'!B41</f>
        <v>5.5000000000000007E-2</v>
      </c>
      <c r="G30" s="230" t="s">
        <v>113</v>
      </c>
    </row>
    <row r="31" spans="1:7" ht="16.5" customHeight="1">
      <c r="A31" s="205">
        <v>1</v>
      </c>
      <c r="B31" s="206" t="s">
        <v>128</v>
      </c>
      <c r="C31" s="207">
        <f ca="1">ROUND((C5+C19+C20+C22+C27)/(1-C21-D22-D27-C30/(1+'数据-取费表'!B42)),0)</f>
        <v>34115</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70762</v>
      </c>
      <c r="D33" s="228"/>
      <c r="E33" s="208"/>
      <c r="F33" s="237"/>
      <c r="G33" s="230"/>
    </row>
    <row r="34" spans="1:7" s="254" customFormat="1" ht="13.5" customHeight="1">
      <c r="A34" s="849" t="s">
        <v>613</v>
      </c>
      <c r="B34" s="211" t="s">
        <v>59</v>
      </c>
      <c r="C34" s="216">
        <f>IF(F34=100%,'数据-取费表'!M16-SUMIF('数据-取费表'!C:C,"公共配套",'数据-取费表'!M:M),'数据-取费表'!O16-SUMIF('数据-取费表'!C:C,"公共配套",'数据-取费表'!O:O))</f>
        <v>64351</v>
      </c>
      <c r="D34" s="213"/>
      <c r="E34" s="216"/>
      <c r="F34" s="253">
        <f>IF('数据-取费表'!B24=0,1,'数据-取费表'!N16)</f>
        <v>1</v>
      </c>
      <c r="G34" s="215" t="s">
        <v>116</v>
      </c>
    </row>
    <row r="35" spans="1:7" ht="13.5" customHeight="1">
      <c r="A35" s="849" t="s">
        <v>615</v>
      </c>
      <c r="B35" s="211" t="s">
        <v>60</v>
      </c>
      <c r="C35" s="216">
        <f>ROUND(C34*F35,0)</f>
        <v>1931</v>
      </c>
      <c r="D35" s="216"/>
      <c r="E35" s="216"/>
      <c r="F35" s="255">
        <f>'数据-取费表'!B33</f>
        <v>0.03</v>
      </c>
      <c r="G35" s="215" t="s">
        <v>117</v>
      </c>
    </row>
    <row r="36" spans="1:7" ht="26">
      <c r="A36" s="849"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49" t="s">
        <v>617</v>
      </c>
      <c r="B37" s="211" t="s">
        <v>118</v>
      </c>
      <c r="C37" s="245">
        <f>ROUND(E37*D37*F34/10000,0)</f>
        <v>3515</v>
      </c>
      <c r="D37" s="213">
        <f>'数据-汇总表'!E3</f>
        <v>175770.51</v>
      </c>
      <c r="E37" s="245">
        <f>'数据-取费表'!B35</f>
        <v>200</v>
      </c>
      <c r="F37" s="255"/>
      <c r="G37" s="257" t="s">
        <v>119</v>
      </c>
    </row>
    <row r="38" spans="1:7" ht="13.5" customHeight="1">
      <c r="A38" s="849" t="s">
        <v>618</v>
      </c>
      <c r="B38" s="211" t="s">
        <v>63</v>
      </c>
      <c r="C38" s="216">
        <f>ROUND(C34*F38,0)</f>
        <v>965</v>
      </c>
      <c r="D38" s="216"/>
      <c r="E38" s="216"/>
      <c r="F38" s="255">
        <f>'数据-取费表'!B36</f>
        <v>1.4999999999999999E-2</v>
      </c>
      <c r="G38" s="215" t="s">
        <v>117</v>
      </c>
    </row>
    <row r="39" spans="1:7" s="210" customFormat="1" ht="13.5" customHeight="1">
      <c r="A39" s="846" t="s">
        <v>602</v>
      </c>
      <c r="B39" s="206" t="s">
        <v>104</v>
      </c>
      <c r="C39" s="228">
        <f>ROUND(C33*F20,0)</f>
        <v>1415</v>
      </c>
      <c r="D39" s="228"/>
      <c r="E39" s="228"/>
      <c r="F39" s="229"/>
      <c r="G39" s="1159" t="s">
        <v>858</v>
      </c>
    </row>
    <row r="40" spans="1:7" s="210" customFormat="1" ht="13.5" customHeight="1">
      <c r="A40" s="846" t="s">
        <v>603</v>
      </c>
      <c r="B40" s="206" t="s">
        <v>105</v>
      </c>
      <c r="C40" s="258">
        <f>F21</f>
        <v>0.02</v>
      </c>
      <c r="D40" s="232" t="s">
        <v>129</v>
      </c>
      <c r="E40" s="228"/>
      <c r="F40" s="229"/>
      <c r="G40" s="230" t="s">
        <v>120</v>
      </c>
    </row>
    <row r="41" spans="1:7" s="210" customFormat="1" ht="13.5" customHeight="1">
      <c r="A41" s="846" t="s">
        <v>604</v>
      </c>
      <c r="B41" s="206" t="s">
        <v>107</v>
      </c>
      <c r="C41" s="228">
        <f ca="1">ROUND(SUM(C42:C43),0)</f>
        <v>4594</v>
      </c>
      <c r="D41" s="231">
        <f ca="1">C44</f>
        <v>1.2999999999999999E-3</v>
      </c>
      <c r="E41" s="232" t="s">
        <v>129</v>
      </c>
      <c r="F41" s="233"/>
      <c r="G41" s="1159" t="str">
        <f>IF('数据-取费表'!B22&lt;=1,"单利计息","复利计息")</f>
        <v>复利计息</v>
      </c>
    </row>
    <row r="42" spans="1:7" ht="13.5" customHeight="1">
      <c r="A42" s="849" t="s">
        <v>613</v>
      </c>
      <c r="B42" s="211" t="s">
        <v>848</v>
      </c>
      <c r="C42" s="234">
        <f ca="1">ROUND(IF('数据-取费表'!B22&lt;=1,C33*F22*'数据-取费表'!B21/2,C33*(POWER((1+F22),'数据-取费表'!B21/2)-1)),0)</f>
        <v>4504</v>
      </c>
      <c r="D42" s="234"/>
      <c r="E42" s="234"/>
      <c r="F42" s="235"/>
      <c r="G42" s="3629" t="s">
        <v>121</v>
      </c>
    </row>
    <row r="43" spans="1:7" ht="13.5" customHeight="1">
      <c r="A43" s="849" t="s">
        <v>611</v>
      </c>
      <c r="B43" s="211" t="s">
        <v>851</v>
      </c>
      <c r="C43" s="234">
        <f ca="1">ROUND(IF('数据-取费表'!B22&lt;=1,C39*F22*'数据-取费表'!B21/2,C39*(POWER((1+F22),'数据-取费表'!B21/2)-1)),0)</f>
        <v>90</v>
      </c>
      <c r="D43" s="234"/>
      <c r="E43" s="234"/>
      <c r="F43" s="235"/>
      <c r="G43" s="3630"/>
    </row>
    <row r="44" spans="1:7" ht="13.5" customHeight="1">
      <c r="A44" s="849" t="s">
        <v>612</v>
      </c>
      <c r="B44" s="211" t="s">
        <v>853</v>
      </c>
      <c r="C44" s="234">
        <f ca="1">ROUND(IF('数据-取费表'!B22&lt;=1,C40*F22*'数据-取费表'!B21/2,C40*(POWER((1+F22),'数据-取费表'!B21/2)-1)),4)</f>
        <v>1.2999999999999999E-3</v>
      </c>
      <c r="D44" s="234"/>
      <c r="E44" s="234"/>
      <c r="F44" s="235"/>
      <c r="G44" s="3631"/>
    </row>
    <row r="45" spans="1:7" s="210" customFormat="1" ht="13.5" customHeight="1">
      <c r="A45" s="846" t="s">
        <v>605</v>
      </c>
      <c r="B45" s="240" t="s">
        <v>112</v>
      </c>
      <c r="C45" s="241">
        <f>C46</f>
        <v>10827</v>
      </c>
      <c r="D45" s="231">
        <f>C47</f>
        <v>3.0000000000000001E-3</v>
      </c>
      <c r="E45" s="232" t="s">
        <v>129</v>
      </c>
      <c r="F45" s="242"/>
      <c r="G45" s="243" t="s">
        <v>859</v>
      </c>
    </row>
    <row r="46" spans="1:7" s="210" customFormat="1" ht="13.5" customHeight="1">
      <c r="A46" s="849" t="s">
        <v>613</v>
      </c>
      <c r="B46" s="244" t="s">
        <v>852</v>
      </c>
      <c r="C46" s="245">
        <f>ROUND((C33+C39)*F27,0)</f>
        <v>10827</v>
      </c>
      <c r="D46" s="259"/>
      <c r="E46" s="232"/>
      <c r="F46" s="242"/>
      <c r="G46" s="243"/>
    </row>
    <row r="47" spans="1:7" s="210" customFormat="1" ht="13.5" customHeight="1">
      <c r="A47" s="849" t="s">
        <v>611</v>
      </c>
      <c r="B47" s="244" t="s">
        <v>854</v>
      </c>
      <c r="C47" s="234">
        <f>ROUND(C40*F27,4)</f>
        <v>3.0000000000000001E-3</v>
      </c>
      <c r="D47" s="259"/>
      <c r="E47" s="232"/>
      <c r="F47" s="242"/>
      <c r="G47" s="243"/>
    </row>
    <row r="48" spans="1:7" s="210" customFormat="1" ht="13.5" customHeight="1">
      <c r="A48" s="846" t="s">
        <v>606</v>
      </c>
      <c r="B48" s="206" t="s">
        <v>122</v>
      </c>
      <c r="C48" s="258">
        <f>F30</f>
        <v>5.5000000000000007E-2</v>
      </c>
      <c r="D48" s="232" t="s">
        <v>130</v>
      </c>
      <c r="E48" s="228"/>
      <c r="F48" s="233"/>
      <c r="G48" s="230" t="s">
        <v>123</v>
      </c>
    </row>
    <row r="49" spans="1:7" ht="16.5" customHeight="1">
      <c r="A49" s="846" t="s">
        <v>607</v>
      </c>
      <c r="B49" s="206" t="s">
        <v>131</v>
      </c>
      <c r="C49" s="228">
        <f ca="1">ROUND((C33+C39+C41+C45)/(1-C40-D41-D45-C48/(1+'数据-取费表'!B42)),0)</f>
        <v>94873</v>
      </c>
      <c r="D49" s="228"/>
      <c r="E49" s="228"/>
      <c r="F49" s="260"/>
      <c r="G49" s="230" t="s">
        <v>860</v>
      </c>
    </row>
    <row r="50" spans="1:7" s="254" customFormat="1" ht="26">
      <c r="A50" s="846" t="s">
        <v>608</v>
      </c>
      <c r="B50" s="206" t="s">
        <v>124</v>
      </c>
      <c r="C50" s="228"/>
      <c r="D50" s="228"/>
      <c r="E50" s="228"/>
      <c r="F50" s="260">
        <f>IF('数据-取费表'!B24=0,'数据-取费表'!N16,1)</f>
        <v>0.98</v>
      </c>
      <c r="G50" s="243" t="s">
        <v>125</v>
      </c>
    </row>
    <row r="51" spans="1:7" ht="16.5" customHeight="1">
      <c r="A51" s="846" t="s">
        <v>609</v>
      </c>
      <c r="B51" s="206" t="s">
        <v>132</v>
      </c>
      <c r="C51" s="228">
        <f ca="1">ROUND(C49*F50,0)</f>
        <v>92976</v>
      </c>
      <c r="D51" s="228"/>
      <c r="E51" s="228"/>
      <c r="F51" s="260"/>
      <c r="G51" s="230" t="s">
        <v>64</v>
      </c>
    </row>
    <row r="52" spans="1:7" s="204" customFormat="1" ht="16.5" thickBot="1">
      <c r="A52" s="261" t="s">
        <v>65</v>
      </c>
      <c r="B52" s="262"/>
      <c r="C52" s="263">
        <f ca="1">C31+C51</f>
        <v>127091</v>
      </c>
      <c r="D52" s="262"/>
      <c r="E52" s="262"/>
      <c r="F52" s="262"/>
      <c r="G52" s="264"/>
    </row>
    <row r="55" spans="1:7" ht="15.5">
      <c r="B55" s="266" t="s">
        <v>66</v>
      </c>
      <c r="C55" s="267"/>
    </row>
    <row r="56" spans="1:7" ht="13">
      <c r="B56" s="269" t="s">
        <v>67</v>
      </c>
      <c r="C56" s="270">
        <f ca="1">ROUND(C51/C52,3)</f>
        <v>0.73199999999999998</v>
      </c>
    </row>
    <row r="57" spans="1:7" ht="13">
      <c r="B57" s="269" t="s">
        <v>68</v>
      </c>
      <c r="C57" s="271">
        <f ca="1">1-C56</f>
        <v>0.26800000000000002</v>
      </c>
    </row>
  </sheetData>
  <mergeCells count="1">
    <mergeCell ref="G42:G44"/>
  </mergeCells>
  <phoneticPr fontId="21"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591" customWidth="1"/>
    <col min="2" max="9" width="12.08984375" style="1591" customWidth="1"/>
    <col min="10" max="16384" width="9" style="1591"/>
  </cols>
  <sheetData>
    <row r="1" spans="1:9" ht="18.5" thickBot="1">
      <c r="A1" s="3390" t="str">
        <f>IF(项目基本情况!B9="房地产市场价值","估价结果一览表","结果表-2")</f>
        <v>结果表-2</v>
      </c>
      <c r="B1" s="3390"/>
      <c r="C1" s="3390"/>
      <c r="D1" s="3390"/>
      <c r="E1" s="3390"/>
      <c r="F1" s="3390"/>
      <c r="G1" s="3390"/>
      <c r="H1" s="3390"/>
      <c r="I1" s="3390"/>
    </row>
    <row r="2" spans="1:9" ht="30" customHeight="1" thickTop="1">
      <c r="A2" s="3391" t="s">
        <v>1362</v>
      </c>
      <c r="B2" s="3391" t="s">
        <v>1363</v>
      </c>
      <c r="C2" s="3391" t="s">
        <v>1364</v>
      </c>
      <c r="D2" s="3391" t="str">
        <f>结果表!D116</f>
        <v>出让国有建设用地使用权价值</v>
      </c>
      <c r="E2" s="3391"/>
      <c r="F2" s="3391" t="str">
        <f>结果表!F116</f>
        <v>在建建筑物价值</v>
      </c>
      <c r="G2" s="3391"/>
      <c r="H2" s="3391" t="str">
        <f>IF(项目基本情况!B9="房地产市场价值","房地产市场价值","房地产价值")</f>
        <v>房地产价值</v>
      </c>
      <c r="I2" s="3391"/>
    </row>
    <row r="3" spans="1:9" ht="16">
      <c r="A3" s="3392"/>
      <c r="B3" s="3392"/>
      <c r="C3" s="3392"/>
      <c r="D3" s="924" t="s">
        <v>1359</v>
      </c>
      <c r="E3" s="924" t="s">
        <v>1365</v>
      </c>
      <c r="F3" s="924" t="s">
        <v>1359</v>
      </c>
      <c r="G3" s="924" t="s">
        <v>1360</v>
      </c>
      <c r="H3" s="924" t="s">
        <v>1359</v>
      </c>
      <c r="I3" s="924" t="s">
        <v>1360</v>
      </c>
    </row>
    <row r="4" spans="1:9" ht="46.5">
      <c r="A4" s="1619" t="str">
        <f>项目基本情况!S2</f>
        <v>北京市大兴区广茂大街19号院商业、办公、地下车库用房房地产房地产</v>
      </c>
      <c r="B4" s="924">
        <f>项目基本情况!C17</f>
        <v>175770.51</v>
      </c>
      <c r="C4" s="924">
        <f>项目基本情况!C18</f>
        <v>35673.11</v>
      </c>
      <c r="D4" s="924">
        <f ca="1">结果表!D118</f>
        <v>172185</v>
      </c>
      <c r="E4" s="924">
        <f ca="1">结果表!E118</f>
        <v>9796</v>
      </c>
      <c r="F4" s="924">
        <f ca="1">结果表!F118</f>
        <v>81123</v>
      </c>
      <c r="G4" s="924">
        <f ca="1">结果表!G118</f>
        <v>4615</v>
      </c>
      <c r="H4" s="924">
        <f ca="1">结果表!H118</f>
        <v>253308</v>
      </c>
      <c r="I4" s="924">
        <f ca="1">结果表!I118</f>
        <v>14411</v>
      </c>
    </row>
    <row r="5" spans="1:9" ht="30" customHeight="1">
      <c r="A5" s="3392" t="s">
        <v>1361</v>
      </c>
      <c r="B5" s="3392"/>
      <c r="C5" s="3392"/>
      <c r="D5" s="3393" t="str">
        <f ca="1">结果表!D119</f>
        <v>壹拾柒亿贰仟壹佰捌拾伍万元整</v>
      </c>
      <c r="E5" s="3393"/>
      <c r="F5" s="3393" t="str">
        <f ca="1">结果表!F119</f>
        <v>捌亿壹仟壹佰贰拾叁万元整</v>
      </c>
      <c r="G5" s="3393"/>
      <c r="H5" s="3393" t="str">
        <f ca="1">结果表!H119</f>
        <v>贰拾伍亿叁仟叁佰零捌万元整</v>
      </c>
      <c r="I5" s="3393"/>
    </row>
    <row r="6" spans="1:9" ht="15.5">
      <c r="A6" s="3394" t="str">
        <f>结果表!A120</f>
        <v>估价师知悉的法定优先受偿款</v>
      </c>
      <c r="B6" s="3394"/>
      <c r="C6" s="3394"/>
      <c r="D6" s="3394">
        <f>结果表!D120</f>
        <v>0</v>
      </c>
      <c r="E6" s="3394"/>
      <c r="F6" s="3394"/>
      <c r="G6" s="3394"/>
      <c r="H6" s="3394"/>
      <c r="I6" s="3394"/>
    </row>
    <row r="7" spans="1:9" ht="15.5">
      <c r="A7" s="3392" t="s">
        <v>1361</v>
      </c>
      <c r="B7" s="3392"/>
      <c r="C7" s="3392"/>
      <c r="D7" s="3395" t="str">
        <f>结果表!D121</f>
        <v>零元整</v>
      </c>
      <c r="E7" s="3396"/>
      <c r="F7" s="3396"/>
      <c r="G7" s="3396"/>
      <c r="H7" s="3396"/>
      <c r="I7" s="3397"/>
    </row>
    <row r="8" spans="1:9" ht="15.5">
      <c r="A8" s="3394" t="str">
        <f>结果表!A122</f>
        <v>房地产抵押价值</v>
      </c>
      <c r="B8" s="3394"/>
      <c r="C8" s="3394"/>
      <c r="D8" s="3394">
        <f ca="1">结果表!D122</f>
        <v>253308</v>
      </c>
      <c r="E8" s="3394"/>
      <c r="F8" s="3394"/>
      <c r="G8" s="3394"/>
      <c r="H8" s="3394"/>
      <c r="I8" s="3394"/>
    </row>
    <row r="9" spans="1:9" ht="15.5">
      <c r="A9" s="3392" t="s">
        <v>1361</v>
      </c>
      <c r="B9" s="3392"/>
      <c r="C9" s="3392"/>
      <c r="D9" s="3393" t="str">
        <f ca="1">结果表!D123</f>
        <v>贰拾伍亿叁仟叁佰零捌万元整</v>
      </c>
      <c r="E9" s="3393"/>
      <c r="F9" s="3393"/>
      <c r="G9" s="3393"/>
      <c r="H9" s="3393"/>
      <c r="I9" s="3393"/>
    </row>
    <row r="10" spans="1:9" ht="15.5">
      <c r="A10" s="3394" t="str">
        <f>结果表!A124</f>
        <v/>
      </c>
      <c r="B10" s="3394"/>
      <c r="C10" s="3394"/>
      <c r="D10" s="3394" t="str">
        <f>结果表!D124</f>
        <v>——</v>
      </c>
      <c r="E10" s="3394"/>
      <c r="F10" s="3394"/>
      <c r="G10" s="3394"/>
      <c r="H10" s="3394"/>
      <c r="I10" s="3394"/>
    </row>
    <row r="11" spans="1:9" ht="15.5">
      <c r="A11" s="3392" t="s">
        <v>1361</v>
      </c>
      <c r="B11" s="3392"/>
      <c r="C11" s="3392"/>
      <c r="D11" s="3393" t="e">
        <f>结果表!D125</f>
        <v>#VALUE!</v>
      </c>
      <c r="E11" s="3393"/>
      <c r="F11" s="3393"/>
      <c r="G11" s="3393"/>
      <c r="H11" s="3393"/>
      <c r="I11" s="3393"/>
    </row>
    <row r="12" spans="1:9" ht="15.5">
      <c r="A12" s="3394" t="str">
        <f>结果表!A126</f>
        <v/>
      </c>
      <c r="B12" s="3394"/>
      <c r="C12" s="3394"/>
      <c r="D12" s="3394" t="str">
        <f>结果表!D126</f>
        <v>——</v>
      </c>
      <c r="E12" s="3394"/>
      <c r="F12" s="3394"/>
      <c r="G12" s="3394"/>
      <c r="H12" s="3394"/>
      <c r="I12" s="3394"/>
    </row>
    <row r="13" spans="1:9" ht="16" thickBot="1">
      <c r="A13" s="3398" t="s">
        <v>1361</v>
      </c>
      <c r="B13" s="3398"/>
      <c r="C13" s="3398"/>
      <c r="D13" s="3399" t="e">
        <f>结果表!D127</f>
        <v>#VALUE!</v>
      </c>
      <c r="E13" s="3399"/>
      <c r="F13" s="3399"/>
      <c r="G13" s="3399"/>
      <c r="H13" s="3399"/>
      <c r="I13" s="3399"/>
    </row>
    <row r="14" spans="1:9" ht="14.5" thickTop="1">
      <c r="A14" s="3400" t="s">
        <v>1366</v>
      </c>
      <c r="B14" s="3400"/>
      <c r="C14" s="3400"/>
      <c r="D14" s="3400"/>
      <c r="E14" s="3400"/>
      <c r="F14" s="3400"/>
      <c r="G14" s="3400"/>
      <c r="H14" s="3400"/>
      <c r="I14" s="3400"/>
    </row>
    <row r="16" spans="1:9" ht="17.5">
      <c r="A16" s="1620" t="s">
        <v>1349</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344"/>
  <sheetViews>
    <sheetView workbookViewId="0">
      <selection activeCell="G224" sqref="G224"/>
    </sheetView>
  </sheetViews>
  <sheetFormatPr defaultColWidth="9" defaultRowHeight="14"/>
  <cols>
    <col min="1" max="1" width="12.6328125" style="774" customWidth="1"/>
    <col min="2" max="5" width="10.08984375" style="732" customWidth="1"/>
    <col min="6" max="6" width="9" style="732"/>
    <col min="7" max="8" width="9" style="747"/>
    <col min="9" max="16384" width="9" style="732"/>
  </cols>
  <sheetData>
    <row r="1" spans="1:19">
      <c r="A1" s="3744" t="s">
        <v>156</v>
      </c>
      <c r="B1" s="3744"/>
      <c r="C1" s="3744"/>
      <c r="D1" s="3744"/>
      <c r="E1" s="3744"/>
      <c r="F1" s="3744"/>
      <c r="H1" s="749" t="s">
        <v>157</v>
      </c>
      <c r="I1" s="750" t="s">
        <v>158</v>
      </c>
      <c r="J1" s="750" t="s">
        <v>159</v>
      </c>
      <c r="K1" s="750" t="s">
        <v>160</v>
      </c>
      <c r="L1" s="750" t="s">
        <v>161</v>
      </c>
      <c r="M1" s="750" t="s">
        <v>162</v>
      </c>
      <c r="N1" s="750" t="s">
        <v>163</v>
      </c>
      <c r="O1" s="750" t="s">
        <v>164</v>
      </c>
      <c r="P1" s="750" t="s">
        <v>165</v>
      </c>
      <c r="Q1" s="750" t="s">
        <v>166</v>
      </c>
      <c r="R1" s="750" t="s">
        <v>167</v>
      </c>
      <c r="S1" s="751" t="s">
        <v>168</v>
      </c>
    </row>
    <row r="2" spans="1:19" ht="14.5" thickBot="1">
      <c r="A2" s="3745" t="s">
        <v>169</v>
      </c>
      <c r="B2" s="3745"/>
      <c r="C2" s="3745"/>
      <c r="D2" s="3745"/>
      <c r="E2" s="3745"/>
      <c r="F2" s="3745"/>
      <c r="H2" s="752" t="s">
        <v>170</v>
      </c>
      <c r="I2" s="753" t="s">
        <v>171</v>
      </c>
      <c r="J2" s="753" t="s">
        <v>172</v>
      </c>
      <c r="K2" s="753" t="s">
        <v>173</v>
      </c>
      <c r="L2" s="753" t="s">
        <v>174</v>
      </c>
      <c r="M2" s="753" t="s">
        <v>175</v>
      </c>
      <c r="N2" s="753" t="s">
        <v>176</v>
      </c>
      <c r="O2" s="753" t="s">
        <v>177</v>
      </c>
      <c r="P2" s="753" t="s">
        <v>178</v>
      </c>
      <c r="Q2" s="753" t="s">
        <v>179</v>
      </c>
      <c r="R2" s="753" t="s">
        <v>180</v>
      </c>
      <c r="S2" s="753" t="s">
        <v>181</v>
      </c>
    </row>
    <row r="3" spans="1:19" s="748" customFormat="1" ht="19.5" customHeight="1">
      <c r="A3" s="3746" t="s">
        <v>182</v>
      </c>
      <c r="B3" s="754"/>
      <c r="C3" s="755" t="s">
        <v>183</v>
      </c>
      <c r="D3" s="755" t="s">
        <v>184</v>
      </c>
      <c r="E3" s="755" t="s">
        <v>572</v>
      </c>
      <c r="F3" s="755" t="s">
        <v>185</v>
      </c>
      <c r="G3" s="756"/>
      <c r="H3" s="752" t="s">
        <v>186</v>
      </c>
      <c r="I3" s="753" t="s">
        <v>187</v>
      </c>
      <c r="J3" s="753" t="s">
        <v>188</v>
      </c>
      <c r="K3" s="753" t="s">
        <v>189</v>
      </c>
      <c r="L3" s="753" t="s">
        <v>190</v>
      </c>
      <c r="M3" s="753" t="s">
        <v>191</v>
      </c>
      <c r="N3" s="753" t="s">
        <v>192</v>
      </c>
      <c r="O3" s="753" t="s">
        <v>193</v>
      </c>
      <c r="P3" s="753" t="s">
        <v>194</v>
      </c>
      <c r="Q3" s="753" t="s">
        <v>195</v>
      </c>
      <c r="R3" s="753" t="s">
        <v>196</v>
      </c>
      <c r="S3" s="753" t="s">
        <v>197</v>
      </c>
    </row>
    <row r="4" spans="1:19" s="748" customFormat="1" ht="19.5" customHeight="1" thickBot="1">
      <c r="A4" s="3747"/>
      <c r="B4" s="757" t="s">
        <v>198</v>
      </c>
      <c r="C4" s="757" t="s">
        <v>199</v>
      </c>
      <c r="D4" s="757" t="s">
        <v>199</v>
      </c>
      <c r="E4" s="757" t="s">
        <v>199</v>
      </c>
      <c r="F4" s="758" t="s">
        <v>199</v>
      </c>
      <c r="G4" s="756"/>
      <c r="H4" s="752" t="s">
        <v>200</v>
      </c>
      <c r="I4" s="753" t="s">
        <v>138</v>
      </c>
      <c r="J4" s="753" t="s">
        <v>201</v>
      </c>
      <c r="K4" s="753" t="s">
        <v>202</v>
      </c>
      <c r="L4" s="753" t="s">
        <v>203</v>
      </c>
      <c r="M4" s="753" t="s">
        <v>204</v>
      </c>
      <c r="N4" s="753" t="s">
        <v>205</v>
      </c>
      <c r="O4" s="753" t="s">
        <v>206</v>
      </c>
      <c r="P4" s="753" t="s">
        <v>207</v>
      </c>
      <c r="Q4" s="753" t="s">
        <v>208</v>
      </c>
      <c r="R4" s="753" t="s">
        <v>209</v>
      </c>
      <c r="S4" s="753" t="s">
        <v>210</v>
      </c>
    </row>
    <row r="5" spans="1:19" ht="14.25" customHeight="1" thickBot="1">
      <c r="A5" s="759" t="s">
        <v>635</v>
      </c>
      <c r="B5" s="760" t="s">
        <v>636</v>
      </c>
      <c r="C5" s="760">
        <v>29530</v>
      </c>
      <c r="D5" s="760">
        <v>28130</v>
      </c>
      <c r="E5" s="760">
        <v>27930</v>
      </c>
      <c r="F5" s="761">
        <v>11300</v>
      </c>
      <c r="G5" s="756"/>
      <c r="H5" s="752" t="s">
        <v>212</v>
      </c>
      <c r="I5" s="753" t="s">
        <v>213</v>
      </c>
      <c r="J5" s="753" t="s">
        <v>214</v>
      </c>
      <c r="K5" s="753" t="s">
        <v>215</v>
      </c>
      <c r="L5" s="753" t="s">
        <v>216</v>
      </c>
      <c r="M5" s="753" t="s">
        <v>217</v>
      </c>
      <c r="N5" s="753" t="s">
        <v>218</v>
      </c>
      <c r="O5" s="753" t="s">
        <v>219</v>
      </c>
      <c r="P5" s="753" t="s">
        <v>220</v>
      </c>
      <c r="Q5" s="753" t="s">
        <v>221</v>
      </c>
      <c r="R5" s="753" t="s">
        <v>222</v>
      </c>
      <c r="S5" s="753" t="s">
        <v>223</v>
      </c>
    </row>
    <row r="6" spans="1:19" ht="14.25" customHeight="1" thickBot="1">
      <c r="A6" s="759" t="s">
        <v>211</v>
      </c>
      <c r="B6" s="753" t="s">
        <v>186</v>
      </c>
      <c r="C6" s="753">
        <v>30290</v>
      </c>
      <c r="D6" s="753">
        <v>29210</v>
      </c>
      <c r="E6" s="753">
        <v>28860</v>
      </c>
      <c r="F6" s="762">
        <v>12600</v>
      </c>
      <c r="G6" s="756"/>
      <c r="H6" s="752" t="s">
        <v>224</v>
      </c>
      <c r="I6" s="753" t="s">
        <v>225</v>
      </c>
      <c r="J6" s="753" t="s">
        <v>226</v>
      </c>
      <c r="K6" s="753" t="s">
        <v>227</v>
      </c>
      <c r="L6" s="753" t="s">
        <v>228</v>
      </c>
      <c r="M6" s="753" t="s">
        <v>229</v>
      </c>
      <c r="N6" s="753" t="s">
        <v>230</v>
      </c>
      <c r="O6" s="753" t="s">
        <v>231</v>
      </c>
      <c r="P6" s="753" t="s">
        <v>232</v>
      </c>
      <c r="Q6" s="753" t="s">
        <v>233</v>
      </c>
      <c r="R6" s="753" t="s">
        <v>234</v>
      </c>
      <c r="S6" s="753" t="s">
        <v>235</v>
      </c>
    </row>
    <row r="7" spans="1:19" ht="14.25" customHeight="1" thickBot="1">
      <c r="A7" s="759" t="s">
        <v>211</v>
      </c>
      <c r="B7" s="763" t="s">
        <v>200</v>
      </c>
      <c r="C7" s="753">
        <v>29350</v>
      </c>
      <c r="D7" s="753">
        <v>28410</v>
      </c>
      <c r="E7" s="753">
        <v>27990</v>
      </c>
      <c r="F7" s="762">
        <v>12300</v>
      </c>
      <c r="G7" s="756"/>
      <c r="I7" s="753" t="s">
        <v>236</v>
      </c>
      <c r="J7" s="753" t="s">
        <v>237</v>
      </c>
      <c r="K7" s="753" t="s">
        <v>238</v>
      </c>
      <c r="L7" s="753" t="s">
        <v>239</v>
      </c>
      <c r="M7" s="753" t="s">
        <v>240</v>
      </c>
      <c r="N7" s="753" t="s">
        <v>241</v>
      </c>
      <c r="O7" s="753" t="s">
        <v>242</v>
      </c>
      <c r="P7" s="753" t="s">
        <v>243</v>
      </c>
      <c r="Q7" s="753" t="s">
        <v>244</v>
      </c>
      <c r="R7" s="753" t="s">
        <v>245</v>
      </c>
      <c r="S7" s="763" t="s">
        <v>246</v>
      </c>
    </row>
    <row r="8" spans="1:19" ht="14.25" customHeight="1" thickBot="1">
      <c r="A8" s="759" t="s">
        <v>211</v>
      </c>
      <c r="B8" s="753" t="s">
        <v>212</v>
      </c>
      <c r="C8" s="753">
        <v>30890</v>
      </c>
      <c r="D8" s="753">
        <v>29780</v>
      </c>
      <c r="E8" s="753">
        <v>29270</v>
      </c>
      <c r="F8" s="762">
        <v>11600</v>
      </c>
      <c r="G8" s="756"/>
      <c r="I8" s="753" t="s">
        <v>247</v>
      </c>
      <c r="J8" s="753" t="s">
        <v>248</v>
      </c>
      <c r="K8" s="753" t="s">
        <v>249</v>
      </c>
      <c r="L8" s="753" t="s">
        <v>250</v>
      </c>
      <c r="M8" s="753" t="s">
        <v>251</v>
      </c>
      <c r="N8" s="753" t="s">
        <v>252</v>
      </c>
      <c r="O8" s="753" t="s">
        <v>253</v>
      </c>
      <c r="P8" s="753" t="s">
        <v>254</v>
      </c>
      <c r="Q8" s="753" t="s">
        <v>255</v>
      </c>
      <c r="R8" s="753" t="s">
        <v>256</v>
      </c>
      <c r="S8" s="753" t="s">
        <v>257</v>
      </c>
    </row>
    <row r="9" spans="1:19" ht="14.25" customHeight="1" thickBot="1">
      <c r="A9" s="759" t="s">
        <v>211</v>
      </c>
      <c r="B9" s="764" t="s">
        <v>224</v>
      </c>
      <c r="C9" s="765">
        <v>28140</v>
      </c>
      <c r="D9" s="765"/>
      <c r="E9" s="765"/>
      <c r="F9" s="766"/>
      <c r="G9" s="756"/>
      <c r="I9" s="753" t="s">
        <v>258</v>
      </c>
      <c r="J9" s="753" t="s">
        <v>259</v>
      </c>
      <c r="K9" s="753" t="s">
        <v>260</v>
      </c>
      <c r="L9" s="753" t="s">
        <v>261</v>
      </c>
      <c r="M9" s="753" t="s">
        <v>262</v>
      </c>
      <c r="N9" s="753" t="s">
        <v>263</v>
      </c>
      <c r="O9" s="753" t="s">
        <v>264</v>
      </c>
      <c r="P9" s="753" t="s">
        <v>265</v>
      </c>
      <c r="Q9" s="753" t="s">
        <v>266</v>
      </c>
      <c r="R9" s="753" t="s">
        <v>267</v>
      </c>
    </row>
    <row r="10" spans="1:19" ht="14.25" customHeight="1" thickBot="1">
      <c r="A10" s="759" t="s">
        <v>268</v>
      </c>
      <c r="B10" s="760" t="s">
        <v>269</v>
      </c>
      <c r="C10" s="760">
        <v>27450</v>
      </c>
      <c r="D10" s="760">
        <v>26180</v>
      </c>
      <c r="E10" s="760">
        <v>25980</v>
      </c>
      <c r="F10" s="761">
        <v>8910</v>
      </c>
      <c r="G10" s="756"/>
      <c r="I10" s="753" t="s">
        <v>270</v>
      </c>
      <c r="J10" s="753" t="s">
        <v>271</v>
      </c>
      <c r="K10" s="753" t="s">
        <v>272</v>
      </c>
      <c r="L10" s="753" t="s">
        <v>273</v>
      </c>
      <c r="M10" s="753" t="s">
        <v>274</v>
      </c>
      <c r="N10" s="753" t="s">
        <v>275</v>
      </c>
      <c r="O10" s="753" t="s">
        <v>276</v>
      </c>
      <c r="P10" s="753" t="s">
        <v>277</v>
      </c>
      <c r="Q10" s="753" t="s">
        <v>278</v>
      </c>
      <c r="R10" s="753" t="s">
        <v>279</v>
      </c>
    </row>
    <row r="11" spans="1:19" ht="14.25" customHeight="1" thickBot="1">
      <c r="A11" s="759" t="s">
        <v>268</v>
      </c>
      <c r="B11" s="763" t="s">
        <v>187</v>
      </c>
      <c r="C11" s="753">
        <v>22950</v>
      </c>
      <c r="D11" s="753">
        <v>22630</v>
      </c>
      <c r="E11" s="753">
        <v>22030</v>
      </c>
      <c r="F11" s="767">
        <v>8330</v>
      </c>
      <c r="G11" s="756"/>
      <c r="I11" s="753" t="s">
        <v>280</v>
      </c>
      <c r="J11" s="753" t="s">
        <v>281</v>
      </c>
      <c r="K11" s="753" t="s">
        <v>282</v>
      </c>
      <c r="L11" s="753" t="s">
        <v>283</v>
      </c>
      <c r="M11" s="753" t="s">
        <v>284</v>
      </c>
      <c r="N11" s="753" t="s">
        <v>285</v>
      </c>
      <c r="O11" s="753" t="s">
        <v>286</v>
      </c>
      <c r="P11" s="753" t="s">
        <v>287</v>
      </c>
      <c r="Q11" s="753" t="s">
        <v>288</v>
      </c>
      <c r="R11" s="753" t="s">
        <v>289</v>
      </c>
    </row>
    <row r="12" spans="1:19" ht="14.25" customHeight="1" thickBot="1">
      <c r="A12" s="759" t="s">
        <v>268</v>
      </c>
      <c r="B12" s="763" t="s">
        <v>138</v>
      </c>
      <c r="C12" s="753">
        <v>24940</v>
      </c>
      <c r="D12" s="753">
        <v>23180</v>
      </c>
      <c r="E12" s="753">
        <v>22910</v>
      </c>
      <c r="F12" s="767">
        <v>7180</v>
      </c>
      <c r="G12" s="756"/>
      <c r="I12" s="753" t="s">
        <v>290</v>
      </c>
      <c r="J12" s="753" t="s">
        <v>291</v>
      </c>
      <c r="K12" s="753" t="s">
        <v>292</v>
      </c>
      <c r="L12" s="753" t="s">
        <v>293</v>
      </c>
      <c r="M12" s="753" t="s">
        <v>294</v>
      </c>
      <c r="N12" s="753" t="s">
        <v>295</v>
      </c>
      <c r="O12" s="753" t="s">
        <v>296</v>
      </c>
      <c r="P12" s="753" t="s">
        <v>297</v>
      </c>
      <c r="Q12" s="753" t="s">
        <v>298</v>
      </c>
      <c r="R12" s="753" t="s">
        <v>299</v>
      </c>
    </row>
    <row r="13" spans="1:19" ht="14.25" customHeight="1" thickBot="1">
      <c r="A13" s="759" t="s">
        <v>268</v>
      </c>
      <c r="B13" s="763" t="s">
        <v>213</v>
      </c>
      <c r="C13" s="753">
        <v>24140</v>
      </c>
      <c r="D13" s="753">
        <v>22270</v>
      </c>
      <c r="E13" s="753">
        <v>21950</v>
      </c>
      <c r="F13" s="767">
        <v>7600</v>
      </c>
      <c r="G13" s="756"/>
      <c r="I13" s="753" t="s">
        <v>300</v>
      </c>
      <c r="J13" s="753" t="s">
        <v>301</v>
      </c>
      <c r="K13" s="753" t="s">
        <v>302</v>
      </c>
      <c r="L13" s="753" t="s">
        <v>303</v>
      </c>
      <c r="M13" s="753" t="s">
        <v>304</v>
      </c>
      <c r="N13" s="753" t="s">
        <v>305</v>
      </c>
      <c r="O13" s="753" t="s">
        <v>306</v>
      </c>
      <c r="P13" s="753" t="s">
        <v>307</v>
      </c>
      <c r="Q13" s="753" t="s">
        <v>308</v>
      </c>
      <c r="R13" s="753" t="s">
        <v>309</v>
      </c>
    </row>
    <row r="14" spans="1:19" ht="14.25" customHeight="1" thickBot="1">
      <c r="A14" s="759" t="s">
        <v>268</v>
      </c>
      <c r="B14" s="763" t="s">
        <v>225</v>
      </c>
      <c r="C14" s="753">
        <v>25600</v>
      </c>
      <c r="D14" s="753">
        <v>22260</v>
      </c>
      <c r="E14" s="753">
        <v>22110</v>
      </c>
      <c r="F14" s="767">
        <v>7630</v>
      </c>
      <c r="G14" s="756"/>
      <c r="I14" s="753" t="s">
        <v>310</v>
      </c>
      <c r="J14" s="753" t="s">
        <v>311</v>
      </c>
      <c r="K14" s="753" t="s">
        <v>312</v>
      </c>
      <c r="L14" s="753" t="s">
        <v>313</v>
      </c>
      <c r="M14" s="753" t="s">
        <v>314</v>
      </c>
      <c r="N14" s="753" t="s">
        <v>315</v>
      </c>
      <c r="O14" s="753" t="s">
        <v>316</v>
      </c>
      <c r="P14" s="753" t="s">
        <v>317</v>
      </c>
      <c r="Q14" s="753" t="s">
        <v>318</v>
      </c>
      <c r="R14" s="753" t="s">
        <v>319</v>
      </c>
    </row>
    <row r="15" spans="1:19" ht="14.25" customHeight="1" thickBot="1">
      <c r="A15" s="759" t="s">
        <v>268</v>
      </c>
      <c r="B15" s="763" t="s">
        <v>236</v>
      </c>
      <c r="C15" s="753">
        <v>24760</v>
      </c>
      <c r="D15" s="753">
        <v>24440</v>
      </c>
      <c r="E15" s="753">
        <v>24130</v>
      </c>
      <c r="F15" s="767">
        <v>9480</v>
      </c>
      <c r="G15" s="756"/>
      <c r="I15" s="753" t="s">
        <v>321</v>
      </c>
      <c r="J15" s="753" t="s">
        <v>322</v>
      </c>
      <c r="K15" s="753" t="s">
        <v>323</v>
      </c>
      <c r="L15" s="753" t="s">
        <v>324</v>
      </c>
      <c r="M15" s="753" t="s">
        <v>325</v>
      </c>
      <c r="N15" s="753" t="s">
        <v>326</v>
      </c>
      <c r="O15" s="753" t="s">
        <v>327</v>
      </c>
      <c r="P15" s="753" t="s">
        <v>328</v>
      </c>
      <c r="Q15" s="753" t="s">
        <v>329</v>
      </c>
      <c r="R15" s="753" t="s">
        <v>330</v>
      </c>
    </row>
    <row r="16" spans="1:19" ht="14.25" customHeight="1" thickBot="1">
      <c r="A16" s="759" t="s">
        <v>268</v>
      </c>
      <c r="B16" s="763" t="s">
        <v>247</v>
      </c>
      <c r="C16" s="753">
        <v>22220</v>
      </c>
      <c r="D16" s="753">
        <v>22310</v>
      </c>
      <c r="E16" s="753">
        <v>22000</v>
      </c>
      <c r="F16" s="767">
        <v>8900</v>
      </c>
      <c r="G16" s="756"/>
      <c r="I16" s="753" t="s">
        <v>332</v>
      </c>
      <c r="J16" s="753" t="s">
        <v>333</v>
      </c>
      <c r="K16" s="753" t="s">
        <v>334</v>
      </c>
      <c r="L16" s="753" t="s">
        <v>335</v>
      </c>
      <c r="M16" s="753" t="s">
        <v>336</v>
      </c>
      <c r="N16" s="753" t="s">
        <v>337</v>
      </c>
      <c r="O16" s="753" t="s">
        <v>338</v>
      </c>
      <c r="P16" s="753" t="s">
        <v>339</v>
      </c>
      <c r="Q16" s="753" t="s">
        <v>340</v>
      </c>
      <c r="R16" s="753" t="s">
        <v>341</v>
      </c>
    </row>
    <row r="17" spans="1:18" ht="14.25" customHeight="1" thickBot="1">
      <c r="A17" s="759" t="s">
        <v>268</v>
      </c>
      <c r="B17" s="763" t="s">
        <v>258</v>
      </c>
      <c r="C17" s="753">
        <v>24700</v>
      </c>
      <c r="D17" s="753">
        <v>25150</v>
      </c>
      <c r="E17" s="753">
        <v>24700</v>
      </c>
      <c r="F17" s="768"/>
      <c r="G17" s="756"/>
      <c r="I17" s="753" t="s">
        <v>342</v>
      </c>
      <c r="J17" s="753" t="s">
        <v>343</v>
      </c>
      <c r="K17" s="753" t="s">
        <v>344</v>
      </c>
      <c r="L17" s="753" t="s">
        <v>345</v>
      </c>
      <c r="M17" s="753" t="s">
        <v>346</v>
      </c>
      <c r="N17" s="753" t="s">
        <v>347</v>
      </c>
      <c r="O17" s="753" t="s">
        <v>348</v>
      </c>
      <c r="P17" s="753" t="s">
        <v>349</v>
      </c>
      <c r="Q17" s="753" t="s">
        <v>350</v>
      </c>
      <c r="R17" s="753" t="s">
        <v>351</v>
      </c>
    </row>
    <row r="18" spans="1:18" ht="14.25" customHeight="1" thickBot="1">
      <c r="A18" s="759" t="s">
        <v>268</v>
      </c>
      <c r="B18" s="763" t="s">
        <v>270</v>
      </c>
      <c r="C18" s="753">
        <v>22350</v>
      </c>
      <c r="D18" s="753">
        <v>24340</v>
      </c>
      <c r="E18" s="753">
        <v>24100</v>
      </c>
      <c r="F18" s="768"/>
      <c r="G18" s="756"/>
      <c r="I18" s="753" t="s">
        <v>352</v>
      </c>
      <c r="J18" s="753" t="s">
        <v>353</v>
      </c>
      <c r="K18" s="753" t="s">
        <v>354</v>
      </c>
      <c r="L18" s="753" t="s">
        <v>355</v>
      </c>
      <c r="M18" s="753" t="s">
        <v>356</v>
      </c>
      <c r="N18" s="753" t="s">
        <v>357</v>
      </c>
      <c r="O18" s="753" t="s">
        <v>358</v>
      </c>
      <c r="P18" s="753" t="s">
        <v>359</v>
      </c>
      <c r="Q18" s="753" t="s">
        <v>360</v>
      </c>
      <c r="R18" s="753" t="s">
        <v>361</v>
      </c>
    </row>
    <row r="19" spans="1:18" ht="14.25" customHeight="1" thickBot="1">
      <c r="A19" s="759" t="s">
        <v>268</v>
      </c>
      <c r="B19" s="763" t="s">
        <v>280</v>
      </c>
      <c r="C19" s="753">
        <v>23430</v>
      </c>
      <c r="D19" s="753">
        <v>21580</v>
      </c>
      <c r="E19" s="753">
        <v>21350</v>
      </c>
      <c r="F19" s="768"/>
      <c r="G19" s="756"/>
      <c r="I19" s="753" t="s">
        <v>362</v>
      </c>
      <c r="J19" s="753" t="s">
        <v>363</v>
      </c>
      <c r="K19" s="753" t="s">
        <v>364</v>
      </c>
      <c r="L19" s="753" t="s">
        <v>365</v>
      </c>
      <c r="M19" s="753" t="s">
        <v>366</v>
      </c>
      <c r="N19" s="753" t="s">
        <v>367</v>
      </c>
      <c r="O19" s="753" t="s">
        <v>368</v>
      </c>
      <c r="P19" s="753" t="s">
        <v>369</v>
      </c>
      <c r="Q19" s="753" t="s">
        <v>370</v>
      </c>
      <c r="R19" s="753" t="s">
        <v>371</v>
      </c>
    </row>
    <row r="20" spans="1:18" ht="14.25" customHeight="1" thickBot="1">
      <c r="A20" s="759" t="s">
        <v>268</v>
      </c>
      <c r="B20" s="763" t="s">
        <v>290</v>
      </c>
      <c r="C20" s="753">
        <v>27660</v>
      </c>
      <c r="D20" s="753">
        <v>24240</v>
      </c>
      <c r="E20" s="753">
        <v>24020</v>
      </c>
      <c r="F20" s="768"/>
      <c r="I20" s="753" t="s">
        <v>372</v>
      </c>
      <c r="J20" s="753" t="s">
        <v>373</v>
      </c>
      <c r="K20" s="753" t="s">
        <v>374</v>
      </c>
      <c r="L20" s="753" t="s">
        <v>375</v>
      </c>
      <c r="M20" s="753" t="s">
        <v>376</v>
      </c>
      <c r="N20" s="753" t="s">
        <v>377</v>
      </c>
      <c r="O20" s="753" t="s">
        <v>378</v>
      </c>
      <c r="P20" s="753" t="s">
        <v>379</v>
      </c>
      <c r="Q20" s="753" t="s">
        <v>380</v>
      </c>
      <c r="R20" s="753" t="s">
        <v>381</v>
      </c>
    </row>
    <row r="21" spans="1:18" ht="14.25" customHeight="1" thickBot="1">
      <c r="A21" s="759" t="s">
        <v>268</v>
      </c>
      <c r="B21" s="763" t="s">
        <v>300</v>
      </c>
      <c r="C21" s="753">
        <v>24720</v>
      </c>
      <c r="D21" s="753">
        <v>21670</v>
      </c>
      <c r="E21" s="753">
        <v>21510</v>
      </c>
      <c r="F21" s="768"/>
      <c r="J21" s="753" t="s">
        <v>382</v>
      </c>
      <c r="K21" s="753" t="s">
        <v>383</v>
      </c>
      <c r="L21" s="753" t="s">
        <v>384</v>
      </c>
      <c r="M21" s="753" t="s">
        <v>385</v>
      </c>
      <c r="N21" s="753" t="s">
        <v>386</v>
      </c>
      <c r="O21" s="753" t="s">
        <v>387</v>
      </c>
      <c r="P21" s="753" t="s">
        <v>388</v>
      </c>
      <c r="Q21" s="753" t="s">
        <v>389</v>
      </c>
      <c r="R21" s="753" t="s">
        <v>390</v>
      </c>
    </row>
    <row r="22" spans="1:18" ht="14.25" customHeight="1" thickBot="1">
      <c r="A22" s="759" t="s">
        <v>268</v>
      </c>
      <c r="B22" s="763" t="s">
        <v>391</v>
      </c>
      <c r="C22" s="753">
        <v>26530</v>
      </c>
      <c r="D22" s="753">
        <v>22980</v>
      </c>
      <c r="E22" s="753">
        <v>22650</v>
      </c>
      <c r="F22" s="768"/>
      <c r="K22" s="753" t="s">
        <v>392</v>
      </c>
      <c r="L22" s="753" t="s">
        <v>393</v>
      </c>
      <c r="M22" s="753" t="s">
        <v>394</v>
      </c>
      <c r="N22" s="753" t="s">
        <v>395</v>
      </c>
      <c r="O22" s="753" t="s">
        <v>396</v>
      </c>
      <c r="P22" s="753" t="s">
        <v>397</v>
      </c>
      <c r="Q22" s="753" t="s">
        <v>398</v>
      </c>
      <c r="R22" s="763" t="s">
        <v>399</v>
      </c>
    </row>
    <row r="23" spans="1:18" ht="14.25" customHeight="1" thickBot="1">
      <c r="A23" s="759" t="s">
        <v>268</v>
      </c>
      <c r="B23" s="763" t="s">
        <v>321</v>
      </c>
      <c r="C23" s="753">
        <v>24700</v>
      </c>
      <c r="D23" s="753">
        <v>27290</v>
      </c>
      <c r="E23" s="753">
        <v>26710</v>
      </c>
      <c r="F23" s="768"/>
      <c r="K23" s="753" t="s">
        <v>400</v>
      </c>
      <c r="L23" s="753" t="s">
        <v>401</v>
      </c>
      <c r="M23" s="753" t="s">
        <v>402</v>
      </c>
      <c r="N23" s="753" t="s">
        <v>403</v>
      </c>
      <c r="O23" s="753" t="s">
        <v>404</v>
      </c>
      <c r="P23" s="753" t="s">
        <v>405</v>
      </c>
      <c r="Q23" s="753" t="s">
        <v>406</v>
      </c>
    </row>
    <row r="24" spans="1:18" ht="14.25" customHeight="1" thickBot="1">
      <c r="A24" s="759" t="s">
        <v>268</v>
      </c>
      <c r="B24" s="763" t="s">
        <v>332</v>
      </c>
      <c r="C24" s="753">
        <v>23070</v>
      </c>
      <c r="D24" s="753">
        <v>24130</v>
      </c>
      <c r="E24" s="753">
        <v>23860</v>
      </c>
      <c r="F24" s="768"/>
      <c r="K24" s="753" t="s">
        <v>407</v>
      </c>
      <c r="L24" s="753" t="s">
        <v>408</v>
      </c>
      <c r="M24" s="753" t="s">
        <v>409</v>
      </c>
      <c r="N24" s="753" t="s">
        <v>410</v>
      </c>
      <c r="O24" s="753" t="s">
        <v>411</v>
      </c>
      <c r="P24" s="753" t="s">
        <v>412</v>
      </c>
      <c r="Q24" s="753" t="s">
        <v>413</v>
      </c>
    </row>
    <row r="25" spans="1:18" ht="14.25" customHeight="1" thickBot="1">
      <c r="A25" s="759" t="s">
        <v>268</v>
      </c>
      <c r="B25" s="763" t="s">
        <v>342</v>
      </c>
      <c r="C25" s="753">
        <v>27550</v>
      </c>
      <c r="D25" s="753">
        <v>25850</v>
      </c>
      <c r="E25" s="753">
        <v>25340</v>
      </c>
      <c r="F25" s="768"/>
      <c r="K25" s="753" t="s">
        <v>414</v>
      </c>
      <c r="L25" s="753" t="s">
        <v>415</v>
      </c>
      <c r="M25" s="753" t="s">
        <v>416</v>
      </c>
      <c r="N25" s="753" t="s">
        <v>417</v>
      </c>
      <c r="O25" s="753" t="s">
        <v>418</v>
      </c>
      <c r="P25" s="753" t="s">
        <v>419</v>
      </c>
      <c r="Q25" s="753" t="s">
        <v>420</v>
      </c>
    </row>
    <row r="26" spans="1:18" ht="14.25" customHeight="1" thickBot="1">
      <c r="A26" s="759" t="s">
        <v>268</v>
      </c>
      <c r="B26" s="763" t="s">
        <v>352</v>
      </c>
      <c r="C26" s="753"/>
      <c r="D26" s="753">
        <v>23900</v>
      </c>
      <c r="E26" s="753">
        <v>23590</v>
      </c>
      <c r="F26" s="768"/>
      <c r="K26" s="753" t="s">
        <v>421</v>
      </c>
      <c r="L26" s="753" t="s">
        <v>422</v>
      </c>
      <c r="M26" s="753" t="s">
        <v>423</v>
      </c>
      <c r="N26" s="753" t="s">
        <v>424</v>
      </c>
      <c r="O26" s="753" t="s">
        <v>425</v>
      </c>
      <c r="P26" s="753" t="s">
        <v>426</v>
      </c>
      <c r="Q26" s="753" t="s">
        <v>427</v>
      </c>
    </row>
    <row r="27" spans="1:18" ht="14.25" customHeight="1" thickBot="1">
      <c r="A27" s="759" t="s">
        <v>268</v>
      </c>
      <c r="B27" s="763" t="s">
        <v>362</v>
      </c>
      <c r="C27" s="753"/>
      <c r="D27" s="753">
        <v>22850</v>
      </c>
      <c r="E27" s="753">
        <v>21920</v>
      </c>
      <c r="F27" s="768"/>
      <c r="K27" s="753" t="s">
        <v>428</v>
      </c>
      <c r="L27" s="753" t="s">
        <v>429</v>
      </c>
      <c r="M27" s="753" t="s">
        <v>430</v>
      </c>
      <c r="N27" s="753" t="s">
        <v>431</v>
      </c>
      <c r="O27" s="753" t="s">
        <v>432</v>
      </c>
      <c r="P27" s="753" t="s">
        <v>433</v>
      </c>
      <c r="Q27" s="753" t="s">
        <v>434</v>
      </c>
    </row>
    <row r="28" spans="1:18" ht="14.25" customHeight="1" thickBot="1">
      <c r="A28" s="769" t="s">
        <v>268</v>
      </c>
      <c r="B28" s="764" t="s">
        <v>372</v>
      </c>
      <c r="C28" s="765"/>
      <c r="D28" s="765">
        <v>26610</v>
      </c>
      <c r="E28" s="765">
        <v>26370</v>
      </c>
      <c r="F28" s="766"/>
      <c r="K28" s="753" t="s">
        <v>435</v>
      </c>
      <c r="L28" s="753" t="s">
        <v>436</v>
      </c>
      <c r="M28" s="753" t="s">
        <v>437</v>
      </c>
      <c r="N28" s="753" t="s">
        <v>438</v>
      </c>
      <c r="O28" s="753" t="s">
        <v>439</v>
      </c>
      <c r="P28" s="753" t="s">
        <v>440</v>
      </c>
    </row>
    <row r="29" spans="1:18" ht="14.25" customHeight="1" thickBot="1">
      <c r="A29" s="759" t="s">
        <v>441</v>
      </c>
      <c r="B29" s="760" t="s">
        <v>442</v>
      </c>
      <c r="C29" s="760">
        <v>22090</v>
      </c>
      <c r="D29" s="760">
        <v>21860</v>
      </c>
      <c r="E29" s="760">
        <v>19380</v>
      </c>
      <c r="F29" s="761">
        <v>6610</v>
      </c>
      <c r="L29" s="753" t="s">
        <v>443</v>
      </c>
      <c r="M29" s="753" t="s">
        <v>444</v>
      </c>
      <c r="N29" s="753" t="s">
        <v>445</v>
      </c>
      <c r="O29" s="753" t="s">
        <v>446</v>
      </c>
      <c r="P29" s="753" t="s">
        <v>447</v>
      </c>
    </row>
    <row r="30" spans="1:18" ht="14.25" customHeight="1" thickBot="1">
      <c r="A30" s="759" t="s">
        <v>441</v>
      </c>
      <c r="B30" s="763" t="s">
        <v>188</v>
      </c>
      <c r="C30" s="753">
        <v>21380</v>
      </c>
      <c r="D30" s="753">
        <v>19930</v>
      </c>
      <c r="E30" s="753">
        <v>19860</v>
      </c>
      <c r="F30" s="767">
        <v>6010</v>
      </c>
      <c r="L30" s="753" t="s">
        <v>448</v>
      </c>
      <c r="M30" s="753" t="s">
        <v>449</v>
      </c>
      <c r="N30" s="753" t="s">
        <v>450</v>
      </c>
      <c r="O30" s="753" t="s">
        <v>840</v>
      </c>
      <c r="P30" s="753" t="s">
        <v>451</v>
      </c>
    </row>
    <row r="31" spans="1:18" ht="14.25" customHeight="1" thickBot="1">
      <c r="A31" s="759" t="s">
        <v>441</v>
      </c>
      <c r="B31" s="763" t="s">
        <v>201</v>
      </c>
      <c r="C31" s="753">
        <v>21670</v>
      </c>
      <c r="D31" s="753">
        <v>20660</v>
      </c>
      <c r="E31" s="753">
        <v>20290</v>
      </c>
      <c r="F31" s="767">
        <v>5840</v>
      </c>
      <c r="L31" s="753" t="s">
        <v>452</v>
      </c>
      <c r="M31" s="753" t="s">
        <v>453</v>
      </c>
      <c r="N31" s="753" t="s">
        <v>454</v>
      </c>
      <c r="O31" s="753" t="s">
        <v>455</v>
      </c>
      <c r="P31" s="753" t="s">
        <v>456</v>
      </c>
    </row>
    <row r="32" spans="1:18" ht="14.25" customHeight="1" thickBot="1">
      <c r="A32" s="759" t="s">
        <v>441</v>
      </c>
      <c r="B32" s="763" t="s">
        <v>214</v>
      </c>
      <c r="C32" s="753">
        <v>22280</v>
      </c>
      <c r="D32" s="753">
        <v>21800</v>
      </c>
      <c r="E32" s="753">
        <v>17650</v>
      </c>
      <c r="F32" s="767">
        <v>4690</v>
      </c>
      <c r="L32" s="753" t="s">
        <v>457</v>
      </c>
      <c r="M32" s="753" t="s">
        <v>458</v>
      </c>
      <c r="N32" s="753" t="s">
        <v>459</v>
      </c>
      <c r="O32" s="753" t="s">
        <v>460</v>
      </c>
      <c r="P32" s="753" t="s">
        <v>461</v>
      </c>
    </row>
    <row r="33" spans="1:16" ht="14.25" customHeight="1" thickBot="1">
      <c r="A33" s="759" t="s">
        <v>441</v>
      </c>
      <c r="B33" s="763" t="s">
        <v>226</v>
      </c>
      <c r="C33" s="753">
        <v>22130</v>
      </c>
      <c r="D33" s="753">
        <v>20460</v>
      </c>
      <c r="E33" s="753">
        <v>18500</v>
      </c>
      <c r="F33" s="767">
        <v>5340</v>
      </c>
      <c r="L33" s="753" t="s">
        <v>462</v>
      </c>
      <c r="M33" s="753" t="s">
        <v>463</v>
      </c>
      <c r="N33" s="753" t="s">
        <v>464</v>
      </c>
      <c r="O33" s="753" t="s">
        <v>465</v>
      </c>
      <c r="P33" s="753" t="s">
        <v>466</v>
      </c>
    </row>
    <row r="34" spans="1:16" ht="14.25" customHeight="1" thickBot="1">
      <c r="A34" s="759" t="s">
        <v>441</v>
      </c>
      <c r="B34" s="763" t="s">
        <v>237</v>
      </c>
      <c r="C34" s="753">
        <v>22070</v>
      </c>
      <c r="D34" s="753">
        <v>20110</v>
      </c>
      <c r="E34" s="753">
        <v>18830</v>
      </c>
      <c r="F34" s="767">
        <v>5190</v>
      </c>
      <c r="L34" s="753" t="s">
        <v>467</v>
      </c>
      <c r="M34" s="753" t="s">
        <v>468</v>
      </c>
      <c r="N34" s="753" t="s">
        <v>469</v>
      </c>
      <c r="O34" s="753" t="s">
        <v>470</v>
      </c>
      <c r="P34" s="753" t="s">
        <v>471</v>
      </c>
    </row>
    <row r="35" spans="1:16" ht="14.25" customHeight="1" thickBot="1">
      <c r="A35" s="759" t="s">
        <v>441</v>
      </c>
      <c r="B35" s="763" t="s">
        <v>248</v>
      </c>
      <c r="C35" s="753">
        <v>22240</v>
      </c>
      <c r="D35" s="753">
        <v>19550</v>
      </c>
      <c r="E35" s="753">
        <v>19220</v>
      </c>
      <c r="F35" s="767">
        <v>5800</v>
      </c>
      <c r="L35" s="753" t="s">
        <v>472</v>
      </c>
      <c r="M35" s="753" t="s">
        <v>473</v>
      </c>
      <c r="N35" s="753" t="s">
        <v>474</v>
      </c>
      <c r="O35" s="753" t="s">
        <v>475</v>
      </c>
      <c r="P35" s="753" t="s">
        <v>476</v>
      </c>
    </row>
    <row r="36" spans="1:16" ht="14.25" customHeight="1" thickBot="1">
      <c r="A36" s="759" t="s">
        <v>441</v>
      </c>
      <c r="B36" s="763" t="s">
        <v>259</v>
      </c>
      <c r="C36" s="753">
        <v>19750</v>
      </c>
      <c r="D36" s="753">
        <v>19790</v>
      </c>
      <c r="E36" s="753">
        <v>18510</v>
      </c>
      <c r="F36" s="767">
        <v>6520</v>
      </c>
      <c r="M36" s="753" t="s">
        <v>477</v>
      </c>
      <c r="N36" s="753" t="s">
        <v>478</v>
      </c>
      <c r="O36" s="753" t="s">
        <v>479</v>
      </c>
      <c r="P36" s="753" t="s">
        <v>480</v>
      </c>
    </row>
    <row r="37" spans="1:16" ht="14.25" customHeight="1" thickBot="1">
      <c r="A37" s="759" t="s">
        <v>441</v>
      </c>
      <c r="B37" s="763" t="s">
        <v>271</v>
      </c>
      <c r="C37" s="753">
        <v>22380</v>
      </c>
      <c r="D37" s="753">
        <v>18530</v>
      </c>
      <c r="E37" s="753">
        <v>17930</v>
      </c>
      <c r="F37" s="767">
        <v>6270</v>
      </c>
      <c r="M37" s="753" t="s">
        <v>481</v>
      </c>
      <c r="N37" s="753" t="s">
        <v>482</v>
      </c>
      <c r="O37" s="753" t="s">
        <v>483</v>
      </c>
      <c r="P37" s="753" t="s">
        <v>484</v>
      </c>
    </row>
    <row r="38" spans="1:16" ht="14.25" customHeight="1" thickBot="1">
      <c r="A38" s="759" t="s">
        <v>441</v>
      </c>
      <c r="B38" s="763" t="s">
        <v>281</v>
      </c>
      <c r="C38" s="753">
        <v>20200</v>
      </c>
      <c r="D38" s="753">
        <v>20070</v>
      </c>
      <c r="E38" s="753">
        <v>19950</v>
      </c>
      <c r="F38" s="767"/>
      <c r="M38" s="753" t="s">
        <v>485</v>
      </c>
      <c r="N38" s="753" t="s">
        <v>486</v>
      </c>
      <c r="O38" s="753" t="s">
        <v>487</v>
      </c>
      <c r="P38" s="753" t="s">
        <v>488</v>
      </c>
    </row>
    <row r="39" spans="1:16" ht="14.25" customHeight="1" thickBot="1">
      <c r="A39" s="759" t="s">
        <v>441</v>
      </c>
      <c r="B39" s="763" t="s">
        <v>291</v>
      </c>
      <c r="C39" s="753">
        <v>19300</v>
      </c>
      <c r="D39" s="753">
        <v>20360</v>
      </c>
      <c r="E39" s="753">
        <v>20230</v>
      </c>
      <c r="F39" s="767"/>
      <c r="M39" s="753" t="s">
        <v>489</v>
      </c>
      <c r="N39" s="753" t="s">
        <v>490</v>
      </c>
      <c r="O39" s="753" t="s">
        <v>491</v>
      </c>
      <c r="P39" s="753" t="s">
        <v>492</v>
      </c>
    </row>
    <row r="40" spans="1:16" ht="14.25" customHeight="1" thickBot="1">
      <c r="A40" s="759" t="s">
        <v>441</v>
      </c>
      <c r="B40" s="763" t="s">
        <v>301</v>
      </c>
      <c r="C40" s="753">
        <v>20210</v>
      </c>
      <c r="D40" s="753">
        <v>19060</v>
      </c>
      <c r="E40" s="753">
        <v>18890</v>
      </c>
      <c r="F40" s="767"/>
      <c r="M40" s="753" t="s">
        <v>493</v>
      </c>
      <c r="N40" s="753" t="s">
        <v>494</v>
      </c>
      <c r="O40" s="753" t="s">
        <v>495</v>
      </c>
      <c r="P40" s="753" t="s">
        <v>496</v>
      </c>
    </row>
    <row r="41" spans="1:16" ht="14.25" customHeight="1" thickBot="1">
      <c r="A41" s="759" t="s">
        <v>441</v>
      </c>
      <c r="B41" s="763" t="s">
        <v>311</v>
      </c>
      <c r="C41" s="753">
        <v>20560</v>
      </c>
      <c r="D41" s="753">
        <v>21040</v>
      </c>
      <c r="E41" s="753">
        <v>20740</v>
      </c>
      <c r="F41" s="767"/>
      <c r="M41" s="763" t="s">
        <v>497</v>
      </c>
      <c r="N41" s="763" t="s">
        <v>498</v>
      </c>
      <c r="P41" s="763" t="s">
        <v>499</v>
      </c>
    </row>
    <row r="42" spans="1:16" ht="14.25" customHeight="1" thickBot="1">
      <c r="A42" s="759" t="s">
        <v>441</v>
      </c>
      <c r="B42" s="763" t="s">
        <v>322</v>
      </c>
      <c r="C42" s="753">
        <v>19280</v>
      </c>
      <c r="D42" s="753">
        <v>22940</v>
      </c>
      <c r="E42" s="753">
        <v>22500</v>
      </c>
      <c r="F42" s="767"/>
      <c r="M42" s="753" t="s">
        <v>500</v>
      </c>
      <c r="N42" s="753" t="s">
        <v>501</v>
      </c>
      <c r="P42" s="753" t="s">
        <v>502</v>
      </c>
    </row>
    <row r="43" spans="1:16" ht="14.25" customHeight="1" thickBot="1">
      <c r="A43" s="759" t="s">
        <v>441</v>
      </c>
      <c r="B43" s="763" t="s">
        <v>333</v>
      </c>
      <c r="C43" s="753">
        <v>21520</v>
      </c>
      <c r="D43" s="753">
        <v>19230</v>
      </c>
      <c r="E43" s="753">
        <v>18540</v>
      </c>
      <c r="F43" s="767"/>
      <c r="M43" s="753" t="s">
        <v>503</v>
      </c>
      <c r="N43" s="753" t="s">
        <v>504</v>
      </c>
      <c r="P43" s="753" t="s">
        <v>505</v>
      </c>
    </row>
    <row r="44" spans="1:16" ht="14.25" customHeight="1" thickBot="1">
      <c r="A44" s="759" t="s">
        <v>441</v>
      </c>
      <c r="B44" s="763" t="s">
        <v>343</v>
      </c>
      <c r="C44" s="753">
        <v>23260</v>
      </c>
      <c r="D44" s="753">
        <v>21180</v>
      </c>
      <c r="E44" s="753">
        <v>20730</v>
      </c>
      <c r="F44" s="767"/>
      <c r="M44" s="753" t="s">
        <v>506</v>
      </c>
      <c r="N44" s="753" t="s">
        <v>507</v>
      </c>
      <c r="P44" s="753" t="s">
        <v>508</v>
      </c>
    </row>
    <row r="45" spans="1:16" ht="14.25" customHeight="1" thickBot="1">
      <c r="A45" s="759" t="s">
        <v>441</v>
      </c>
      <c r="B45" s="763" t="s">
        <v>353</v>
      </c>
      <c r="C45" s="753">
        <v>19610</v>
      </c>
      <c r="D45" s="753">
        <v>18090</v>
      </c>
      <c r="E45" s="753">
        <v>17970</v>
      </c>
      <c r="F45" s="767"/>
      <c r="M45" s="753" t="s">
        <v>509</v>
      </c>
      <c r="N45" s="753" t="s">
        <v>510</v>
      </c>
      <c r="P45" s="753" t="s">
        <v>511</v>
      </c>
    </row>
    <row r="46" spans="1:16" ht="14.25" customHeight="1" thickBot="1">
      <c r="A46" s="759" t="s">
        <v>441</v>
      </c>
      <c r="B46" s="763" t="s">
        <v>363</v>
      </c>
      <c r="C46" s="753">
        <v>21660</v>
      </c>
      <c r="D46" s="753">
        <v>19190</v>
      </c>
      <c r="E46" s="753">
        <v>19790</v>
      </c>
      <c r="F46" s="767"/>
      <c r="M46" s="753" t="s">
        <v>512</v>
      </c>
      <c r="N46" s="753" t="s">
        <v>513</v>
      </c>
      <c r="P46" s="753" t="s">
        <v>514</v>
      </c>
    </row>
    <row r="47" spans="1:16" ht="14.25" customHeight="1" thickBot="1">
      <c r="A47" s="759" t="s">
        <v>441</v>
      </c>
      <c r="B47" s="763" t="s">
        <v>373</v>
      </c>
      <c r="C47" s="753">
        <v>18220</v>
      </c>
      <c r="D47" s="753"/>
      <c r="E47" s="753">
        <v>17220</v>
      </c>
      <c r="F47" s="767"/>
      <c r="M47" s="753" t="s">
        <v>515</v>
      </c>
      <c r="N47" s="753" t="s">
        <v>516</v>
      </c>
    </row>
    <row r="48" spans="1:16" ht="14.25" customHeight="1" thickBot="1">
      <c r="A48" s="759" t="s">
        <v>441</v>
      </c>
      <c r="B48" s="764" t="s">
        <v>382</v>
      </c>
      <c r="C48" s="765">
        <v>19430</v>
      </c>
      <c r="D48" s="765"/>
      <c r="E48" s="765">
        <v>17830</v>
      </c>
      <c r="F48" s="770"/>
      <c r="M48" s="753" t="s">
        <v>517</v>
      </c>
      <c r="N48" s="753" t="s">
        <v>518</v>
      </c>
    </row>
    <row r="49" spans="1:14" ht="14.25" customHeight="1" thickBot="1">
      <c r="A49" s="759" t="s">
        <v>137</v>
      </c>
      <c r="B49" s="760" t="s">
        <v>519</v>
      </c>
      <c r="C49" s="760">
        <v>17090</v>
      </c>
      <c r="D49" s="760">
        <v>16950</v>
      </c>
      <c r="E49" s="760">
        <v>16310</v>
      </c>
      <c r="F49" s="761">
        <v>4540</v>
      </c>
      <c r="M49" s="753" t="s">
        <v>520</v>
      </c>
      <c r="N49" s="753" t="s">
        <v>521</v>
      </c>
    </row>
    <row r="50" spans="1:14" ht="14.25" customHeight="1" thickBot="1">
      <c r="A50" s="759" t="s">
        <v>137</v>
      </c>
      <c r="B50" s="753" t="s">
        <v>189</v>
      </c>
      <c r="C50" s="753">
        <v>19040</v>
      </c>
      <c r="D50" s="753">
        <v>16960</v>
      </c>
      <c r="E50" s="753">
        <v>14800</v>
      </c>
      <c r="F50" s="767">
        <v>3940</v>
      </c>
    </row>
    <row r="51" spans="1:14" ht="14.25" customHeight="1" thickBot="1">
      <c r="A51" s="759" t="s">
        <v>137</v>
      </c>
      <c r="B51" s="753" t="s">
        <v>202</v>
      </c>
      <c r="C51" s="753">
        <v>17040</v>
      </c>
      <c r="D51" s="753">
        <v>16930</v>
      </c>
      <c r="E51" s="753">
        <v>15030</v>
      </c>
      <c r="F51" s="767">
        <v>4120</v>
      </c>
    </row>
    <row r="52" spans="1:14" ht="14.25" customHeight="1" thickBot="1">
      <c r="A52" s="759" t="s">
        <v>137</v>
      </c>
      <c r="B52" s="753" t="s">
        <v>215</v>
      </c>
      <c r="C52" s="753">
        <v>17110</v>
      </c>
      <c r="D52" s="753">
        <v>17750</v>
      </c>
      <c r="E52" s="753">
        <v>17310</v>
      </c>
      <c r="F52" s="767">
        <v>3220</v>
      </c>
    </row>
    <row r="53" spans="1:14" ht="14.25" customHeight="1" thickBot="1">
      <c r="A53" s="759" t="s">
        <v>137</v>
      </c>
      <c r="B53" s="753" t="s">
        <v>227</v>
      </c>
      <c r="C53" s="753">
        <v>17810</v>
      </c>
      <c r="D53" s="753">
        <v>17260</v>
      </c>
      <c r="E53" s="753">
        <v>17090</v>
      </c>
      <c r="F53" s="767">
        <v>3520</v>
      </c>
    </row>
    <row r="54" spans="1:14" ht="14.25" customHeight="1" thickBot="1">
      <c r="A54" s="759" t="s">
        <v>137</v>
      </c>
      <c r="B54" s="753" t="s">
        <v>238</v>
      </c>
      <c r="C54" s="753">
        <v>17410</v>
      </c>
      <c r="D54" s="753">
        <v>16780</v>
      </c>
      <c r="E54" s="753">
        <v>16370</v>
      </c>
      <c r="F54" s="767">
        <v>3410</v>
      </c>
    </row>
    <row r="55" spans="1:14" ht="14.25" customHeight="1" thickBot="1">
      <c r="A55" s="759" t="s">
        <v>137</v>
      </c>
      <c r="B55" s="753" t="s">
        <v>249</v>
      </c>
      <c r="C55" s="753">
        <v>16930</v>
      </c>
      <c r="D55" s="753">
        <v>14720</v>
      </c>
      <c r="E55" s="753">
        <v>15000</v>
      </c>
      <c r="F55" s="767">
        <v>3710</v>
      </c>
    </row>
    <row r="56" spans="1:14" ht="14.25" customHeight="1" thickBot="1">
      <c r="A56" s="759" t="s">
        <v>137</v>
      </c>
      <c r="B56" s="753" t="s">
        <v>260</v>
      </c>
      <c r="C56" s="753">
        <v>14930</v>
      </c>
      <c r="D56" s="753">
        <v>15850</v>
      </c>
      <c r="E56" s="753">
        <v>14320</v>
      </c>
      <c r="F56" s="767">
        <v>3960</v>
      </c>
    </row>
    <row r="57" spans="1:14" ht="14.25" customHeight="1" thickBot="1">
      <c r="A57" s="759" t="s">
        <v>137</v>
      </c>
      <c r="B57" s="753" t="s">
        <v>272</v>
      </c>
      <c r="C57" s="753">
        <v>16160</v>
      </c>
      <c r="D57" s="753">
        <v>16190</v>
      </c>
      <c r="E57" s="753">
        <v>15650</v>
      </c>
      <c r="F57" s="767">
        <v>4200</v>
      </c>
    </row>
    <row r="58" spans="1:14" ht="14.25" customHeight="1" thickBot="1">
      <c r="A58" s="759" t="s">
        <v>137</v>
      </c>
      <c r="B58" s="753" t="s">
        <v>282</v>
      </c>
      <c r="C58" s="753">
        <v>16360</v>
      </c>
      <c r="D58" s="753">
        <v>14050</v>
      </c>
      <c r="E58" s="753">
        <v>16070</v>
      </c>
      <c r="F58" s="767">
        <v>3990</v>
      </c>
    </row>
    <row r="59" spans="1:14" ht="14.25" customHeight="1" thickBot="1">
      <c r="A59" s="759" t="s">
        <v>137</v>
      </c>
      <c r="B59" s="753" t="s">
        <v>292</v>
      </c>
      <c r="C59" s="753">
        <v>14160</v>
      </c>
      <c r="D59" s="753">
        <v>16620</v>
      </c>
      <c r="E59" s="753">
        <v>13940</v>
      </c>
      <c r="F59" s="767">
        <v>4260</v>
      </c>
    </row>
    <row r="60" spans="1:14" ht="14.25" customHeight="1" thickBot="1">
      <c r="A60" s="759" t="s">
        <v>137</v>
      </c>
      <c r="B60" s="753" t="s">
        <v>302</v>
      </c>
      <c r="C60" s="753">
        <v>16750</v>
      </c>
      <c r="D60" s="753">
        <v>13910</v>
      </c>
      <c r="E60" s="753">
        <v>16550</v>
      </c>
      <c r="F60" s="767">
        <v>4550</v>
      </c>
    </row>
    <row r="61" spans="1:14" ht="14.25" customHeight="1" thickBot="1">
      <c r="A61" s="759" t="s">
        <v>137</v>
      </c>
      <c r="B61" s="753" t="s">
        <v>312</v>
      </c>
      <c r="C61" s="753">
        <v>14000</v>
      </c>
      <c r="D61" s="753">
        <v>14550</v>
      </c>
      <c r="E61" s="753">
        <v>13860</v>
      </c>
      <c r="F61" s="771"/>
    </row>
    <row r="62" spans="1:14" ht="14.25" customHeight="1" thickBot="1">
      <c r="A62" s="759" t="s">
        <v>137</v>
      </c>
      <c r="B62" s="753" t="s">
        <v>323</v>
      </c>
      <c r="C62" s="753">
        <v>14660</v>
      </c>
      <c r="D62" s="753">
        <v>17450</v>
      </c>
      <c r="E62" s="753">
        <v>14470</v>
      </c>
      <c r="F62" s="771"/>
    </row>
    <row r="63" spans="1:14" ht="14.25" customHeight="1" thickBot="1">
      <c r="A63" s="759" t="s">
        <v>137</v>
      </c>
      <c r="B63" s="753" t="s">
        <v>334</v>
      </c>
      <c r="C63" s="753">
        <v>17610</v>
      </c>
      <c r="D63" s="753">
        <v>16500</v>
      </c>
      <c r="E63" s="753">
        <v>17330</v>
      </c>
      <c r="F63" s="771"/>
    </row>
    <row r="64" spans="1:14" ht="14.25" customHeight="1" thickBot="1">
      <c r="A64" s="759" t="s">
        <v>137</v>
      </c>
      <c r="B64" s="753" t="s">
        <v>344</v>
      </c>
      <c r="C64" s="753">
        <v>16590</v>
      </c>
      <c r="D64" s="753">
        <v>15130</v>
      </c>
      <c r="E64" s="753">
        <v>16420</v>
      </c>
      <c r="F64" s="771"/>
    </row>
    <row r="65" spans="1:6" s="747" customFormat="1" ht="14.25" customHeight="1" thickBot="1">
      <c r="A65" s="759" t="s">
        <v>137</v>
      </c>
      <c r="B65" s="753" t="s">
        <v>354</v>
      </c>
      <c r="C65" s="753">
        <v>15220</v>
      </c>
      <c r="D65" s="753">
        <v>14660</v>
      </c>
      <c r="E65" s="753">
        <v>15060</v>
      </c>
      <c r="F65" s="767"/>
    </row>
    <row r="66" spans="1:6" s="747" customFormat="1" ht="14.25" customHeight="1" thickBot="1">
      <c r="A66" s="759" t="s">
        <v>137</v>
      </c>
      <c r="B66" s="753" t="s">
        <v>364</v>
      </c>
      <c r="C66" s="753">
        <v>14720</v>
      </c>
      <c r="D66" s="753">
        <v>15970</v>
      </c>
      <c r="E66" s="753">
        <v>14610</v>
      </c>
      <c r="F66" s="767"/>
    </row>
    <row r="67" spans="1:6" s="747" customFormat="1" ht="14.25" customHeight="1" thickBot="1">
      <c r="A67" s="759" t="s">
        <v>137</v>
      </c>
      <c r="B67" s="753" t="s">
        <v>374</v>
      </c>
      <c r="C67" s="753">
        <v>16080</v>
      </c>
      <c r="D67" s="753">
        <v>14840</v>
      </c>
      <c r="E67" s="753">
        <v>15630</v>
      </c>
      <c r="F67" s="767"/>
    </row>
    <row r="68" spans="1:6" s="747" customFormat="1" ht="14.25" customHeight="1" thickBot="1">
      <c r="A68" s="759" t="s">
        <v>137</v>
      </c>
      <c r="B68" s="753" t="s">
        <v>383</v>
      </c>
      <c r="C68" s="753">
        <v>14940</v>
      </c>
      <c r="D68" s="753">
        <v>18000</v>
      </c>
      <c r="E68" s="753">
        <v>14040</v>
      </c>
      <c r="F68" s="767"/>
    </row>
    <row r="69" spans="1:6" s="747" customFormat="1" ht="14.25" customHeight="1" thickBot="1">
      <c r="A69" s="759" t="s">
        <v>137</v>
      </c>
      <c r="B69" s="753" t="s">
        <v>392</v>
      </c>
      <c r="C69" s="753">
        <v>18810</v>
      </c>
      <c r="D69" s="753">
        <v>15100</v>
      </c>
      <c r="E69" s="753">
        <v>14710</v>
      </c>
      <c r="F69" s="767"/>
    </row>
    <row r="70" spans="1:6" s="747" customFormat="1" ht="14.25" customHeight="1" thickBot="1">
      <c r="A70" s="759" t="s">
        <v>137</v>
      </c>
      <c r="B70" s="753" t="s">
        <v>400</v>
      </c>
      <c r="C70" s="753">
        <v>18270</v>
      </c>
      <c r="D70" s="753"/>
      <c r="E70" s="753"/>
      <c r="F70" s="767"/>
    </row>
    <row r="71" spans="1:6" s="747" customFormat="1" ht="14.25" customHeight="1" thickBot="1">
      <c r="A71" s="759" t="s">
        <v>137</v>
      </c>
      <c r="B71" s="753" t="s">
        <v>407</v>
      </c>
      <c r="C71" s="753">
        <v>15230</v>
      </c>
      <c r="D71" s="753"/>
      <c r="E71" s="753"/>
      <c r="F71" s="767"/>
    </row>
    <row r="72" spans="1:6" s="747" customFormat="1" ht="14.25" customHeight="1" thickBot="1">
      <c r="A72" s="759" t="s">
        <v>137</v>
      </c>
      <c r="B72" s="753" t="s">
        <v>414</v>
      </c>
      <c r="C72" s="753"/>
      <c r="D72" s="753"/>
      <c r="E72" s="753"/>
      <c r="F72" s="767">
        <v>4120</v>
      </c>
    </row>
    <row r="73" spans="1:6" s="747" customFormat="1" ht="14.25" customHeight="1" thickBot="1">
      <c r="A73" s="759" t="s">
        <v>137</v>
      </c>
      <c r="B73" s="753" t="s">
        <v>421</v>
      </c>
      <c r="C73" s="753"/>
      <c r="D73" s="753"/>
      <c r="E73" s="753"/>
      <c r="F73" s="767">
        <v>3930</v>
      </c>
    </row>
    <row r="74" spans="1:6" s="747" customFormat="1" ht="14.25" customHeight="1" thickBot="1">
      <c r="A74" s="759" t="s">
        <v>137</v>
      </c>
      <c r="B74" s="753" t="s">
        <v>428</v>
      </c>
      <c r="C74" s="753"/>
      <c r="D74" s="753"/>
      <c r="E74" s="753"/>
      <c r="F74" s="767">
        <v>4060</v>
      </c>
    </row>
    <row r="75" spans="1:6" s="747" customFormat="1" ht="14.25" customHeight="1" thickBot="1">
      <c r="A75" s="759" t="s">
        <v>137</v>
      </c>
      <c r="B75" s="765" t="s">
        <v>435</v>
      </c>
      <c r="C75" s="765"/>
      <c r="D75" s="765"/>
      <c r="E75" s="765"/>
      <c r="F75" s="770">
        <v>3750</v>
      </c>
    </row>
    <row r="76" spans="1:6" s="747" customFormat="1" ht="14.25" customHeight="1" thickBot="1">
      <c r="A76" s="759" t="s">
        <v>522</v>
      </c>
      <c r="B76" s="760" t="s">
        <v>523</v>
      </c>
      <c r="C76" s="760">
        <v>14690</v>
      </c>
      <c r="D76" s="760">
        <v>14640</v>
      </c>
      <c r="E76" s="760">
        <v>14590</v>
      </c>
      <c r="F76" s="761">
        <v>3060</v>
      </c>
    </row>
    <row r="77" spans="1:6" s="747" customFormat="1" ht="14.25" customHeight="1" thickBot="1">
      <c r="A77" s="759" t="s">
        <v>522</v>
      </c>
      <c r="B77" s="753" t="s">
        <v>190</v>
      </c>
      <c r="C77" s="753">
        <v>12550</v>
      </c>
      <c r="D77" s="753">
        <v>12480</v>
      </c>
      <c r="E77" s="753">
        <v>12450</v>
      </c>
      <c r="F77" s="767">
        <v>2590</v>
      </c>
    </row>
    <row r="78" spans="1:6" s="747" customFormat="1" ht="14.25" customHeight="1" thickBot="1">
      <c r="A78" s="759" t="s">
        <v>522</v>
      </c>
      <c r="B78" s="753" t="s">
        <v>203</v>
      </c>
      <c r="C78" s="753">
        <v>14360</v>
      </c>
      <c r="D78" s="753">
        <v>14320</v>
      </c>
      <c r="E78" s="753">
        <v>12510</v>
      </c>
      <c r="F78" s="767">
        <v>2700</v>
      </c>
    </row>
    <row r="79" spans="1:6" s="747" customFormat="1" ht="14.25" customHeight="1" thickBot="1">
      <c r="A79" s="759" t="s">
        <v>522</v>
      </c>
      <c r="B79" s="753" t="s">
        <v>216</v>
      </c>
      <c r="C79" s="753">
        <v>12590</v>
      </c>
      <c r="D79" s="753">
        <v>12540</v>
      </c>
      <c r="E79" s="753">
        <v>12350</v>
      </c>
      <c r="F79" s="767">
        <v>2740</v>
      </c>
    </row>
    <row r="80" spans="1:6" s="747" customFormat="1" ht="14.25" customHeight="1" thickBot="1">
      <c r="A80" s="759" t="s">
        <v>522</v>
      </c>
      <c r="B80" s="753" t="s">
        <v>228</v>
      </c>
      <c r="C80" s="753">
        <v>12450</v>
      </c>
      <c r="D80" s="753">
        <v>12370</v>
      </c>
      <c r="E80" s="753">
        <v>10790</v>
      </c>
      <c r="F80" s="767">
        <v>2290</v>
      </c>
    </row>
    <row r="81" spans="1:6" s="747" customFormat="1" ht="14.25" customHeight="1" thickBot="1">
      <c r="A81" s="759" t="s">
        <v>522</v>
      </c>
      <c r="B81" s="753" t="s">
        <v>239</v>
      </c>
      <c r="C81" s="753">
        <v>14210</v>
      </c>
      <c r="D81" s="753">
        <v>14150</v>
      </c>
      <c r="E81" s="753">
        <v>12730</v>
      </c>
      <c r="F81" s="767">
        <v>2240</v>
      </c>
    </row>
    <row r="82" spans="1:6" s="747" customFormat="1" ht="14.25" customHeight="1" thickBot="1">
      <c r="A82" s="759" t="s">
        <v>522</v>
      </c>
      <c r="B82" s="753" t="s">
        <v>250</v>
      </c>
      <c r="C82" s="753">
        <v>10860</v>
      </c>
      <c r="D82" s="753">
        <v>10820</v>
      </c>
      <c r="E82" s="753">
        <v>14720</v>
      </c>
      <c r="F82" s="767">
        <v>2490</v>
      </c>
    </row>
    <row r="83" spans="1:6" s="747" customFormat="1" ht="14.25" customHeight="1" thickBot="1">
      <c r="A83" s="759" t="s">
        <v>522</v>
      </c>
      <c r="B83" s="753" t="s">
        <v>261</v>
      </c>
      <c r="C83" s="753">
        <v>12810</v>
      </c>
      <c r="D83" s="753">
        <v>12760</v>
      </c>
      <c r="E83" s="753">
        <v>14830</v>
      </c>
      <c r="F83" s="767">
        <v>2450</v>
      </c>
    </row>
    <row r="84" spans="1:6" s="747" customFormat="1" ht="14.25" customHeight="1" thickBot="1">
      <c r="A84" s="759" t="s">
        <v>522</v>
      </c>
      <c r="B84" s="753" t="s">
        <v>273</v>
      </c>
      <c r="C84" s="753">
        <v>14950</v>
      </c>
      <c r="D84" s="753">
        <v>14810</v>
      </c>
      <c r="E84" s="753">
        <v>12590</v>
      </c>
      <c r="F84" s="767">
        <v>2540</v>
      </c>
    </row>
    <row r="85" spans="1:6" s="747" customFormat="1" ht="14.25" customHeight="1" thickBot="1">
      <c r="A85" s="759" t="s">
        <v>522</v>
      </c>
      <c r="B85" s="753" t="s">
        <v>283</v>
      </c>
      <c r="C85" s="753">
        <v>14960</v>
      </c>
      <c r="D85" s="753">
        <v>14890</v>
      </c>
      <c r="E85" s="753">
        <v>12840</v>
      </c>
      <c r="F85" s="767">
        <v>2840</v>
      </c>
    </row>
    <row r="86" spans="1:6" s="747" customFormat="1" ht="14.25" customHeight="1" thickBot="1">
      <c r="A86" s="759" t="s">
        <v>522</v>
      </c>
      <c r="B86" s="753" t="s">
        <v>293</v>
      </c>
      <c r="C86" s="753">
        <v>12730</v>
      </c>
      <c r="D86" s="753">
        <v>12660</v>
      </c>
      <c r="E86" s="753">
        <v>13310</v>
      </c>
      <c r="F86" s="767">
        <v>3140</v>
      </c>
    </row>
    <row r="87" spans="1:6" s="747" customFormat="1" ht="14.25" customHeight="1" thickBot="1">
      <c r="A87" s="759" t="s">
        <v>522</v>
      </c>
      <c r="B87" s="753" t="s">
        <v>303</v>
      </c>
      <c r="C87" s="753">
        <v>12940</v>
      </c>
      <c r="D87" s="753">
        <v>12890</v>
      </c>
      <c r="E87" s="753">
        <v>11580</v>
      </c>
      <c r="F87" s="771"/>
    </row>
    <row r="88" spans="1:6" s="747" customFormat="1" ht="14.25" customHeight="1" thickBot="1">
      <c r="A88" s="759" t="s">
        <v>522</v>
      </c>
      <c r="B88" s="753" t="s">
        <v>313</v>
      </c>
      <c r="C88" s="753">
        <v>13430</v>
      </c>
      <c r="D88" s="753">
        <v>13360</v>
      </c>
      <c r="E88" s="753">
        <v>12790</v>
      </c>
      <c r="F88" s="771"/>
    </row>
    <row r="89" spans="1:6" s="747" customFormat="1" ht="14.25" customHeight="1" thickBot="1">
      <c r="A89" s="759" t="s">
        <v>522</v>
      </c>
      <c r="B89" s="753" t="s">
        <v>324</v>
      </c>
      <c r="C89" s="753">
        <v>11680</v>
      </c>
      <c r="D89" s="753">
        <v>11630</v>
      </c>
      <c r="E89" s="753">
        <v>11320</v>
      </c>
      <c r="F89" s="771"/>
    </row>
    <row r="90" spans="1:6" s="747" customFormat="1" ht="14.25" customHeight="1" thickBot="1">
      <c r="A90" s="759" t="s">
        <v>522</v>
      </c>
      <c r="B90" s="753" t="s">
        <v>335</v>
      </c>
      <c r="C90" s="753">
        <v>12890</v>
      </c>
      <c r="D90" s="753">
        <v>12820</v>
      </c>
      <c r="E90" s="753">
        <v>12710</v>
      </c>
      <c r="F90" s="771"/>
    </row>
    <row r="91" spans="1:6" s="747" customFormat="1" ht="14.25" customHeight="1" thickBot="1">
      <c r="A91" s="759" t="s">
        <v>522</v>
      </c>
      <c r="B91" s="753" t="s">
        <v>345</v>
      </c>
      <c r="C91" s="753">
        <v>11410</v>
      </c>
      <c r="D91" s="753">
        <v>11360</v>
      </c>
      <c r="E91" s="753">
        <v>12670</v>
      </c>
      <c r="F91" s="771"/>
    </row>
    <row r="92" spans="1:6" s="747" customFormat="1" ht="14.25" customHeight="1" thickBot="1">
      <c r="A92" s="759" t="s">
        <v>522</v>
      </c>
      <c r="B92" s="753" t="s">
        <v>355</v>
      </c>
      <c r="C92" s="753">
        <v>12770</v>
      </c>
      <c r="D92" s="753">
        <v>12740</v>
      </c>
      <c r="E92" s="753">
        <v>11970</v>
      </c>
      <c r="F92" s="771"/>
    </row>
    <row r="93" spans="1:6" s="747" customFormat="1" ht="14.25" customHeight="1" thickBot="1">
      <c r="A93" s="759" t="s">
        <v>522</v>
      </c>
      <c r="B93" s="753" t="s">
        <v>365</v>
      </c>
      <c r="C93" s="753">
        <v>12740</v>
      </c>
      <c r="D93" s="753">
        <v>12700</v>
      </c>
      <c r="E93" s="753">
        <v>12540</v>
      </c>
      <c r="F93" s="771"/>
    </row>
    <row r="94" spans="1:6" s="747" customFormat="1" ht="14.25" customHeight="1" thickBot="1">
      <c r="A94" s="759" t="s">
        <v>522</v>
      </c>
      <c r="B94" s="753" t="s">
        <v>375</v>
      </c>
      <c r="C94" s="753">
        <v>12020</v>
      </c>
      <c r="D94" s="753">
        <v>11990</v>
      </c>
      <c r="E94" s="753">
        <v>13110</v>
      </c>
      <c r="F94" s="771"/>
    </row>
    <row r="95" spans="1:6" s="747" customFormat="1" ht="14.25" customHeight="1" thickBot="1">
      <c r="A95" s="759" t="s">
        <v>522</v>
      </c>
      <c r="B95" s="753" t="s">
        <v>384</v>
      </c>
      <c r="C95" s="753">
        <v>12620</v>
      </c>
      <c r="D95" s="753">
        <v>12580</v>
      </c>
      <c r="E95" s="753">
        <v>13160</v>
      </c>
      <c r="F95" s="767"/>
    </row>
    <row r="96" spans="1:6" s="747" customFormat="1" ht="14.25" customHeight="1" thickBot="1">
      <c r="A96" s="759" t="s">
        <v>522</v>
      </c>
      <c r="B96" s="753" t="s">
        <v>393</v>
      </c>
      <c r="C96" s="753">
        <v>13200</v>
      </c>
      <c r="D96" s="753">
        <v>13150</v>
      </c>
      <c r="E96" s="753">
        <v>12900</v>
      </c>
      <c r="F96" s="767"/>
    </row>
    <row r="97" spans="1:6" s="747" customFormat="1" ht="14.25" customHeight="1" thickBot="1">
      <c r="A97" s="759" t="s">
        <v>522</v>
      </c>
      <c r="B97" s="753" t="s">
        <v>401</v>
      </c>
      <c r="C97" s="753">
        <v>13270</v>
      </c>
      <c r="D97" s="753">
        <v>13210</v>
      </c>
      <c r="E97" s="753">
        <v>11080</v>
      </c>
      <c r="F97" s="767"/>
    </row>
    <row r="98" spans="1:6" s="747" customFormat="1" ht="14.25" customHeight="1" thickBot="1">
      <c r="A98" s="759" t="s">
        <v>522</v>
      </c>
      <c r="B98" s="753" t="s">
        <v>408</v>
      </c>
      <c r="C98" s="753">
        <v>13010</v>
      </c>
      <c r="D98" s="753">
        <v>12930</v>
      </c>
      <c r="E98" s="753">
        <v>12840</v>
      </c>
      <c r="F98" s="767"/>
    </row>
    <row r="99" spans="1:6" s="747" customFormat="1" ht="14.25" customHeight="1" thickBot="1">
      <c r="A99" s="759" t="s">
        <v>522</v>
      </c>
      <c r="B99" s="753" t="s">
        <v>415</v>
      </c>
      <c r="C99" s="753">
        <v>11190</v>
      </c>
      <c r="D99" s="753">
        <v>11130</v>
      </c>
      <c r="E99" s="753"/>
      <c r="F99" s="767"/>
    </row>
    <row r="100" spans="1:6" s="747" customFormat="1" ht="14.25" customHeight="1" thickBot="1">
      <c r="A100" s="759" t="s">
        <v>522</v>
      </c>
      <c r="B100" s="753" t="s">
        <v>422</v>
      </c>
      <c r="C100" s="753">
        <v>14280</v>
      </c>
      <c r="D100" s="753">
        <v>14180</v>
      </c>
      <c r="E100" s="753"/>
      <c r="F100" s="767"/>
    </row>
    <row r="101" spans="1:6" s="747" customFormat="1" ht="14.25" customHeight="1" thickBot="1">
      <c r="A101" s="759" t="s">
        <v>522</v>
      </c>
      <c r="B101" s="753" t="s">
        <v>429</v>
      </c>
      <c r="C101" s="753">
        <v>12960</v>
      </c>
      <c r="D101" s="753">
        <v>12890</v>
      </c>
      <c r="E101" s="753"/>
      <c r="F101" s="767"/>
    </row>
    <row r="102" spans="1:6" s="747" customFormat="1" ht="14.25" customHeight="1" thickBot="1">
      <c r="A102" s="759" t="s">
        <v>522</v>
      </c>
      <c r="B102" s="753" t="s">
        <v>436</v>
      </c>
      <c r="C102" s="753"/>
      <c r="D102" s="753"/>
      <c r="E102" s="753"/>
      <c r="F102" s="767">
        <v>3100</v>
      </c>
    </row>
    <row r="103" spans="1:6" s="747" customFormat="1" ht="14.25" customHeight="1" thickBot="1">
      <c r="A103" s="759" t="s">
        <v>522</v>
      </c>
      <c r="B103" s="753" t="s">
        <v>443</v>
      </c>
      <c r="C103" s="753"/>
      <c r="D103" s="753"/>
      <c r="E103" s="753"/>
      <c r="F103" s="767">
        <v>2320</v>
      </c>
    </row>
    <row r="104" spans="1:6" s="747" customFormat="1" ht="14.25" customHeight="1" thickBot="1">
      <c r="A104" s="759" t="s">
        <v>522</v>
      </c>
      <c r="B104" s="753" t="s">
        <v>448</v>
      </c>
      <c r="C104" s="753"/>
      <c r="D104" s="753"/>
      <c r="E104" s="753"/>
      <c r="F104" s="767">
        <v>2320</v>
      </c>
    </row>
    <row r="105" spans="1:6" s="747" customFormat="1" ht="14.25" customHeight="1" thickBot="1">
      <c r="A105" s="759" t="s">
        <v>522</v>
      </c>
      <c r="B105" s="753" t="s">
        <v>452</v>
      </c>
      <c r="C105" s="753"/>
      <c r="D105" s="753"/>
      <c r="E105" s="753"/>
      <c r="F105" s="767">
        <v>2320</v>
      </c>
    </row>
    <row r="106" spans="1:6" s="747" customFormat="1" ht="14.25" customHeight="1" thickBot="1">
      <c r="A106" s="759" t="s">
        <v>522</v>
      </c>
      <c r="B106" s="753" t="s">
        <v>457</v>
      </c>
      <c r="C106" s="753"/>
      <c r="D106" s="753"/>
      <c r="E106" s="753"/>
      <c r="F106" s="767">
        <v>2320</v>
      </c>
    </row>
    <row r="107" spans="1:6" s="747" customFormat="1" ht="14.25" customHeight="1" thickBot="1">
      <c r="A107" s="759" t="s">
        <v>522</v>
      </c>
      <c r="B107" s="753" t="s">
        <v>462</v>
      </c>
      <c r="C107" s="753"/>
      <c r="D107" s="753"/>
      <c r="E107" s="753"/>
      <c r="F107" s="767">
        <v>2280</v>
      </c>
    </row>
    <row r="108" spans="1:6" s="747" customFormat="1" ht="14.25" customHeight="1" thickBot="1">
      <c r="A108" s="759" t="s">
        <v>522</v>
      </c>
      <c r="B108" s="753" t="s">
        <v>467</v>
      </c>
      <c r="C108" s="753"/>
      <c r="D108" s="753"/>
      <c r="E108" s="753"/>
      <c r="F108" s="767">
        <v>2280</v>
      </c>
    </row>
    <row r="109" spans="1:6" s="747" customFormat="1" ht="14.25" customHeight="1" thickBot="1">
      <c r="A109" s="759" t="s">
        <v>522</v>
      </c>
      <c r="B109" s="765" t="s">
        <v>472</v>
      </c>
      <c r="C109" s="765"/>
      <c r="D109" s="765"/>
      <c r="E109" s="765"/>
      <c r="F109" s="770">
        <v>2280</v>
      </c>
    </row>
    <row r="110" spans="1:6" s="747" customFormat="1" ht="14.25" customHeight="1" thickBot="1">
      <c r="A110" s="759" t="s">
        <v>56</v>
      </c>
      <c r="B110" s="760" t="s">
        <v>524</v>
      </c>
      <c r="C110" s="760">
        <v>10520</v>
      </c>
      <c r="D110" s="760">
        <v>10490</v>
      </c>
      <c r="E110" s="760">
        <v>10760</v>
      </c>
      <c r="F110" s="761">
        <v>2160</v>
      </c>
    </row>
    <row r="111" spans="1:6" s="747" customFormat="1" ht="14.25" customHeight="1" thickBot="1">
      <c r="A111" s="759" t="s">
        <v>56</v>
      </c>
      <c r="B111" s="753" t="s">
        <v>191</v>
      </c>
      <c r="C111" s="753">
        <v>10090</v>
      </c>
      <c r="D111" s="753">
        <v>10060</v>
      </c>
      <c r="E111" s="753">
        <v>10300</v>
      </c>
      <c r="F111" s="767">
        <v>2010</v>
      </c>
    </row>
    <row r="112" spans="1:6" s="747" customFormat="1" ht="14.25" customHeight="1" thickBot="1">
      <c r="A112" s="759" t="s">
        <v>56</v>
      </c>
      <c r="B112" s="753" t="s">
        <v>204</v>
      </c>
      <c r="C112" s="753">
        <v>9910</v>
      </c>
      <c r="D112" s="753">
        <v>9850</v>
      </c>
      <c r="E112" s="753">
        <v>9960</v>
      </c>
      <c r="F112" s="767">
        <v>2090</v>
      </c>
    </row>
    <row r="113" spans="1:6" s="747" customFormat="1" ht="14.25" customHeight="1" thickBot="1">
      <c r="A113" s="759" t="s">
        <v>56</v>
      </c>
      <c r="B113" s="753" t="s">
        <v>217</v>
      </c>
      <c r="C113" s="753">
        <v>11430</v>
      </c>
      <c r="D113" s="753">
        <v>11400</v>
      </c>
      <c r="E113" s="753">
        <v>11710</v>
      </c>
      <c r="F113" s="767">
        <v>2050</v>
      </c>
    </row>
    <row r="114" spans="1:6" s="747" customFormat="1" ht="14.25" customHeight="1" thickBot="1">
      <c r="A114" s="759" t="s">
        <v>56</v>
      </c>
      <c r="B114" s="753" t="s">
        <v>229</v>
      </c>
      <c r="C114" s="753">
        <v>11390</v>
      </c>
      <c r="D114" s="753">
        <v>11350</v>
      </c>
      <c r="E114" s="753">
        <v>11640</v>
      </c>
      <c r="F114" s="767">
        <v>1620</v>
      </c>
    </row>
    <row r="115" spans="1:6" s="747" customFormat="1" ht="14.25" customHeight="1" thickBot="1">
      <c r="A115" s="759" t="s">
        <v>56</v>
      </c>
      <c r="B115" s="753" t="s">
        <v>240</v>
      </c>
      <c r="C115" s="753">
        <v>9930</v>
      </c>
      <c r="D115" s="753">
        <v>9900</v>
      </c>
      <c r="E115" s="753">
        <v>10160</v>
      </c>
      <c r="F115" s="767">
        <v>1580</v>
      </c>
    </row>
    <row r="116" spans="1:6" s="747" customFormat="1" ht="14.25" customHeight="1" thickBot="1">
      <c r="A116" s="759" t="s">
        <v>56</v>
      </c>
      <c r="B116" s="753" t="s">
        <v>251</v>
      </c>
      <c r="C116" s="753">
        <v>9150</v>
      </c>
      <c r="D116" s="753">
        <v>9120</v>
      </c>
      <c r="E116" s="753">
        <v>9380</v>
      </c>
      <c r="F116" s="767">
        <v>1750</v>
      </c>
    </row>
    <row r="117" spans="1:6" s="747" customFormat="1" ht="14.25" customHeight="1" thickBot="1">
      <c r="A117" s="759" t="s">
        <v>56</v>
      </c>
      <c r="B117" s="753" t="s">
        <v>262</v>
      </c>
      <c r="C117" s="753">
        <v>10680</v>
      </c>
      <c r="D117" s="753">
        <v>10650</v>
      </c>
      <c r="E117" s="753">
        <v>10970</v>
      </c>
      <c r="F117" s="767">
        <v>1730</v>
      </c>
    </row>
    <row r="118" spans="1:6" s="747" customFormat="1" ht="14.25" customHeight="1" thickBot="1">
      <c r="A118" s="759" t="s">
        <v>56</v>
      </c>
      <c r="B118" s="753" t="s">
        <v>274</v>
      </c>
      <c r="C118" s="753">
        <v>10080</v>
      </c>
      <c r="D118" s="753">
        <v>10050</v>
      </c>
      <c r="E118" s="753">
        <v>10350</v>
      </c>
      <c r="F118" s="767">
        <v>1920</v>
      </c>
    </row>
    <row r="119" spans="1:6" s="747" customFormat="1" ht="14.25" customHeight="1" thickBot="1">
      <c r="A119" s="759" t="s">
        <v>56</v>
      </c>
      <c r="B119" s="753" t="s">
        <v>284</v>
      </c>
      <c r="C119" s="753">
        <v>9450</v>
      </c>
      <c r="D119" s="753">
        <v>9410</v>
      </c>
      <c r="E119" s="753">
        <v>9680</v>
      </c>
      <c r="F119" s="767">
        <v>1880</v>
      </c>
    </row>
    <row r="120" spans="1:6" s="747" customFormat="1" ht="14.25" customHeight="1" thickBot="1">
      <c r="A120" s="759" t="s">
        <v>56</v>
      </c>
      <c r="B120" s="753" t="s">
        <v>294</v>
      </c>
      <c r="C120" s="753">
        <v>8730</v>
      </c>
      <c r="D120" s="753">
        <v>8700</v>
      </c>
      <c r="E120" s="753">
        <v>8950</v>
      </c>
      <c r="F120" s="767">
        <v>1830</v>
      </c>
    </row>
    <row r="121" spans="1:6" s="747" customFormat="1" ht="14.25" customHeight="1" thickBot="1">
      <c r="A121" s="759" t="s">
        <v>56</v>
      </c>
      <c r="B121" s="753" t="s">
        <v>304</v>
      </c>
      <c r="C121" s="753">
        <v>10070</v>
      </c>
      <c r="D121" s="753">
        <v>10040</v>
      </c>
      <c r="E121" s="753">
        <v>10270</v>
      </c>
      <c r="F121" s="767">
        <v>1960</v>
      </c>
    </row>
    <row r="122" spans="1:6" s="747" customFormat="1" ht="14.25" customHeight="1" thickBot="1">
      <c r="A122" s="759" t="s">
        <v>56</v>
      </c>
      <c r="B122" s="753" t="s">
        <v>314</v>
      </c>
      <c r="C122" s="753">
        <v>10500</v>
      </c>
      <c r="D122" s="753">
        <v>10470</v>
      </c>
      <c r="E122" s="753">
        <v>10780</v>
      </c>
      <c r="F122" s="767">
        <v>2180</v>
      </c>
    </row>
    <row r="123" spans="1:6" s="747" customFormat="1" ht="14.25" customHeight="1" thickBot="1">
      <c r="A123" s="759" t="s">
        <v>56</v>
      </c>
      <c r="B123" s="753" t="s">
        <v>325</v>
      </c>
      <c r="C123" s="753">
        <v>10390</v>
      </c>
      <c r="D123" s="753">
        <v>10360</v>
      </c>
      <c r="E123" s="753">
        <v>10660</v>
      </c>
      <c r="F123" s="767">
        <v>2040</v>
      </c>
    </row>
    <row r="124" spans="1:6" s="747" customFormat="1" ht="14.25" customHeight="1" thickBot="1">
      <c r="A124" s="759" t="s">
        <v>56</v>
      </c>
      <c r="B124" s="753" t="s">
        <v>336</v>
      </c>
      <c r="C124" s="753">
        <v>10390</v>
      </c>
      <c r="D124" s="753">
        <v>10360</v>
      </c>
      <c r="E124" s="753">
        <v>10680</v>
      </c>
      <c r="F124" s="771"/>
    </row>
    <row r="125" spans="1:6" s="747" customFormat="1" ht="14.25" customHeight="1" thickBot="1">
      <c r="A125" s="759" t="s">
        <v>56</v>
      </c>
      <c r="B125" s="753" t="s">
        <v>346</v>
      </c>
      <c r="C125" s="753">
        <v>10440</v>
      </c>
      <c r="D125" s="753">
        <v>10410</v>
      </c>
      <c r="E125" s="753">
        <v>10710</v>
      </c>
      <c r="F125" s="771"/>
    </row>
    <row r="126" spans="1:6" s="747" customFormat="1" ht="14.25" customHeight="1" thickBot="1">
      <c r="A126" s="759" t="s">
        <v>56</v>
      </c>
      <c r="B126" s="753" t="s">
        <v>356</v>
      </c>
      <c r="C126" s="753">
        <v>10780</v>
      </c>
      <c r="D126" s="753">
        <v>10750</v>
      </c>
      <c r="E126" s="753">
        <v>11080</v>
      </c>
      <c r="F126" s="771"/>
    </row>
    <row r="127" spans="1:6" s="747" customFormat="1" ht="14.25" customHeight="1" thickBot="1">
      <c r="A127" s="759" t="s">
        <v>56</v>
      </c>
      <c r="B127" s="753" t="s">
        <v>366</v>
      </c>
      <c r="C127" s="753">
        <v>10100</v>
      </c>
      <c r="D127" s="753">
        <v>10070</v>
      </c>
      <c r="E127" s="753">
        <v>10350</v>
      </c>
      <c r="F127" s="771"/>
    </row>
    <row r="128" spans="1:6" s="747" customFormat="1" ht="14.25" customHeight="1" thickBot="1">
      <c r="A128" s="759" t="s">
        <v>56</v>
      </c>
      <c r="B128" s="753" t="s">
        <v>376</v>
      </c>
      <c r="C128" s="753">
        <v>9200</v>
      </c>
      <c r="D128" s="753">
        <v>9160</v>
      </c>
      <c r="E128" s="753">
        <v>9660</v>
      </c>
      <c r="F128" s="771"/>
    </row>
    <row r="129" spans="1:6" s="747" customFormat="1" ht="14.25" customHeight="1" thickBot="1">
      <c r="A129" s="759" t="s">
        <v>56</v>
      </c>
      <c r="B129" s="753" t="s">
        <v>385</v>
      </c>
      <c r="C129" s="753">
        <v>10340</v>
      </c>
      <c r="D129" s="753">
        <v>10310</v>
      </c>
      <c r="E129" s="753">
        <v>10580</v>
      </c>
      <c r="F129" s="771"/>
    </row>
    <row r="130" spans="1:6" s="747" customFormat="1" ht="14.25" customHeight="1" thickBot="1">
      <c r="A130" s="759" t="s">
        <v>56</v>
      </c>
      <c r="B130" s="753" t="s">
        <v>394</v>
      </c>
      <c r="C130" s="753">
        <v>9680</v>
      </c>
      <c r="D130" s="753">
        <v>9660</v>
      </c>
      <c r="E130" s="753">
        <v>9950</v>
      </c>
      <c r="F130" s="771"/>
    </row>
    <row r="131" spans="1:6" s="747" customFormat="1" ht="14.25" customHeight="1" thickBot="1">
      <c r="A131" s="759" t="s">
        <v>56</v>
      </c>
      <c r="B131" s="753" t="s">
        <v>402</v>
      </c>
      <c r="C131" s="753">
        <v>9540</v>
      </c>
      <c r="D131" s="753">
        <v>9510</v>
      </c>
      <c r="E131" s="753">
        <v>9790</v>
      </c>
      <c r="F131" s="771"/>
    </row>
    <row r="132" spans="1:6" s="747" customFormat="1" ht="14.25" customHeight="1" thickBot="1">
      <c r="A132" s="759" t="s">
        <v>56</v>
      </c>
      <c r="B132" s="753" t="s">
        <v>409</v>
      </c>
      <c r="C132" s="753">
        <v>9320</v>
      </c>
      <c r="D132" s="753">
        <v>9290</v>
      </c>
      <c r="E132" s="753">
        <v>9570</v>
      </c>
      <c r="F132" s="771"/>
    </row>
    <row r="133" spans="1:6" s="747" customFormat="1" ht="14.25" customHeight="1" thickBot="1">
      <c r="A133" s="759" t="s">
        <v>56</v>
      </c>
      <c r="B133" s="753" t="s">
        <v>416</v>
      </c>
      <c r="C133" s="753">
        <v>10310</v>
      </c>
      <c r="D133" s="753">
        <v>10280</v>
      </c>
      <c r="E133" s="753">
        <v>10530</v>
      </c>
      <c r="F133" s="771"/>
    </row>
    <row r="134" spans="1:6" s="747" customFormat="1" ht="14.25" customHeight="1" thickBot="1">
      <c r="A134" s="759" t="s">
        <v>56</v>
      </c>
      <c r="B134" s="753" t="s">
        <v>423</v>
      </c>
      <c r="C134" s="753">
        <v>10370</v>
      </c>
      <c r="D134" s="753">
        <v>10310</v>
      </c>
      <c r="E134" s="753">
        <v>10240</v>
      </c>
      <c r="F134" s="767">
        <v>2060</v>
      </c>
    </row>
    <row r="135" spans="1:6" s="747" customFormat="1" ht="14.25" customHeight="1" thickBot="1">
      <c r="A135" s="759" t="s">
        <v>56</v>
      </c>
      <c r="B135" s="753" t="s">
        <v>430</v>
      </c>
      <c r="C135" s="753">
        <v>9300</v>
      </c>
      <c r="D135" s="753">
        <v>9270</v>
      </c>
      <c r="E135" s="753">
        <v>9350</v>
      </c>
      <c r="F135" s="771"/>
    </row>
    <row r="136" spans="1:6" s="747" customFormat="1" ht="14.25" customHeight="1" thickBot="1">
      <c r="A136" s="759" t="s">
        <v>56</v>
      </c>
      <c r="B136" s="753" t="s">
        <v>437</v>
      </c>
      <c r="C136" s="753">
        <v>10160</v>
      </c>
      <c r="D136" s="753">
        <v>10110</v>
      </c>
      <c r="E136" s="753">
        <v>10080</v>
      </c>
      <c r="F136" s="771"/>
    </row>
    <row r="137" spans="1:6" s="747" customFormat="1" ht="14.25" customHeight="1" thickBot="1">
      <c r="A137" s="759" t="s">
        <v>56</v>
      </c>
      <c r="B137" s="753" t="s">
        <v>444</v>
      </c>
      <c r="C137" s="753">
        <v>9200</v>
      </c>
      <c r="D137" s="753">
        <v>9170</v>
      </c>
      <c r="E137" s="753">
        <v>9450</v>
      </c>
      <c r="F137" s="771"/>
    </row>
    <row r="138" spans="1:6" s="747" customFormat="1" ht="14.25" customHeight="1" thickBot="1">
      <c r="A138" s="759" t="s">
        <v>56</v>
      </c>
      <c r="B138" s="753" t="s">
        <v>449</v>
      </c>
      <c r="C138" s="753">
        <v>9690</v>
      </c>
      <c r="D138" s="753">
        <v>9660</v>
      </c>
      <c r="E138" s="753">
        <v>9840</v>
      </c>
      <c r="F138" s="771"/>
    </row>
    <row r="139" spans="1:6" s="747" customFormat="1" ht="14.25" customHeight="1" thickBot="1">
      <c r="A139" s="759" t="s">
        <v>56</v>
      </c>
      <c r="B139" s="753" t="s">
        <v>453</v>
      </c>
      <c r="C139" s="753">
        <v>10290</v>
      </c>
      <c r="D139" s="753">
        <v>10260</v>
      </c>
      <c r="E139" s="753">
        <v>10550</v>
      </c>
      <c r="F139" s="767">
        <v>1700</v>
      </c>
    </row>
    <row r="140" spans="1:6" s="747" customFormat="1" ht="14.25" customHeight="1" thickBot="1">
      <c r="A140" s="759" t="s">
        <v>56</v>
      </c>
      <c r="B140" s="753" t="s">
        <v>458</v>
      </c>
      <c r="C140" s="753">
        <v>9740</v>
      </c>
      <c r="D140" s="753">
        <v>9710</v>
      </c>
      <c r="E140" s="753">
        <v>10000</v>
      </c>
      <c r="F140" s="767">
        <v>2000</v>
      </c>
    </row>
    <row r="141" spans="1:6" s="747" customFormat="1" ht="14.25" customHeight="1" thickBot="1">
      <c r="A141" s="759" t="s">
        <v>56</v>
      </c>
      <c r="B141" s="753" t="s">
        <v>463</v>
      </c>
      <c r="C141" s="753">
        <v>9810</v>
      </c>
      <c r="D141" s="753">
        <v>9770</v>
      </c>
      <c r="E141" s="753">
        <v>10060</v>
      </c>
      <c r="F141" s="771"/>
    </row>
    <row r="142" spans="1:6" s="747" customFormat="1" ht="14.25" customHeight="1" thickBot="1">
      <c r="A142" s="759" t="s">
        <v>56</v>
      </c>
      <c r="B142" s="753" t="s">
        <v>468</v>
      </c>
      <c r="C142" s="753">
        <v>9300</v>
      </c>
      <c r="D142" s="753">
        <v>9270</v>
      </c>
      <c r="E142" s="753">
        <v>9530</v>
      </c>
      <c r="F142" s="771"/>
    </row>
    <row r="143" spans="1:6" s="747" customFormat="1" ht="14.25" customHeight="1" thickBot="1">
      <c r="A143" s="759" t="s">
        <v>56</v>
      </c>
      <c r="B143" s="753" t="s">
        <v>473</v>
      </c>
      <c r="C143" s="753">
        <v>10080</v>
      </c>
      <c r="D143" s="753">
        <v>10050</v>
      </c>
      <c r="E143" s="753">
        <v>10340</v>
      </c>
      <c r="F143" s="771"/>
    </row>
    <row r="144" spans="1:6" s="747" customFormat="1" ht="14.25" customHeight="1" thickBot="1">
      <c r="A144" s="759" t="s">
        <v>56</v>
      </c>
      <c r="B144" s="753" t="s">
        <v>477</v>
      </c>
      <c r="C144" s="753">
        <v>9820</v>
      </c>
      <c r="D144" s="753">
        <v>9750</v>
      </c>
      <c r="E144" s="753">
        <v>9900</v>
      </c>
      <c r="F144" s="771"/>
    </row>
    <row r="145" spans="1:6" s="747" customFormat="1" ht="14.25" customHeight="1" thickBot="1">
      <c r="A145" s="759" t="s">
        <v>56</v>
      </c>
      <c r="B145" s="753" t="s">
        <v>481</v>
      </c>
      <c r="C145" s="753"/>
      <c r="D145" s="753"/>
      <c r="E145" s="753"/>
      <c r="F145" s="767">
        <v>1740</v>
      </c>
    </row>
    <row r="146" spans="1:6" s="747" customFormat="1" ht="14.25" customHeight="1" thickBot="1">
      <c r="A146" s="759" t="s">
        <v>56</v>
      </c>
      <c r="B146" s="753" t="s">
        <v>485</v>
      </c>
      <c r="C146" s="753"/>
      <c r="D146" s="753"/>
      <c r="E146" s="753"/>
      <c r="F146" s="767">
        <v>1740</v>
      </c>
    </row>
    <row r="147" spans="1:6" s="747" customFormat="1" ht="14.25" customHeight="1" thickBot="1">
      <c r="A147" s="759" t="s">
        <v>56</v>
      </c>
      <c r="B147" s="753" t="s">
        <v>489</v>
      </c>
      <c r="C147" s="753"/>
      <c r="D147" s="753"/>
      <c r="E147" s="753"/>
      <c r="F147" s="767">
        <v>1740</v>
      </c>
    </row>
    <row r="148" spans="1:6" s="747" customFormat="1" ht="14.25" customHeight="1" thickBot="1">
      <c r="A148" s="759" t="s">
        <v>56</v>
      </c>
      <c r="B148" s="753" t="s">
        <v>493</v>
      </c>
      <c r="C148" s="753"/>
      <c r="D148" s="753"/>
      <c r="E148" s="753"/>
      <c r="F148" s="767">
        <v>1740</v>
      </c>
    </row>
    <row r="149" spans="1:6" s="747" customFormat="1" ht="14.25" customHeight="1" thickBot="1">
      <c r="A149" s="759" t="s">
        <v>56</v>
      </c>
      <c r="B149" s="753" t="s">
        <v>497</v>
      </c>
      <c r="C149" s="753"/>
      <c r="D149" s="753"/>
      <c r="E149" s="753"/>
      <c r="F149" s="767">
        <v>1740</v>
      </c>
    </row>
    <row r="150" spans="1:6" s="747" customFormat="1" ht="14.25" customHeight="1" thickBot="1">
      <c r="A150" s="759" t="s">
        <v>56</v>
      </c>
      <c r="B150" s="753" t="s">
        <v>500</v>
      </c>
      <c r="C150" s="753"/>
      <c r="D150" s="753"/>
      <c r="E150" s="753"/>
      <c r="F150" s="767">
        <v>1610</v>
      </c>
    </row>
    <row r="151" spans="1:6" s="747" customFormat="1" ht="14.25" customHeight="1" thickBot="1">
      <c r="A151" s="759" t="s">
        <v>56</v>
      </c>
      <c r="B151" s="753" t="s">
        <v>503</v>
      </c>
      <c r="C151" s="753"/>
      <c r="D151" s="753"/>
      <c r="E151" s="753"/>
      <c r="F151" s="767">
        <v>1610</v>
      </c>
    </row>
    <row r="152" spans="1:6" s="747" customFormat="1" ht="14.25" customHeight="1" thickBot="1">
      <c r="A152" s="759" t="s">
        <v>56</v>
      </c>
      <c r="B152" s="753" t="s">
        <v>506</v>
      </c>
      <c r="C152" s="753"/>
      <c r="D152" s="753"/>
      <c r="E152" s="753"/>
      <c r="F152" s="767">
        <v>1610</v>
      </c>
    </row>
    <row r="153" spans="1:6" s="747" customFormat="1" ht="14.25" customHeight="1" thickBot="1">
      <c r="A153" s="759" t="s">
        <v>56</v>
      </c>
      <c r="B153" s="753" t="s">
        <v>509</v>
      </c>
      <c r="C153" s="753"/>
      <c r="D153" s="753"/>
      <c r="E153" s="753"/>
      <c r="F153" s="767">
        <v>1610</v>
      </c>
    </row>
    <row r="154" spans="1:6" s="747" customFormat="1" ht="14.25" customHeight="1" thickBot="1">
      <c r="A154" s="759" t="s">
        <v>56</v>
      </c>
      <c r="B154" s="753" t="s">
        <v>512</v>
      </c>
      <c r="C154" s="753"/>
      <c r="D154" s="753"/>
      <c r="E154" s="753"/>
      <c r="F154" s="767">
        <v>1610</v>
      </c>
    </row>
    <row r="155" spans="1:6" s="747" customFormat="1" ht="14.25" customHeight="1" thickBot="1">
      <c r="A155" s="759" t="s">
        <v>56</v>
      </c>
      <c r="B155" s="753" t="s">
        <v>515</v>
      </c>
      <c r="C155" s="753"/>
      <c r="D155" s="753"/>
      <c r="E155" s="753"/>
      <c r="F155" s="767">
        <v>1800</v>
      </c>
    </row>
    <row r="156" spans="1:6" s="747" customFormat="1" ht="14.25" customHeight="1" thickBot="1">
      <c r="A156" s="759" t="s">
        <v>56</v>
      </c>
      <c r="B156" s="753" t="s">
        <v>517</v>
      </c>
      <c r="C156" s="753"/>
      <c r="D156" s="753"/>
      <c r="E156" s="753"/>
      <c r="F156" s="767">
        <v>1910</v>
      </c>
    </row>
    <row r="157" spans="1:6" s="747" customFormat="1" ht="14.25" customHeight="1" thickBot="1">
      <c r="A157" s="759" t="s">
        <v>56</v>
      </c>
      <c r="B157" s="765" t="s">
        <v>520</v>
      </c>
      <c r="C157" s="765"/>
      <c r="D157" s="765"/>
      <c r="E157" s="765"/>
      <c r="F157" s="770">
        <v>1500</v>
      </c>
    </row>
    <row r="158" spans="1:6" s="747" customFormat="1" ht="14.25" customHeight="1" thickBot="1">
      <c r="A158" s="759" t="s">
        <v>525</v>
      </c>
      <c r="B158" s="760" t="s">
        <v>526</v>
      </c>
      <c r="C158" s="760">
        <v>8170</v>
      </c>
      <c r="D158" s="760">
        <v>8140</v>
      </c>
      <c r="E158" s="760">
        <v>8590</v>
      </c>
      <c r="F158" s="761">
        <v>1450</v>
      </c>
    </row>
    <row r="159" spans="1:6" s="747" customFormat="1" ht="14.25" customHeight="1" thickBot="1">
      <c r="A159" s="759" t="s">
        <v>525</v>
      </c>
      <c r="B159" s="753" t="s">
        <v>192</v>
      </c>
      <c r="C159" s="753">
        <v>7410</v>
      </c>
      <c r="D159" s="753">
        <v>7370</v>
      </c>
      <c r="E159" s="753">
        <v>8030</v>
      </c>
      <c r="F159" s="767">
        <v>1510</v>
      </c>
    </row>
    <row r="160" spans="1:6" s="747" customFormat="1" ht="14.25" customHeight="1" thickBot="1">
      <c r="A160" s="759" t="s">
        <v>525</v>
      </c>
      <c r="B160" s="753" t="s">
        <v>205</v>
      </c>
      <c r="C160" s="753">
        <v>7240</v>
      </c>
      <c r="D160" s="753">
        <v>7210</v>
      </c>
      <c r="E160" s="753">
        <v>7860</v>
      </c>
      <c r="F160" s="767">
        <v>1370</v>
      </c>
    </row>
    <row r="161" spans="1:6" s="747" customFormat="1" ht="14.25" customHeight="1" thickBot="1">
      <c r="A161" s="759" t="s">
        <v>525</v>
      </c>
      <c r="B161" s="753" t="s">
        <v>218</v>
      </c>
      <c r="C161" s="753">
        <v>7720</v>
      </c>
      <c r="D161" s="753">
        <v>7690</v>
      </c>
      <c r="E161" s="753">
        <v>8200</v>
      </c>
      <c r="F161" s="767">
        <v>1190</v>
      </c>
    </row>
    <row r="162" spans="1:6" s="747" customFormat="1" ht="14.25" customHeight="1" thickBot="1">
      <c r="A162" s="759" t="s">
        <v>525</v>
      </c>
      <c r="B162" s="753" t="s">
        <v>230</v>
      </c>
      <c r="C162" s="753">
        <v>6900</v>
      </c>
      <c r="D162" s="753">
        <v>6870</v>
      </c>
      <c r="E162" s="753">
        <v>7500</v>
      </c>
      <c r="F162" s="767">
        <v>1390</v>
      </c>
    </row>
    <row r="163" spans="1:6" s="747" customFormat="1" ht="14.25" customHeight="1" thickBot="1">
      <c r="A163" s="759" t="s">
        <v>525</v>
      </c>
      <c r="B163" s="753" t="s">
        <v>241</v>
      </c>
      <c r="C163" s="753">
        <v>7120</v>
      </c>
      <c r="D163" s="753">
        <v>7090</v>
      </c>
      <c r="E163" s="753">
        <v>7690</v>
      </c>
      <c r="F163" s="767">
        <v>1230</v>
      </c>
    </row>
    <row r="164" spans="1:6" s="747" customFormat="1" ht="14.25" customHeight="1" thickBot="1">
      <c r="A164" s="759" t="s">
        <v>525</v>
      </c>
      <c r="B164" s="753" t="s">
        <v>252</v>
      </c>
      <c r="C164" s="753">
        <v>6560</v>
      </c>
      <c r="D164" s="753">
        <v>6530</v>
      </c>
      <c r="E164" s="753">
        <v>7110</v>
      </c>
      <c r="F164" s="767">
        <v>1340</v>
      </c>
    </row>
    <row r="165" spans="1:6" s="747" customFormat="1" ht="14.25" customHeight="1" thickBot="1">
      <c r="A165" s="759" t="s">
        <v>525</v>
      </c>
      <c r="B165" s="753" t="s">
        <v>263</v>
      </c>
      <c r="C165" s="753">
        <v>7450</v>
      </c>
      <c r="D165" s="753">
        <v>7430</v>
      </c>
      <c r="E165" s="753">
        <v>8110</v>
      </c>
      <c r="F165" s="767">
        <v>1290</v>
      </c>
    </row>
    <row r="166" spans="1:6" s="747" customFormat="1" ht="14.25" customHeight="1" thickBot="1">
      <c r="A166" s="759" t="s">
        <v>525</v>
      </c>
      <c r="B166" s="753" t="s">
        <v>275</v>
      </c>
      <c r="C166" s="753">
        <v>7490</v>
      </c>
      <c r="D166" s="753">
        <v>7460</v>
      </c>
      <c r="E166" s="753">
        <v>8150</v>
      </c>
      <c r="F166" s="767">
        <v>1350</v>
      </c>
    </row>
    <row r="167" spans="1:6" s="747" customFormat="1" ht="14.25" customHeight="1" thickBot="1">
      <c r="A167" s="759" t="s">
        <v>525</v>
      </c>
      <c r="B167" s="753" t="s">
        <v>285</v>
      </c>
      <c r="C167" s="753">
        <v>7540</v>
      </c>
      <c r="D167" s="753">
        <v>7510</v>
      </c>
      <c r="E167" s="753">
        <v>8030</v>
      </c>
      <c r="F167" s="771"/>
    </row>
    <row r="168" spans="1:6" s="747" customFormat="1" ht="14.25" customHeight="1" thickBot="1">
      <c r="A168" s="759" t="s">
        <v>525</v>
      </c>
      <c r="B168" s="753" t="s">
        <v>295</v>
      </c>
      <c r="C168" s="753">
        <v>7210</v>
      </c>
      <c r="D168" s="753">
        <v>7180</v>
      </c>
      <c r="E168" s="753">
        <v>7830</v>
      </c>
      <c r="F168" s="771"/>
    </row>
    <row r="169" spans="1:6" s="747" customFormat="1" ht="14.25" customHeight="1" thickBot="1">
      <c r="A169" s="759" t="s">
        <v>525</v>
      </c>
      <c r="B169" s="753" t="s">
        <v>305</v>
      </c>
      <c r="C169" s="753">
        <v>7040</v>
      </c>
      <c r="D169" s="753">
        <v>7020</v>
      </c>
      <c r="E169" s="753">
        <v>7670</v>
      </c>
      <c r="F169" s="771"/>
    </row>
    <row r="170" spans="1:6" s="747" customFormat="1" ht="14.25" customHeight="1" thickBot="1">
      <c r="A170" s="759" t="s">
        <v>525</v>
      </c>
      <c r="B170" s="753" t="s">
        <v>315</v>
      </c>
      <c r="C170" s="753">
        <v>8040</v>
      </c>
      <c r="D170" s="753">
        <v>7190</v>
      </c>
      <c r="E170" s="753">
        <v>7850</v>
      </c>
      <c r="F170" s="771"/>
    </row>
    <row r="171" spans="1:6" s="747" customFormat="1" ht="14.25" customHeight="1" thickBot="1">
      <c r="A171" s="759" t="s">
        <v>525</v>
      </c>
      <c r="B171" s="753" t="s">
        <v>326</v>
      </c>
      <c r="C171" s="753">
        <v>7860</v>
      </c>
      <c r="D171" s="753">
        <v>7720</v>
      </c>
      <c r="E171" s="753">
        <v>8150</v>
      </c>
      <c r="F171" s="767">
        <v>1110</v>
      </c>
    </row>
    <row r="172" spans="1:6" s="747" customFormat="1" ht="14.25" customHeight="1" thickBot="1">
      <c r="A172" s="759" t="s">
        <v>525</v>
      </c>
      <c r="B172" s="753" t="s">
        <v>337</v>
      </c>
      <c r="C172" s="753">
        <v>7210</v>
      </c>
      <c r="D172" s="753">
        <v>7170</v>
      </c>
      <c r="E172" s="753">
        <v>7320</v>
      </c>
      <c r="F172" s="771"/>
    </row>
    <row r="173" spans="1:6" s="747" customFormat="1" ht="14.25" customHeight="1" thickBot="1">
      <c r="A173" s="759" t="s">
        <v>525</v>
      </c>
      <c r="B173" s="753" t="s">
        <v>347</v>
      </c>
      <c r="C173" s="753">
        <v>6860</v>
      </c>
      <c r="D173" s="753">
        <v>6810</v>
      </c>
      <c r="E173" s="753">
        <v>7440</v>
      </c>
      <c r="F173" s="771"/>
    </row>
    <row r="174" spans="1:6" s="747" customFormat="1" ht="14.25" customHeight="1" thickBot="1">
      <c r="A174" s="759" t="s">
        <v>525</v>
      </c>
      <c r="B174" s="753" t="s">
        <v>357</v>
      </c>
      <c r="C174" s="753">
        <v>7120</v>
      </c>
      <c r="D174" s="753">
        <v>7090</v>
      </c>
      <c r="E174" s="753">
        <v>7500</v>
      </c>
      <c r="F174" s="767">
        <v>1490</v>
      </c>
    </row>
    <row r="175" spans="1:6" s="747" customFormat="1" ht="14.25" customHeight="1" thickBot="1">
      <c r="A175" s="759" t="s">
        <v>525</v>
      </c>
      <c r="B175" s="753" t="s">
        <v>367</v>
      </c>
      <c r="C175" s="753">
        <v>7850</v>
      </c>
      <c r="D175" s="753">
        <v>7820</v>
      </c>
      <c r="E175" s="753">
        <v>8120</v>
      </c>
      <c r="F175" s="767">
        <v>1530</v>
      </c>
    </row>
    <row r="176" spans="1:6" s="747" customFormat="1" ht="14.25" customHeight="1" thickBot="1">
      <c r="A176" s="759" t="s">
        <v>525</v>
      </c>
      <c r="B176" s="753" t="s">
        <v>377</v>
      </c>
      <c r="C176" s="753">
        <v>7620</v>
      </c>
      <c r="D176" s="753">
        <v>7570</v>
      </c>
      <c r="E176" s="753">
        <v>7990</v>
      </c>
      <c r="F176" s="767">
        <v>1480</v>
      </c>
    </row>
    <row r="177" spans="1:6" s="747" customFormat="1" ht="14.25" customHeight="1" thickBot="1">
      <c r="A177" s="759" t="s">
        <v>525</v>
      </c>
      <c r="B177" s="753" t="s">
        <v>386</v>
      </c>
      <c r="C177" s="753">
        <v>8590</v>
      </c>
      <c r="D177" s="753">
        <v>8570</v>
      </c>
      <c r="E177" s="753">
        <v>8740</v>
      </c>
      <c r="F177" s="767">
        <v>1540</v>
      </c>
    </row>
    <row r="178" spans="1:6" s="747" customFormat="1" ht="14.25" customHeight="1" thickBot="1">
      <c r="A178" s="759" t="s">
        <v>525</v>
      </c>
      <c r="B178" s="753" t="s">
        <v>395</v>
      </c>
      <c r="C178" s="753">
        <v>7510</v>
      </c>
      <c r="D178" s="753">
        <v>7470</v>
      </c>
      <c r="E178" s="753">
        <v>8090</v>
      </c>
      <c r="F178" s="767">
        <v>1320</v>
      </c>
    </row>
    <row r="179" spans="1:6" s="747" customFormat="1" ht="14.25" customHeight="1" thickBot="1">
      <c r="A179" s="759" t="s">
        <v>525</v>
      </c>
      <c r="B179" s="753" t="s">
        <v>403</v>
      </c>
      <c r="C179" s="753">
        <v>6380</v>
      </c>
      <c r="D179" s="753">
        <v>6340</v>
      </c>
      <c r="E179" s="753">
        <v>6810</v>
      </c>
      <c r="F179" s="771"/>
    </row>
    <row r="180" spans="1:6" s="747" customFormat="1" ht="14.25" customHeight="1" thickBot="1">
      <c r="A180" s="759" t="s">
        <v>525</v>
      </c>
      <c r="B180" s="753" t="s">
        <v>410</v>
      </c>
      <c r="C180" s="753">
        <v>7830</v>
      </c>
      <c r="D180" s="753">
        <v>7800</v>
      </c>
      <c r="E180" s="753">
        <v>7780</v>
      </c>
      <c r="F180" s="767">
        <v>1440</v>
      </c>
    </row>
    <row r="181" spans="1:6" s="747" customFormat="1" ht="14.25" customHeight="1" thickBot="1">
      <c r="A181" s="759" t="s">
        <v>525</v>
      </c>
      <c r="B181" s="753" t="s">
        <v>417</v>
      </c>
      <c r="C181" s="753">
        <v>7110</v>
      </c>
      <c r="D181" s="753">
        <v>7080</v>
      </c>
      <c r="E181" s="753">
        <v>7730</v>
      </c>
      <c r="F181" s="767">
        <v>1350</v>
      </c>
    </row>
    <row r="182" spans="1:6" s="747" customFormat="1" ht="14.25" customHeight="1" thickBot="1">
      <c r="A182" s="759" t="s">
        <v>525</v>
      </c>
      <c r="B182" s="753" t="s">
        <v>424</v>
      </c>
      <c r="C182" s="753">
        <v>7310</v>
      </c>
      <c r="D182" s="753">
        <v>7280</v>
      </c>
      <c r="E182" s="753">
        <v>7950</v>
      </c>
      <c r="F182" s="767">
        <v>1220</v>
      </c>
    </row>
    <row r="183" spans="1:6" s="747" customFormat="1" ht="14.25" customHeight="1" thickBot="1">
      <c r="A183" s="759" t="s">
        <v>525</v>
      </c>
      <c r="B183" s="753" t="s">
        <v>431</v>
      </c>
      <c r="C183" s="753">
        <v>7470</v>
      </c>
      <c r="D183" s="753">
        <v>7440</v>
      </c>
      <c r="E183" s="753">
        <v>7880</v>
      </c>
      <c r="F183" s="771"/>
    </row>
    <row r="184" spans="1:6" s="747" customFormat="1" ht="14.25" customHeight="1" thickBot="1">
      <c r="A184" s="759" t="s">
        <v>525</v>
      </c>
      <c r="B184" s="753" t="s">
        <v>438</v>
      </c>
      <c r="C184" s="753">
        <v>6960</v>
      </c>
      <c r="D184" s="753">
        <v>6930</v>
      </c>
      <c r="E184" s="753">
        <v>7570</v>
      </c>
      <c r="F184" s="771"/>
    </row>
    <row r="185" spans="1:6" s="747" customFormat="1" ht="14.25" customHeight="1" thickBot="1">
      <c r="A185" s="759" t="s">
        <v>525</v>
      </c>
      <c r="B185" s="753" t="s">
        <v>445</v>
      </c>
      <c r="C185" s="753">
        <v>7260</v>
      </c>
      <c r="D185" s="753">
        <v>7230</v>
      </c>
      <c r="E185" s="753">
        <v>7710</v>
      </c>
      <c r="F185" s="767">
        <v>1360</v>
      </c>
    </row>
    <row r="186" spans="1:6" s="747" customFormat="1" ht="14.25" customHeight="1" thickBot="1">
      <c r="A186" s="759" t="s">
        <v>525</v>
      </c>
      <c r="B186" s="753" t="s">
        <v>450</v>
      </c>
      <c r="C186" s="753"/>
      <c r="D186" s="753"/>
      <c r="E186" s="753"/>
      <c r="F186" s="767">
        <v>1560</v>
      </c>
    </row>
    <row r="187" spans="1:6" s="747" customFormat="1" ht="14.25" customHeight="1" thickBot="1">
      <c r="A187" s="759" t="s">
        <v>525</v>
      </c>
      <c r="B187" s="753" t="s">
        <v>454</v>
      </c>
      <c r="C187" s="753"/>
      <c r="D187" s="753"/>
      <c r="E187" s="753"/>
      <c r="F187" s="767">
        <v>1560</v>
      </c>
    </row>
    <row r="188" spans="1:6" s="747" customFormat="1" ht="14.25" customHeight="1" thickBot="1">
      <c r="A188" s="759" t="s">
        <v>525</v>
      </c>
      <c r="B188" s="753" t="s">
        <v>459</v>
      </c>
      <c r="C188" s="753"/>
      <c r="D188" s="753"/>
      <c r="E188" s="753"/>
      <c r="F188" s="767">
        <v>1560</v>
      </c>
    </row>
    <row r="189" spans="1:6" s="747" customFormat="1" ht="14.25" customHeight="1" thickBot="1">
      <c r="A189" s="759" t="s">
        <v>525</v>
      </c>
      <c r="B189" s="753" t="s">
        <v>464</v>
      </c>
      <c r="C189" s="753"/>
      <c r="D189" s="753"/>
      <c r="E189" s="753"/>
      <c r="F189" s="767">
        <v>1320</v>
      </c>
    </row>
    <row r="190" spans="1:6" s="747" customFormat="1" ht="14.25" customHeight="1" thickBot="1">
      <c r="A190" s="759" t="s">
        <v>525</v>
      </c>
      <c r="B190" s="753" t="s">
        <v>469</v>
      </c>
      <c r="C190" s="753"/>
      <c r="D190" s="753"/>
      <c r="E190" s="753"/>
      <c r="F190" s="767">
        <v>1320</v>
      </c>
    </row>
    <row r="191" spans="1:6" s="747" customFormat="1" ht="14.25" customHeight="1" thickBot="1">
      <c r="A191" s="759" t="s">
        <v>525</v>
      </c>
      <c r="B191" s="753" t="s">
        <v>474</v>
      </c>
      <c r="C191" s="753"/>
      <c r="D191" s="753"/>
      <c r="E191" s="753"/>
      <c r="F191" s="767">
        <v>1320</v>
      </c>
    </row>
    <row r="192" spans="1:6" s="747" customFormat="1" ht="14.25" customHeight="1" thickBot="1">
      <c r="A192" s="759" t="s">
        <v>525</v>
      </c>
      <c r="B192" s="753" t="s">
        <v>478</v>
      </c>
      <c r="C192" s="753"/>
      <c r="D192" s="753"/>
      <c r="E192" s="753"/>
      <c r="F192" s="767">
        <v>1100</v>
      </c>
    </row>
    <row r="193" spans="1:6" s="747" customFormat="1" ht="14.25" customHeight="1" thickBot="1">
      <c r="A193" s="759" t="s">
        <v>525</v>
      </c>
      <c r="B193" s="753" t="s">
        <v>482</v>
      </c>
      <c r="C193" s="753"/>
      <c r="D193" s="753"/>
      <c r="E193" s="753"/>
      <c r="F193" s="767">
        <v>1100</v>
      </c>
    </row>
    <row r="194" spans="1:6" s="747" customFormat="1" ht="14.25" customHeight="1" thickBot="1">
      <c r="A194" s="759" t="s">
        <v>525</v>
      </c>
      <c r="B194" s="753" t="s">
        <v>486</v>
      </c>
      <c r="C194" s="753"/>
      <c r="D194" s="753"/>
      <c r="E194" s="753"/>
      <c r="F194" s="767">
        <v>1080</v>
      </c>
    </row>
    <row r="195" spans="1:6" s="747" customFormat="1" ht="14.25" customHeight="1" thickBot="1">
      <c r="A195" s="759" t="s">
        <v>525</v>
      </c>
      <c r="B195" s="753" t="s">
        <v>490</v>
      </c>
      <c r="C195" s="753"/>
      <c r="D195" s="753"/>
      <c r="E195" s="753"/>
      <c r="F195" s="767">
        <v>1270</v>
      </c>
    </row>
    <row r="196" spans="1:6" s="747" customFormat="1" ht="14.25" customHeight="1" thickBot="1">
      <c r="A196" s="759" t="s">
        <v>525</v>
      </c>
      <c r="B196" s="753" t="s">
        <v>494</v>
      </c>
      <c r="C196" s="753"/>
      <c r="D196" s="753"/>
      <c r="E196" s="753"/>
      <c r="F196" s="767">
        <v>1150</v>
      </c>
    </row>
    <row r="197" spans="1:6" s="747" customFormat="1" ht="14.25" customHeight="1" thickBot="1">
      <c r="A197" s="759" t="s">
        <v>525</v>
      </c>
      <c r="B197" s="753" t="s">
        <v>498</v>
      </c>
      <c r="C197" s="753"/>
      <c r="D197" s="753"/>
      <c r="E197" s="753"/>
      <c r="F197" s="767">
        <v>1330</v>
      </c>
    </row>
    <row r="198" spans="1:6" s="747" customFormat="1" ht="14.25" customHeight="1" thickBot="1">
      <c r="A198" s="759" t="s">
        <v>525</v>
      </c>
      <c r="B198" s="753" t="s">
        <v>501</v>
      </c>
      <c r="C198" s="753"/>
      <c r="D198" s="753"/>
      <c r="E198" s="753"/>
      <c r="F198" s="767">
        <v>1170</v>
      </c>
    </row>
    <row r="199" spans="1:6" s="747" customFormat="1" ht="14.25" customHeight="1" thickBot="1">
      <c r="A199" s="759" t="s">
        <v>525</v>
      </c>
      <c r="B199" s="753" t="s">
        <v>504</v>
      </c>
      <c r="C199" s="753"/>
      <c r="D199" s="753"/>
      <c r="E199" s="753"/>
      <c r="F199" s="767">
        <v>1120</v>
      </c>
    </row>
    <row r="200" spans="1:6" s="747" customFormat="1" ht="14.25" customHeight="1" thickBot="1">
      <c r="A200" s="759" t="s">
        <v>525</v>
      </c>
      <c r="B200" s="753" t="s">
        <v>507</v>
      </c>
      <c r="C200" s="753"/>
      <c r="D200" s="753"/>
      <c r="E200" s="753"/>
      <c r="F200" s="767">
        <v>1120</v>
      </c>
    </row>
    <row r="201" spans="1:6" s="747" customFormat="1" ht="14.25" customHeight="1" thickBot="1">
      <c r="A201" s="759" t="s">
        <v>525</v>
      </c>
      <c r="B201" s="753" t="s">
        <v>510</v>
      </c>
      <c r="C201" s="753"/>
      <c r="D201" s="753"/>
      <c r="E201" s="753"/>
      <c r="F201" s="767">
        <v>1540</v>
      </c>
    </row>
    <row r="202" spans="1:6" s="747" customFormat="1" ht="14.25" customHeight="1" thickBot="1">
      <c r="A202" s="759" t="s">
        <v>525</v>
      </c>
      <c r="B202" s="753" t="s">
        <v>513</v>
      </c>
      <c r="C202" s="753"/>
      <c r="D202" s="753"/>
      <c r="E202" s="753"/>
      <c r="F202" s="767">
        <v>1310</v>
      </c>
    </row>
    <row r="203" spans="1:6" s="747" customFormat="1" ht="14.25" customHeight="1" thickBot="1">
      <c r="A203" s="759" t="s">
        <v>525</v>
      </c>
      <c r="B203" s="753" t="s">
        <v>516</v>
      </c>
      <c r="C203" s="753"/>
      <c r="D203" s="753"/>
      <c r="E203" s="753"/>
      <c r="F203" s="767">
        <v>1310</v>
      </c>
    </row>
    <row r="204" spans="1:6" s="747" customFormat="1" ht="14.25" customHeight="1" thickBot="1">
      <c r="A204" s="759" t="s">
        <v>525</v>
      </c>
      <c r="B204" s="753" t="s">
        <v>518</v>
      </c>
      <c r="C204" s="753"/>
      <c r="D204" s="753"/>
      <c r="E204" s="753"/>
      <c r="F204" s="767">
        <v>1080</v>
      </c>
    </row>
    <row r="205" spans="1:6" s="747" customFormat="1" ht="14.25" customHeight="1" thickBot="1">
      <c r="A205" s="759" t="s">
        <v>525</v>
      </c>
      <c r="B205" s="753" t="s">
        <v>521</v>
      </c>
      <c r="C205" s="753"/>
      <c r="D205" s="753"/>
      <c r="E205" s="753"/>
      <c r="F205" s="767">
        <v>1080</v>
      </c>
    </row>
    <row r="206" spans="1:6" s="747" customFormat="1" ht="14.25" customHeight="1" thickBot="1">
      <c r="A206" s="759" t="s">
        <v>527</v>
      </c>
      <c r="B206" s="760" t="s">
        <v>528</v>
      </c>
      <c r="C206" s="760">
        <v>5450</v>
      </c>
      <c r="D206" s="760">
        <v>5430</v>
      </c>
      <c r="E206" s="760">
        <v>5700</v>
      </c>
      <c r="F206" s="761">
        <v>1020</v>
      </c>
    </row>
    <row r="207" spans="1:6" s="747" customFormat="1" ht="14.25" customHeight="1" thickBot="1">
      <c r="A207" s="759" t="s">
        <v>527</v>
      </c>
      <c r="B207" s="753" t="s">
        <v>193</v>
      </c>
      <c r="C207" s="753">
        <v>5860</v>
      </c>
      <c r="D207" s="753">
        <v>5820</v>
      </c>
      <c r="E207" s="753">
        <v>6050</v>
      </c>
      <c r="F207" s="767">
        <v>1080</v>
      </c>
    </row>
    <row r="208" spans="1:6" s="747" customFormat="1" ht="14.25" customHeight="1" thickBot="1">
      <c r="A208" s="759" t="s">
        <v>527</v>
      </c>
      <c r="B208" s="753" t="s">
        <v>206</v>
      </c>
      <c r="C208" s="753">
        <v>4630</v>
      </c>
      <c r="D208" s="753">
        <v>4600</v>
      </c>
      <c r="E208" s="753">
        <v>4840</v>
      </c>
      <c r="F208" s="767">
        <v>900</v>
      </c>
    </row>
    <row r="209" spans="1:6" s="747" customFormat="1" ht="14.25" customHeight="1" thickBot="1">
      <c r="A209" s="759" t="s">
        <v>527</v>
      </c>
      <c r="B209" s="753" t="s">
        <v>219</v>
      </c>
      <c r="C209" s="753">
        <v>5320</v>
      </c>
      <c r="D209" s="753">
        <v>5270</v>
      </c>
      <c r="E209" s="753">
        <v>5540</v>
      </c>
      <c r="F209" s="767">
        <v>980</v>
      </c>
    </row>
    <row r="210" spans="1:6" s="747" customFormat="1" ht="14.25" customHeight="1" thickBot="1">
      <c r="A210" s="759" t="s">
        <v>527</v>
      </c>
      <c r="B210" s="753" t="s">
        <v>231</v>
      </c>
      <c r="C210" s="753">
        <v>5760</v>
      </c>
      <c r="D210" s="753">
        <v>5710</v>
      </c>
      <c r="E210" s="753">
        <v>6010</v>
      </c>
      <c r="F210" s="767">
        <v>870</v>
      </c>
    </row>
    <row r="211" spans="1:6" s="747" customFormat="1" ht="14.25" customHeight="1" thickBot="1">
      <c r="A211" s="759" t="s">
        <v>527</v>
      </c>
      <c r="B211" s="753" t="s">
        <v>242</v>
      </c>
      <c r="C211" s="753">
        <v>4160</v>
      </c>
      <c r="D211" s="753">
        <v>4100</v>
      </c>
      <c r="E211" s="753">
        <v>4270</v>
      </c>
      <c r="F211" s="767">
        <v>790</v>
      </c>
    </row>
    <row r="212" spans="1:6" s="747" customFormat="1" ht="14.25" customHeight="1" thickBot="1">
      <c r="A212" s="759" t="s">
        <v>527</v>
      </c>
      <c r="B212" s="753" t="s">
        <v>253</v>
      </c>
      <c r="C212" s="753">
        <v>4880</v>
      </c>
      <c r="D212" s="753">
        <v>4850</v>
      </c>
      <c r="E212" s="753">
        <v>5110</v>
      </c>
      <c r="F212" s="767">
        <v>940</v>
      </c>
    </row>
    <row r="213" spans="1:6" s="747" customFormat="1" ht="14.25" customHeight="1" thickBot="1">
      <c r="A213" s="759" t="s">
        <v>527</v>
      </c>
      <c r="B213" s="753" t="s">
        <v>264</v>
      </c>
      <c r="C213" s="753">
        <v>4640</v>
      </c>
      <c r="D213" s="753">
        <v>4590</v>
      </c>
      <c r="E213" s="753">
        <v>4700</v>
      </c>
      <c r="F213" s="767">
        <v>1030</v>
      </c>
    </row>
    <row r="214" spans="1:6" s="747" customFormat="1" ht="14.25" customHeight="1" thickBot="1">
      <c r="A214" s="759" t="s">
        <v>527</v>
      </c>
      <c r="B214" s="753" t="s">
        <v>276</v>
      </c>
      <c r="C214" s="753">
        <v>4540</v>
      </c>
      <c r="D214" s="753">
        <v>4490</v>
      </c>
      <c r="E214" s="753">
        <v>4610</v>
      </c>
      <c r="F214" s="771"/>
    </row>
    <row r="215" spans="1:6" s="747" customFormat="1" ht="14.25" customHeight="1" thickBot="1">
      <c r="A215" s="759" t="s">
        <v>527</v>
      </c>
      <c r="B215" s="753" t="s">
        <v>286</v>
      </c>
      <c r="C215" s="753">
        <v>5280</v>
      </c>
      <c r="D215" s="753">
        <v>5250</v>
      </c>
      <c r="E215" s="753">
        <v>5520</v>
      </c>
      <c r="F215" s="767">
        <v>1000</v>
      </c>
    </row>
    <row r="216" spans="1:6" s="747" customFormat="1" ht="14.25" customHeight="1" thickBot="1">
      <c r="A216" s="759" t="s">
        <v>527</v>
      </c>
      <c r="B216" s="753" t="s">
        <v>296</v>
      </c>
      <c r="C216" s="753">
        <v>5100</v>
      </c>
      <c r="D216" s="753">
        <v>5050</v>
      </c>
      <c r="E216" s="753">
        <v>5300</v>
      </c>
      <c r="F216" s="767">
        <v>950</v>
      </c>
    </row>
    <row r="217" spans="1:6" s="747" customFormat="1" ht="14.25" customHeight="1" thickBot="1">
      <c r="A217" s="759" t="s">
        <v>527</v>
      </c>
      <c r="B217" s="753" t="s">
        <v>306</v>
      </c>
      <c r="C217" s="753">
        <v>5370</v>
      </c>
      <c r="D217" s="753">
        <v>5320</v>
      </c>
      <c r="E217" s="753">
        <v>5410</v>
      </c>
      <c r="F217" s="767">
        <v>950</v>
      </c>
    </row>
    <row r="218" spans="1:6" s="747" customFormat="1" ht="14.25" customHeight="1" thickBot="1">
      <c r="A218" s="759" t="s">
        <v>527</v>
      </c>
      <c r="B218" s="753" t="s">
        <v>316</v>
      </c>
      <c r="C218" s="753">
        <v>5540</v>
      </c>
      <c r="D218" s="753">
        <v>5480</v>
      </c>
      <c r="E218" s="753">
        <v>5740</v>
      </c>
      <c r="F218" s="767">
        <v>1020</v>
      </c>
    </row>
    <row r="219" spans="1:6" s="747" customFormat="1" ht="14.25" customHeight="1" thickBot="1">
      <c r="A219" s="759" t="s">
        <v>527</v>
      </c>
      <c r="B219" s="753" t="s">
        <v>327</v>
      </c>
      <c r="C219" s="753">
        <v>5140</v>
      </c>
      <c r="D219" s="753">
        <v>5100</v>
      </c>
      <c r="E219" s="753">
        <v>5350</v>
      </c>
      <c r="F219" s="767">
        <v>1120</v>
      </c>
    </row>
    <row r="220" spans="1:6" s="747" customFormat="1" ht="14.25" customHeight="1" thickBot="1">
      <c r="A220" s="759" t="s">
        <v>527</v>
      </c>
      <c r="B220" s="753" t="s">
        <v>338</v>
      </c>
      <c r="C220" s="753">
        <v>5040</v>
      </c>
      <c r="D220" s="753">
        <v>5000</v>
      </c>
      <c r="E220" s="753">
        <v>5240</v>
      </c>
      <c r="F220" s="767">
        <v>980</v>
      </c>
    </row>
    <row r="221" spans="1:6" s="747" customFormat="1" ht="14.25" customHeight="1" thickBot="1">
      <c r="A221" s="759" t="s">
        <v>527</v>
      </c>
      <c r="B221" s="753" t="s">
        <v>348</v>
      </c>
      <c r="C221" s="772"/>
      <c r="D221" s="772"/>
      <c r="E221" s="772"/>
      <c r="F221" s="767">
        <v>1070</v>
      </c>
    </row>
    <row r="222" spans="1:6" s="747" customFormat="1" ht="14.25" customHeight="1" thickBot="1">
      <c r="A222" s="759" t="s">
        <v>527</v>
      </c>
      <c r="B222" s="753" t="s">
        <v>358</v>
      </c>
      <c r="C222" s="772"/>
      <c r="D222" s="772"/>
      <c r="E222" s="772"/>
      <c r="F222" s="767">
        <v>870</v>
      </c>
    </row>
    <row r="223" spans="1:6" s="747" customFormat="1" ht="14.25" customHeight="1" thickBot="1">
      <c r="A223" s="759" t="s">
        <v>527</v>
      </c>
      <c r="B223" s="753" t="s">
        <v>368</v>
      </c>
      <c r="C223" s="772"/>
      <c r="D223" s="772"/>
      <c r="E223" s="772"/>
      <c r="F223" s="767">
        <v>940</v>
      </c>
    </row>
    <row r="224" spans="1:6" s="747" customFormat="1" ht="14.25" customHeight="1" thickBot="1">
      <c r="A224" s="759" t="s">
        <v>527</v>
      </c>
      <c r="B224" s="753" t="s">
        <v>378</v>
      </c>
      <c r="C224" s="772"/>
      <c r="D224" s="772"/>
      <c r="E224" s="772"/>
      <c r="F224" s="767">
        <v>990</v>
      </c>
    </row>
    <row r="225" spans="1:6" s="747" customFormat="1" ht="14.25" customHeight="1" thickBot="1">
      <c r="A225" s="759" t="s">
        <v>527</v>
      </c>
      <c r="B225" s="753" t="s">
        <v>387</v>
      </c>
      <c r="C225" s="753">
        <v>5730</v>
      </c>
      <c r="D225" s="753">
        <v>5680</v>
      </c>
      <c r="E225" s="753">
        <v>6020</v>
      </c>
      <c r="F225" s="767">
        <v>1000</v>
      </c>
    </row>
    <row r="226" spans="1:6" s="747" customFormat="1" ht="14.25" customHeight="1" thickBot="1">
      <c r="A226" s="759" t="s">
        <v>527</v>
      </c>
      <c r="B226" s="753" t="s">
        <v>396</v>
      </c>
      <c r="C226" s="753">
        <v>4970</v>
      </c>
      <c r="D226" s="753">
        <v>4940</v>
      </c>
      <c r="E226" s="753">
        <v>5180</v>
      </c>
      <c r="F226" s="767">
        <v>960</v>
      </c>
    </row>
    <row r="227" spans="1:6" s="747" customFormat="1" ht="14.25" customHeight="1" thickBot="1">
      <c r="A227" s="759" t="s">
        <v>527</v>
      </c>
      <c r="B227" s="753" t="s">
        <v>404</v>
      </c>
      <c r="C227" s="753">
        <v>5550</v>
      </c>
      <c r="D227" s="753">
        <v>5500</v>
      </c>
      <c r="E227" s="753">
        <v>5780</v>
      </c>
      <c r="F227" s="767">
        <v>940</v>
      </c>
    </row>
    <row r="228" spans="1:6" s="747" customFormat="1" ht="14.25" customHeight="1" thickBot="1">
      <c r="A228" s="759" t="s">
        <v>527</v>
      </c>
      <c r="B228" s="753" t="s">
        <v>411</v>
      </c>
      <c r="C228" s="753">
        <v>5460</v>
      </c>
      <c r="D228" s="753">
        <v>5420</v>
      </c>
      <c r="E228" s="753">
        <v>5690</v>
      </c>
      <c r="F228" s="767">
        <v>910</v>
      </c>
    </row>
    <row r="229" spans="1:6" s="747" customFormat="1" ht="14.25" customHeight="1" thickBot="1">
      <c r="A229" s="759" t="s">
        <v>527</v>
      </c>
      <c r="B229" s="753" t="s">
        <v>418</v>
      </c>
      <c r="C229" s="753">
        <v>5310</v>
      </c>
      <c r="D229" s="753">
        <v>5270</v>
      </c>
      <c r="E229" s="753">
        <v>5510</v>
      </c>
      <c r="F229" s="771"/>
    </row>
    <row r="230" spans="1:6" s="747" customFormat="1" ht="14.25" customHeight="1" thickBot="1">
      <c r="A230" s="759" t="s">
        <v>527</v>
      </c>
      <c r="B230" s="753" t="s">
        <v>425</v>
      </c>
      <c r="C230" s="753">
        <v>4540</v>
      </c>
      <c r="D230" s="753">
        <v>4500</v>
      </c>
      <c r="E230" s="753">
        <v>4730</v>
      </c>
      <c r="F230" s="771"/>
    </row>
    <row r="231" spans="1:6" s="747" customFormat="1" ht="14.25" customHeight="1" thickBot="1">
      <c r="A231" s="759" t="s">
        <v>527</v>
      </c>
      <c r="B231" s="753" t="s">
        <v>432</v>
      </c>
      <c r="C231" s="753">
        <v>4480</v>
      </c>
      <c r="D231" s="753">
        <v>4410</v>
      </c>
      <c r="E231" s="753">
        <v>4640</v>
      </c>
      <c r="F231" s="771"/>
    </row>
    <row r="232" spans="1:6" s="747" customFormat="1" ht="14.25" customHeight="1" thickBot="1">
      <c r="A232" s="759" t="s">
        <v>527</v>
      </c>
      <c r="B232" s="753" t="s">
        <v>439</v>
      </c>
      <c r="C232" s="753">
        <v>5670</v>
      </c>
      <c r="D232" s="753">
        <v>5600</v>
      </c>
      <c r="E232" s="753">
        <v>5890</v>
      </c>
      <c r="F232" s="767">
        <v>1150</v>
      </c>
    </row>
    <row r="233" spans="1:6" s="747" customFormat="1" ht="14.25" customHeight="1" thickBot="1">
      <c r="A233" s="759" t="s">
        <v>527</v>
      </c>
      <c r="B233" s="753" t="s">
        <v>446</v>
      </c>
      <c r="C233" s="753">
        <v>4590</v>
      </c>
      <c r="D233" s="753">
        <v>4500</v>
      </c>
      <c r="E233" s="753">
        <v>4600</v>
      </c>
      <c r="F233" s="771"/>
    </row>
    <row r="234" spans="1:6" s="747" customFormat="1" ht="14.25" customHeight="1" thickBot="1">
      <c r="A234" s="759" t="s">
        <v>527</v>
      </c>
      <c r="B234" s="753" t="s">
        <v>840</v>
      </c>
      <c r="C234" s="753">
        <v>3990</v>
      </c>
      <c r="D234" s="753">
        <v>3950</v>
      </c>
      <c r="E234" s="753">
        <v>4180</v>
      </c>
      <c r="F234" s="771"/>
    </row>
    <row r="235" spans="1:6" s="747" customFormat="1" ht="14.25" customHeight="1" thickBot="1">
      <c r="A235" s="759" t="s">
        <v>527</v>
      </c>
      <c r="B235" s="753" t="s">
        <v>455</v>
      </c>
      <c r="C235" s="753">
        <v>5590</v>
      </c>
      <c r="D235" s="753">
        <v>5540</v>
      </c>
      <c r="E235" s="753">
        <v>5810</v>
      </c>
      <c r="F235" s="767">
        <v>970</v>
      </c>
    </row>
    <row r="236" spans="1:6" s="747" customFormat="1" ht="14.25" customHeight="1" thickBot="1">
      <c r="A236" s="759" t="s">
        <v>527</v>
      </c>
      <c r="B236" s="753" t="s">
        <v>460</v>
      </c>
      <c r="C236" s="753"/>
      <c r="D236" s="753"/>
      <c r="E236" s="753"/>
      <c r="F236" s="767">
        <v>1020</v>
      </c>
    </row>
    <row r="237" spans="1:6" s="747" customFormat="1" ht="14.25" customHeight="1" thickBot="1">
      <c r="A237" s="759" t="s">
        <v>527</v>
      </c>
      <c r="B237" s="753" t="s">
        <v>465</v>
      </c>
      <c r="C237" s="753"/>
      <c r="D237" s="753"/>
      <c r="E237" s="753"/>
      <c r="F237" s="767">
        <v>960</v>
      </c>
    </row>
    <row r="238" spans="1:6" s="747" customFormat="1" ht="14.25" customHeight="1" thickBot="1">
      <c r="A238" s="759" t="s">
        <v>527</v>
      </c>
      <c r="B238" s="753" t="s">
        <v>470</v>
      </c>
      <c r="C238" s="753"/>
      <c r="D238" s="753"/>
      <c r="E238" s="753"/>
      <c r="F238" s="767">
        <v>960</v>
      </c>
    </row>
    <row r="239" spans="1:6" s="747" customFormat="1" ht="14.25" customHeight="1" thickBot="1">
      <c r="A239" s="759" t="s">
        <v>527</v>
      </c>
      <c r="B239" s="753" t="s">
        <v>475</v>
      </c>
      <c r="C239" s="753"/>
      <c r="D239" s="753"/>
      <c r="E239" s="753"/>
      <c r="F239" s="767">
        <v>960</v>
      </c>
    </row>
    <row r="240" spans="1:6" s="747" customFormat="1" ht="14.25" customHeight="1" thickBot="1">
      <c r="A240" s="759" t="s">
        <v>527</v>
      </c>
      <c r="B240" s="753" t="s">
        <v>479</v>
      </c>
      <c r="C240" s="753"/>
      <c r="D240" s="753"/>
      <c r="E240" s="753"/>
      <c r="F240" s="767">
        <v>990</v>
      </c>
    </row>
    <row r="241" spans="1:6" s="747" customFormat="1" ht="14.25" customHeight="1" thickBot="1">
      <c r="A241" s="759" t="s">
        <v>527</v>
      </c>
      <c r="B241" s="753" t="s">
        <v>483</v>
      </c>
      <c r="C241" s="753"/>
      <c r="D241" s="753"/>
      <c r="E241" s="753"/>
      <c r="F241" s="767">
        <v>1000</v>
      </c>
    </row>
    <row r="242" spans="1:6" s="747" customFormat="1" ht="14.25" customHeight="1" thickBot="1">
      <c r="A242" s="759" t="s">
        <v>527</v>
      </c>
      <c r="B242" s="753" t="s">
        <v>487</v>
      </c>
      <c r="C242" s="753"/>
      <c r="D242" s="753"/>
      <c r="E242" s="753"/>
      <c r="F242" s="767">
        <v>980</v>
      </c>
    </row>
    <row r="243" spans="1:6" s="747" customFormat="1" ht="14.25" customHeight="1" thickBot="1">
      <c r="A243" s="759" t="s">
        <v>527</v>
      </c>
      <c r="B243" s="753" t="s">
        <v>491</v>
      </c>
      <c r="C243" s="753"/>
      <c r="D243" s="753"/>
      <c r="E243" s="753"/>
      <c r="F243" s="767">
        <v>970</v>
      </c>
    </row>
    <row r="244" spans="1:6" s="747" customFormat="1" ht="14.25" customHeight="1" thickBot="1">
      <c r="A244" s="759" t="s">
        <v>527</v>
      </c>
      <c r="B244" s="765" t="s">
        <v>495</v>
      </c>
      <c r="C244" s="765"/>
      <c r="D244" s="765"/>
      <c r="E244" s="765"/>
      <c r="F244" s="770">
        <v>970</v>
      </c>
    </row>
    <row r="245" spans="1:6" s="747" customFormat="1" ht="14.25" customHeight="1" thickBot="1">
      <c r="A245" s="759" t="s">
        <v>529</v>
      </c>
      <c r="B245" s="760" t="s">
        <v>530</v>
      </c>
      <c r="C245" s="760">
        <v>4050</v>
      </c>
      <c r="D245" s="760">
        <v>4020</v>
      </c>
      <c r="E245" s="760">
        <v>4160</v>
      </c>
      <c r="F245" s="761">
        <v>840</v>
      </c>
    </row>
    <row r="246" spans="1:6" s="747" customFormat="1" ht="14.25" customHeight="1" thickBot="1">
      <c r="A246" s="759" t="s">
        <v>529</v>
      </c>
      <c r="B246" s="753" t="s">
        <v>194</v>
      </c>
      <c r="C246" s="753">
        <v>4010</v>
      </c>
      <c r="D246" s="753">
        <v>3960</v>
      </c>
      <c r="E246" s="753">
        <v>4130</v>
      </c>
      <c r="F246" s="767">
        <v>840</v>
      </c>
    </row>
    <row r="247" spans="1:6" s="747" customFormat="1" ht="14.25" customHeight="1" thickBot="1">
      <c r="A247" s="759" t="s">
        <v>529</v>
      </c>
      <c r="B247" s="753" t="s">
        <v>531</v>
      </c>
      <c r="C247" s="753">
        <v>3170</v>
      </c>
      <c r="D247" s="753">
        <v>3140</v>
      </c>
      <c r="E247" s="753">
        <v>3270</v>
      </c>
      <c r="F247" s="767">
        <v>640</v>
      </c>
    </row>
    <row r="248" spans="1:6" s="747" customFormat="1" ht="14.25" customHeight="1" thickBot="1">
      <c r="A248" s="759" t="s">
        <v>529</v>
      </c>
      <c r="B248" s="753" t="s">
        <v>532</v>
      </c>
      <c r="C248" s="753">
        <v>3140</v>
      </c>
      <c r="D248" s="753">
        <v>3120</v>
      </c>
      <c r="E248" s="753">
        <v>3240</v>
      </c>
      <c r="F248" s="767">
        <v>620</v>
      </c>
    </row>
    <row r="249" spans="1:6" s="747" customFormat="1" ht="14.25" customHeight="1" thickBot="1">
      <c r="A249" s="759" t="s">
        <v>529</v>
      </c>
      <c r="B249" s="753" t="s">
        <v>232</v>
      </c>
      <c r="C249" s="753">
        <v>3200</v>
      </c>
      <c r="D249" s="753">
        <v>3100</v>
      </c>
      <c r="E249" s="753">
        <v>3230</v>
      </c>
      <c r="F249" s="767">
        <v>750</v>
      </c>
    </row>
    <row r="250" spans="1:6" s="747" customFormat="1" ht="14.25" customHeight="1" thickBot="1">
      <c r="A250" s="759" t="s">
        <v>529</v>
      </c>
      <c r="B250" s="753" t="s">
        <v>243</v>
      </c>
      <c r="C250" s="753">
        <v>4060</v>
      </c>
      <c r="D250" s="753">
        <v>4000</v>
      </c>
      <c r="E250" s="753">
        <v>4140</v>
      </c>
      <c r="F250" s="767">
        <v>790</v>
      </c>
    </row>
    <row r="251" spans="1:6" s="747" customFormat="1" ht="14.25" customHeight="1" thickBot="1">
      <c r="A251" s="759" t="s">
        <v>529</v>
      </c>
      <c r="B251" s="753" t="s">
        <v>254</v>
      </c>
      <c r="C251" s="753">
        <v>3990</v>
      </c>
      <c r="D251" s="753">
        <v>3970</v>
      </c>
      <c r="E251" s="753">
        <v>4110</v>
      </c>
      <c r="F251" s="767">
        <v>730</v>
      </c>
    </row>
    <row r="252" spans="1:6" s="747" customFormat="1" ht="14.25" customHeight="1" thickBot="1">
      <c r="A252" s="759" t="s">
        <v>529</v>
      </c>
      <c r="B252" s="753" t="s">
        <v>265</v>
      </c>
      <c r="C252" s="753">
        <v>3560</v>
      </c>
      <c r="D252" s="753">
        <v>3530</v>
      </c>
      <c r="E252" s="753">
        <v>3650</v>
      </c>
      <c r="F252" s="767">
        <v>750</v>
      </c>
    </row>
    <row r="253" spans="1:6" s="747" customFormat="1" ht="14.25" customHeight="1" thickBot="1">
      <c r="A253" s="759" t="s">
        <v>529</v>
      </c>
      <c r="B253" s="753" t="s">
        <v>277</v>
      </c>
      <c r="C253" s="753">
        <v>3780</v>
      </c>
      <c r="D253" s="753">
        <v>3750</v>
      </c>
      <c r="E253" s="753">
        <v>3870</v>
      </c>
      <c r="F253" s="767">
        <v>770</v>
      </c>
    </row>
    <row r="254" spans="1:6" s="747" customFormat="1" ht="14.25" customHeight="1" thickBot="1">
      <c r="A254" s="759" t="s">
        <v>529</v>
      </c>
      <c r="B254" s="753" t="s">
        <v>287</v>
      </c>
      <c r="C254" s="772"/>
      <c r="D254" s="772"/>
      <c r="E254" s="772"/>
      <c r="F254" s="767">
        <v>740</v>
      </c>
    </row>
    <row r="255" spans="1:6" s="747" customFormat="1" ht="14.25" customHeight="1" thickBot="1">
      <c r="A255" s="759" t="s">
        <v>529</v>
      </c>
      <c r="B255" s="753" t="s">
        <v>297</v>
      </c>
      <c r="C255" s="772"/>
      <c r="D255" s="772"/>
      <c r="E255" s="772"/>
      <c r="F255" s="767">
        <v>760</v>
      </c>
    </row>
    <row r="256" spans="1:6" s="747" customFormat="1" ht="14.25" customHeight="1" thickBot="1">
      <c r="A256" s="759" t="s">
        <v>529</v>
      </c>
      <c r="B256" s="753" t="s">
        <v>307</v>
      </c>
      <c r="C256" s="753">
        <v>3760</v>
      </c>
      <c r="D256" s="753">
        <v>3730</v>
      </c>
      <c r="E256" s="753">
        <v>3870</v>
      </c>
      <c r="F256" s="767">
        <v>830</v>
      </c>
    </row>
    <row r="257" spans="1:6" s="747" customFormat="1" ht="14.25" customHeight="1" thickBot="1">
      <c r="A257" s="759" t="s">
        <v>529</v>
      </c>
      <c r="B257" s="753" t="s">
        <v>317</v>
      </c>
      <c r="C257" s="753">
        <v>3570</v>
      </c>
      <c r="D257" s="753">
        <v>3540</v>
      </c>
      <c r="E257" s="753">
        <v>3650</v>
      </c>
      <c r="F257" s="767">
        <v>790</v>
      </c>
    </row>
    <row r="258" spans="1:6" s="747" customFormat="1" ht="14.25" customHeight="1" thickBot="1">
      <c r="A258" s="759" t="s">
        <v>529</v>
      </c>
      <c r="B258" s="753" t="s">
        <v>328</v>
      </c>
      <c r="C258" s="753">
        <v>3410</v>
      </c>
      <c r="D258" s="753">
        <v>3380</v>
      </c>
      <c r="E258" s="753">
        <v>3500</v>
      </c>
      <c r="F258" s="767">
        <v>830</v>
      </c>
    </row>
    <row r="259" spans="1:6" s="747" customFormat="1" ht="14.25" customHeight="1" thickBot="1">
      <c r="A259" s="759" t="s">
        <v>529</v>
      </c>
      <c r="B259" s="753" t="s">
        <v>339</v>
      </c>
      <c r="C259" s="753">
        <v>3870</v>
      </c>
      <c r="D259" s="753">
        <v>3840</v>
      </c>
      <c r="E259" s="753">
        <v>3970</v>
      </c>
      <c r="F259" s="767">
        <v>830</v>
      </c>
    </row>
    <row r="260" spans="1:6" s="747" customFormat="1" ht="14.25" customHeight="1" thickBot="1">
      <c r="A260" s="759" t="s">
        <v>529</v>
      </c>
      <c r="B260" s="753" t="s">
        <v>349</v>
      </c>
      <c r="C260" s="753">
        <v>3700</v>
      </c>
      <c r="D260" s="753">
        <v>3660</v>
      </c>
      <c r="E260" s="753">
        <v>3810</v>
      </c>
      <c r="F260" s="767">
        <v>790</v>
      </c>
    </row>
    <row r="261" spans="1:6" s="747" customFormat="1" ht="14.25" customHeight="1" thickBot="1">
      <c r="A261" s="759" t="s">
        <v>529</v>
      </c>
      <c r="B261" s="753" t="s">
        <v>359</v>
      </c>
      <c r="C261" s="753">
        <v>3470</v>
      </c>
      <c r="D261" s="753">
        <v>3430</v>
      </c>
      <c r="E261" s="753">
        <v>3640</v>
      </c>
      <c r="F261" s="767">
        <v>760</v>
      </c>
    </row>
    <row r="262" spans="1:6" s="747" customFormat="1" ht="14.25" customHeight="1" thickBot="1">
      <c r="A262" s="759" t="s">
        <v>529</v>
      </c>
      <c r="B262" s="753" t="s">
        <v>369</v>
      </c>
      <c r="C262" s="753">
        <v>3510</v>
      </c>
      <c r="D262" s="753">
        <v>3470</v>
      </c>
      <c r="E262" s="753">
        <v>3680</v>
      </c>
      <c r="F262" s="771"/>
    </row>
    <row r="263" spans="1:6" s="747" customFormat="1" ht="14.25" customHeight="1" thickBot="1">
      <c r="A263" s="759" t="s">
        <v>529</v>
      </c>
      <c r="B263" s="753" t="s">
        <v>379</v>
      </c>
      <c r="C263" s="753">
        <v>3960</v>
      </c>
      <c r="D263" s="753">
        <v>3930</v>
      </c>
      <c r="E263" s="753">
        <v>4070</v>
      </c>
      <c r="F263" s="767">
        <v>830</v>
      </c>
    </row>
    <row r="264" spans="1:6" s="747" customFormat="1" ht="14.25" customHeight="1" thickBot="1">
      <c r="A264" s="759" t="s">
        <v>529</v>
      </c>
      <c r="B264" s="753" t="s">
        <v>388</v>
      </c>
      <c r="C264" s="753">
        <v>4010</v>
      </c>
      <c r="D264" s="753">
        <v>3980</v>
      </c>
      <c r="E264" s="753">
        <v>4150</v>
      </c>
      <c r="F264" s="767">
        <v>760</v>
      </c>
    </row>
    <row r="265" spans="1:6" s="747" customFormat="1" ht="14.25" customHeight="1" thickBot="1">
      <c r="A265" s="759" t="s">
        <v>529</v>
      </c>
      <c r="B265" s="753" t="s">
        <v>397</v>
      </c>
      <c r="C265" s="753">
        <v>3910</v>
      </c>
      <c r="D265" s="753">
        <v>3890</v>
      </c>
      <c r="E265" s="753">
        <v>4040</v>
      </c>
      <c r="F265" s="767">
        <v>780</v>
      </c>
    </row>
    <row r="266" spans="1:6" s="747" customFormat="1" ht="14.25" customHeight="1" thickBot="1">
      <c r="A266" s="759" t="s">
        <v>529</v>
      </c>
      <c r="B266" s="753" t="s">
        <v>405</v>
      </c>
      <c r="C266" s="753">
        <v>3930</v>
      </c>
      <c r="D266" s="753">
        <v>3900</v>
      </c>
      <c r="E266" s="753">
        <v>4080</v>
      </c>
      <c r="F266" s="767">
        <v>770</v>
      </c>
    </row>
    <row r="267" spans="1:6" s="747" customFormat="1" ht="14.25" customHeight="1" thickBot="1">
      <c r="A267" s="759" t="s">
        <v>529</v>
      </c>
      <c r="B267" s="753" t="s">
        <v>412</v>
      </c>
      <c r="C267" s="753">
        <v>3800</v>
      </c>
      <c r="D267" s="753">
        <v>3780</v>
      </c>
      <c r="E267" s="753">
        <v>3930</v>
      </c>
      <c r="F267" s="771"/>
    </row>
    <row r="268" spans="1:6" s="747" customFormat="1" ht="14.25" customHeight="1" thickBot="1">
      <c r="A268" s="759" t="s">
        <v>529</v>
      </c>
      <c r="B268" s="753" t="s">
        <v>419</v>
      </c>
      <c r="C268" s="753">
        <v>3460</v>
      </c>
      <c r="D268" s="753">
        <v>3430</v>
      </c>
      <c r="E268" s="753">
        <v>3560</v>
      </c>
      <c r="F268" s="767">
        <v>840</v>
      </c>
    </row>
    <row r="269" spans="1:6" s="747" customFormat="1" ht="14.25" customHeight="1" thickBot="1">
      <c r="A269" s="759" t="s">
        <v>529</v>
      </c>
      <c r="B269" s="753" t="s">
        <v>426</v>
      </c>
      <c r="C269" s="753">
        <v>3210</v>
      </c>
      <c r="D269" s="753">
        <v>3190</v>
      </c>
      <c r="E269" s="753">
        <v>3310</v>
      </c>
      <c r="F269" s="767">
        <v>730</v>
      </c>
    </row>
    <row r="270" spans="1:6" s="747" customFormat="1" ht="14.25" customHeight="1" thickBot="1">
      <c r="A270" s="759" t="s">
        <v>529</v>
      </c>
      <c r="B270" s="753" t="s">
        <v>433</v>
      </c>
      <c r="C270" s="753">
        <v>3240</v>
      </c>
      <c r="D270" s="753">
        <v>3210</v>
      </c>
      <c r="E270" s="753">
        <v>3390</v>
      </c>
      <c r="F270" s="767">
        <v>820</v>
      </c>
    </row>
    <row r="271" spans="1:6" s="747" customFormat="1" ht="14.25" customHeight="1" thickBot="1">
      <c r="A271" s="759" t="s">
        <v>529</v>
      </c>
      <c r="B271" s="753" t="s">
        <v>440</v>
      </c>
      <c r="C271" s="753">
        <v>3300</v>
      </c>
      <c r="D271" s="753">
        <v>3270</v>
      </c>
      <c r="E271" s="753">
        <v>3380</v>
      </c>
      <c r="F271" s="767">
        <v>750</v>
      </c>
    </row>
    <row r="272" spans="1:6" s="747" customFormat="1" ht="14.25" customHeight="1" thickBot="1">
      <c r="A272" s="759" t="s">
        <v>529</v>
      </c>
      <c r="B272" s="753" t="s">
        <v>447</v>
      </c>
      <c r="C272" s="772"/>
      <c r="D272" s="772"/>
      <c r="E272" s="772"/>
      <c r="F272" s="767">
        <v>740</v>
      </c>
    </row>
    <row r="273" spans="1:6" s="747" customFormat="1" ht="14.25" customHeight="1" thickBot="1">
      <c r="A273" s="759" t="s">
        <v>529</v>
      </c>
      <c r="B273" s="753" t="s">
        <v>451</v>
      </c>
      <c r="C273" s="753">
        <v>3130</v>
      </c>
      <c r="D273" s="753">
        <v>3100</v>
      </c>
      <c r="E273" s="753">
        <v>3230</v>
      </c>
      <c r="F273" s="767">
        <v>700</v>
      </c>
    </row>
    <row r="274" spans="1:6" s="747" customFormat="1" ht="14.25" customHeight="1" thickBot="1">
      <c r="A274" s="759" t="s">
        <v>529</v>
      </c>
      <c r="B274" s="753" t="s">
        <v>456</v>
      </c>
      <c r="C274" s="753">
        <v>3460</v>
      </c>
      <c r="D274" s="753">
        <v>3430</v>
      </c>
      <c r="E274" s="753">
        <v>3560</v>
      </c>
      <c r="F274" s="767">
        <v>690</v>
      </c>
    </row>
    <row r="275" spans="1:6" s="747" customFormat="1" ht="14.25" customHeight="1" thickBot="1">
      <c r="A275" s="759" t="s">
        <v>529</v>
      </c>
      <c r="B275" s="753" t="s">
        <v>461</v>
      </c>
      <c r="C275" s="753">
        <v>4040</v>
      </c>
      <c r="D275" s="753">
        <v>4020</v>
      </c>
      <c r="E275" s="753">
        <v>4160</v>
      </c>
      <c r="F275" s="767">
        <v>820</v>
      </c>
    </row>
    <row r="276" spans="1:6" s="747" customFormat="1" ht="14.25" customHeight="1" thickBot="1">
      <c r="A276" s="759" t="s">
        <v>529</v>
      </c>
      <c r="B276" s="753" t="s">
        <v>466</v>
      </c>
      <c r="C276" s="753">
        <v>3270</v>
      </c>
      <c r="D276" s="753">
        <v>3240</v>
      </c>
      <c r="E276" s="753">
        <v>3350</v>
      </c>
      <c r="F276" s="767">
        <v>680</v>
      </c>
    </row>
    <row r="277" spans="1:6" s="747" customFormat="1" ht="14.25" customHeight="1" thickBot="1">
      <c r="A277" s="759" t="s">
        <v>529</v>
      </c>
      <c r="B277" s="753" t="s">
        <v>471</v>
      </c>
      <c r="C277" s="753">
        <v>2930</v>
      </c>
      <c r="D277" s="753">
        <v>2900</v>
      </c>
      <c r="E277" s="753">
        <v>3000</v>
      </c>
      <c r="F277" s="767">
        <v>640</v>
      </c>
    </row>
    <row r="278" spans="1:6" s="747" customFormat="1" ht="14.25" customHeight="1" thickBot="1">
      <c r="A278" s="759" t="s">
        <v>529</v>
      </c>
      <c r="B278" s="753" t="s">
        <v>476</v>
      </c>
      <c r="C278" s="753">
        <v>4080</v>
      </c>
      <c r="D278" s="753">
        <v>4030</v>
      </c>
      <c r="E278" s="753">
        <v>4140</v>
      </c>
      <c r="F278" s="767">
        <v>850</v>
      </c>
    </row>
    <row r="279" spans="1:6" s="747" customFormat="1" ht="14.25" customHeight="1" thickBot="1">
      <c r="A279" s="759" t="s">
        <v>529</v>
      </c>
      <c r="B279" s="753" t="s">
        <v>480</v>
      </c>
      <c r="C279" s="753"/>
      <c r="D279" s="753"/>
      <c r="E279" s="753"/>
      <c r="F279" s="767">
        <v>760</v>
      </c>
    </row>
    <row r="280" spans="1:6" s="747" customFormat="1" ht="14.25" customHeight="1" thickBot="1">
      <c r="A280" s="759" t="s">
        <v>529</v>
      </c>
      <c r="B280" s="753" t="s">
        <v>484</v>
      </c>
      <c r="C280" s="753"/>
      <c r="D280" s="753"/>
      <c r="E280" s="753"/>
      <c r="F280" s="767">
        <v>760</v>
      </c>
    </row>
    <row r="281" spans="1:6" s="747" customFormat="1" ht="14.25" customHeight="1" thickBot="1">
      <c r="A281" s="759" t="s">
        <v>529</v>
      </c>
      <c r="B281" s="753" t="s">
        <v>488</v>
      </c>
      <c r="C281" s="753"/>
      <c r="D281" s="753"/>
      <c r="E281" s="753"/>
      <c r="F281" s="767">
        <v>780</v>
      </c>
    </row>
    <row r="282" spans="1:6" s="747" customFormat="1" ht="14.25" customHeight="1" thickBot="1">
      <c r="A282" s="759" t="s">
        <v>529</v>
      </c>
      <c r="B282" s="753" t="s">
        <v>492</v>
      </c>
      <c r="C282" s="753"/>
      <c r="D282" s="753"/>
      <c r="E282" s="753"/>
      <c r="F282" s="767">
        <v>730</v>
      </c>
    </row>
    <row r="283" spans="1:6" s="747" customFormat="1" ht="14.25" customHeight="1" thickBot="1">
      <c r="A283" s="759" t="s">
        <v>529</v>
      </c>
      <c r="B283" s="753" t="s">
        <v>496</v>
      </c>
      <c r="C283" s="753"/>
      <c r="D283" s="753"/>
      <c r="E283" s="753"/>
      <c r="F283" s="767">
        <v>770</v>
      </c>
    </row>
    <row r="284" spans="1:6" s="747" customFormat="1" ht="14.25" customHeight="1" thickBot="1">
      <c r="A284" s="759" t="s">
        <v>529</v>
      </c>
      <c r="B284" s="753" t="s">
        <v>499</v>
      </c>
      <c r="C284" s="753"/>
      <c r="D284" s="753"/>
      <c r="E284" s="753"/>
      <c r="F284" s="767">
        <v>640</v>
      </c>
    </row>
    <row r="285" spans="1:6" s="747" customFormat="1" ht="14.25" customHeight="1" thickBot="1">
      <c r="A285" s="759" t="s">
        <v>529</v>
      </c>
      <c r="B285" s="753" t="s">
        <v>502</v>
      </c>
      <c r="C285" s="753"/>
      <c r="D285" s="753"/>
      <c r="E285" s="753"/>
      <c r="F285" s="767">
        <v>640</v>
      </c>
    </row>
    <row r="286" spans="1:6" s="747" customFormat="1" ht="14.25" customHeight="1" thickBot="1">
      <c r="A286" s="759" t="s">
        <v>529</v>
      </c>
      <c r="B286" s="753" t="s">
        <v>505</v>
      </c>
      <c r="C286" s="753"/>
      <c r="D286" s="753"/>
      <c r="E286" s="753"/>
      <c r="F286" s="767">
        <v>850</v>
      </c>
    </row>
    <row r="287" spans="1:6" s="747" customFormat="1" ht="14.25" customHeight="1" thickBot="1">
      <c r="A287" s="759" t="s">
        <v>529</v>
      </c>
      <c r="B287" s="753" t="s">
        <v>508</v>
      </c>
      <c r="C287" s="753"/>
      <c r="D287" s="753"/>
      <c r="E287" s="753"/>
      <c r="F287" s="767">
        <v>760</v>
      </c>
    </row>
    <row r="288" spans="1:6" s="747" customFormat="1" ht="14.25" customHeight="1" thickBot="1">
      <c r="A288" s="759" t="s">
        <v>529</v>
      </c>
      <c r="B288" s="753" t="s">
        <v>511</v>
      </c>
      <c r="C288" s="753"/>
      <c r="D288" s="753"/>
      <c r="E288" s="753"/>
      <c r="F288" s="767">
        <v>830</v>
      </c>
    </row>
    <row r="289" spans="1:6" s="747" customFormat="1" ht="14.25" customHeight="1" thickBot="1">
      <c r="A289" s="759" t="s">
        <v>529</v>
      </c>
      <c r="B289" s="765" t="s">
        <v>514</v>
      </c>
      <c r="C289" s="765"/>
      <c r="D289" s="765"/>
      <c r="E289" s="765"/>
      <c r="F289" s="770">
        <v>680</v>
      </c>
    </row>
    <row r="290" spans="1:6" s="747" customFormat="1" ht="14.25" customHeight="1" thickBot="1">
      <c r="A290" s="759" t="s">
        <v>533</v>
      </c>
      <c r="B290" s="760" t="s">
        <v>534</v>
      </c>
      <c r="C290" s="760">
        <v>2770</v>
      </c>
      <c r="D290" s="760">
        <v>2740</v>
      </c>
      <c r="E290" s="760">
        <v>2720</v>
      </c>
      <c r="F290" s="773"/>
    </row>
    <row r="291" spans="1:6" s="747" customFormat="1" ht="14.25" customHeight="1" thickBot="1">
      <c r="A291" s="759" t="s">
        <v>533</v>
      </c>
      <c r="B291" s="753" t="s">
        <v>195</v>
      </c>
      <c r="C291" s="753">
        <v>2670</v>
      </c>
      <c r="D291" s="753">
        <v>2640</v>
      </c>
      <c r="E291" s="753">
        <v>2620</v>
      </c>
      <c r="F291" s="771"/>
    </row>
    <row r="292" spans="1:6" s="747" customFormat="1" ht="14.25" customHeight="1" thickBot="1">
      <c r="A292" s="759" t="s">
        <v>533</v>
      </c>
      <c r="B292" s="753" t="s">
        <v>535</v>
      </c>
      <c r="C292" s="753">
        <v>2180</v>
      </c>
      <c r="D292" s="753">
        <v>2140</v>
      </c>
      <c r="E292" s="753">
        <v>2120</v>
      </c>
      <c r="F292" s="767">
        <v>490</v>
      </c>
    </row>
    <row r="293" spans="1:6" s="747" customFormat="1" ht="14.25" customHeight="1" thickBot="1">
      <c r="A293" s="759" t="s">
        <v>533</v>
      </c>
      <c r="B293" s="753" t="s">
        <v>536</v>
      </c>
      <c r="C293" s="753"/>
      <c r="D293" s="753"/>
      <c r="E293" s="753"/>
      <c r="F293" s="767">
        <v>470</v>
      </c>
    </row>
    <row r="294" spans="1:6" s="747" customFormat="1" ht="14.25" customHeight="1" thickBot="1">
      <c r="A294" s="759" t="s">
        <v>533</v>
      </c>
      <c r="B294" s="753" t="s">
        <v>537</v>
      </c>
      <c r="C294" s="753">
        <v>2730</v>
      </c>
      <c r="D294" s="753">
        <v>2700</v>
      </c>
      <c r="E294" s="753">
        <v>2680</v>
      </c>
      <c r="F294" s="767">
        <v>490</v>
      </c>
    </row>
    <row r="295" spans="1:6" s="747" customFormat="1" ht="14.25" customHeight="1" thickBot="1">
      <c r="A295" s="759" t="s">
        <v>533</v>
      </c>
      <c r="B295" s="753" t="s">
        <v>233</v>
      </c>
      <c r="C295" s="753">
        <v>2380</v>
      </c>
      <c r="D295" s="753">
        <v>2350</v>
      </c>
      <c r="E295" s="753">
        <v>2330</v>
      </c>
      <c r="F295" s="767">
        <v>530</v>
      </c>
    </row>
    <row r="296" spans="1:6" s="747" customFormat="1" ht="14.25" customHeight="1" thickBot="1">
      <c r="A296" s="759" t="s">
        <v>533</v>
      </c>
      <c r="B296" s="753" t="s">
        <v>244</v>
      </c>
      <c r="C296" s="753">
        <v>2650</v>
      </c>
      <c r="D296" s="753">
        <v>2620</v>
      </c>
      <c r="E296" s="753">
        <v>2590</v>
      </c>
      <c r="F296" s="767">
        <v>590</v>
      </c>
    </row>
    <row r="297" spans="1:6" s="747" customFormat="1" ht="14.25" customHeight="1" thickBot="1">
      <c r="A297" s="759" t="s">
        <v>533</v>
      </c>
      <c r="B297" s="753" t="s">
        <v>255</v>
      </c>
      <c r="C297" s="753">
        <v>2700</v>
      </c>
      <c r="D297" s="753">
        <v>2670</v>
      </c>
      <c r="E297" s="753">
        <v>2650</v>
      </c>
      <c r="F297" s="767">
        <v>630</v>
      </c>
    </row>
    <row r="298" spans="1:6" s="747" customFormat="1" ht="14.25" customHeight="1" thickBot="1">
      <c r="A298" s="759" t="s">
        <v>533</v>
      </c>
      <c r="B298" s="753" t="s">
        <v>266</v>
      </c>
      <c r="C298" s="753">
        <v>2650</v>
      </c>
      <c r="D298" s="753">
        <v>2620</v>
      </c>
      <c r="E298" s="753">
        <v>2590</v>
      </c>
      <c r="F298" s="767">
        <v>640</v>
      </c>
    </row>
    <row r="299" spans="1:6" s="747" customFormat="1" ht="14.25" customHeight="1" thickBot="1">
      <c r="A299" s="759" t="s">
        <v>533</v>
      </c>
      <c r="B299" s="753" t="s">
        <v>278</v>
      </c>
      <c r="C299" s="753">
        <v>2500</v>
      </c>
      <c r="D299" s="753">
        <v>2480</v>
      </c>
      <c r="E299" s="753">
        <v>2460</v>
      </c>
      <c r="F299" s="771"/>
    </row>
    <row r="300" spans="1:6" s="747" customFormat="1" ht="14.25" customHeight="1" thickBot="1">
      <c r="A300" s="759" t="s">
        <v>533</v>
      </c>
      <c r="B300" s="753" t="s">
        <v>288</v>
      </c>
      <c r="C300" s="753">
        <v>2760</v>
      </c>
      <c r="D300" s="753">
        <v>2730</v>
      </c>
      <c r="E300" s="753">
        <v>2700</v>
      </c>
      <c r="F300" s="767">
        <v>630</v>
      </c>
    </row>
    <row r="301" spans="1:6" s="747" customFormat="1" ht="14.25" customHeight="1" thickBot="1">
      <c r="A301" s="759" t="s">
        <v>533</v>
      </c>
      <c r="B301" s="753" t="s">
        <v>298</v>
      </c>
      <c r="C301" s="753">
        <v>2510</v>
      </c>
      <c r="D301" s="753">
        <v>2480</v>
      </c>
      <c r="E301" s="753">
        <v>2460</v>
      </c>
      <c r="F301" s="771"/>
    </row>
    <row r="302" spans="1:6" s="747" customFormat="1" ht="14.25" customHeight="1" thickBot="1">
      <c r="A302" s="759" t="s">
        <v>533</v>
      </c>
      <c r="B302" s="753" t="s">
        <v>308</v>
      </c>
      <c r="C302" s="753">
        <v>2480</v>
      </c>
      <c r="D302" s="753">
        <v>2450</v>
      </c>
      <c r="E302" s="753">
        <v>2420</v>
      </c>
      <c r="F302" s="767">
        <v>600</v>
      </c>
    </row>
    <row r="303" spans="1:6" s="747" customFormat="1" ht="14.25" customHeight="1" thickBot="1">
      <c r="A303" s="759" t="s">
        <v>533</v>
      </c>
      <c r="B303" s="753" t="s">
        <v>318</v>
      </c>
      <c r="C303" s="753">
        <v>2270</v>
      </c>
      <c r="D303" s="753">
        <v>2240</v>
      </c>
      <c r="E303" s="753">
        <v>2210</v>
      </c>
      <c r="F303" s="767">
        <v>540</v>
      </c>
    </row>
    <row r="304" spans="1:6" s="747" customFormat="1" ht="14.25" customHeight="1" thickBot="1">
      <c r="A304" s="759" t="s">
        <v>533</v>
      </c>
      <c r="B304" s="753" t="s">
        <v>329</v>
      </c>
      <c r="C304" s="753">
        <v>2310</v>
      </c>
      <c r="D304" s="753">
        <v>2290</v>
      </c>
      <c r="E304" s="753">
        <v>2270</v>
      </c>
      <c r="F304" s="771"/>
    </row>
    <row r="305" spans="1:6" s="747" customFormat="1" ht="14.25" customHeight="1" thickBot="1">
      <c r="A305" s="759" t="s">
        <v>533</v>
      </c>
      <c r="B305" s="753" t="s">
        <v>340</v>
      </c>
      <c r="C305" s="753">
        <v>2490</v>
      </c>
      <c r="D305" s="753">
        <v>2470</v>
      </c>
      <c r="E305" s="753">
        <v>2440</v>
      </c>
      <c r="F305" s="767">
        <v>560</v>
      </c>
    </row>
    <row r="306" spans="1:6" s="747" customFormat="1" ht="14.25" customHeight="1" thickBot="1">
      <c r="A306" s="759" t="s">
        <v>533</v>
      </c>
      <c r="B306" s="753" t="s">
        <v>350</v>
      </c>
      <c r="C306" s="753">
        <v>2420</v>
      </c>
      <c r="D306" s="753">
        <v>2400</v>
      </c>
      <c r="E306" s="753">
        <v>2380</v>
      </c>
      <c r="F306" s="771"/>
    </row>
    <row r="307" spans="1:6" s="747" customFormat="1" ht="14.25" customHeight="1" thickBot="1">
      <c r="A307" s="759" t="s">
        <v>533</v>
      </c>
      <c r="B307" s="753" t="s">
        <v>360</v>
      </c>
      <c r="C307" s="753">
        <v>2770</v>
      </c>
      <c r="D307" s="753">
        <v>2740</v>
      </c>
      <c r="E307" s="753">
        <v>2710</v>
      </c>
      <c r="F307" s="767">
        <v>650</v>
      </c>
    </row>
    <row r="308" spans="1:6" s="747" customFormat="1" ht="14.25" customHeight="1" thickBot="1">
      <c r="A308" s="759" t="s">
        <v>533</v>
      </c>
      <c r="B308" s="753" t="s">
        <v>370</v>
      </c>
      <c r="C308" s="753">
        <v>2610</v>
      </c>
      <c r="D308" s="753">
        <v>2580</v>
      </c>
      <c r="E308" s="753">
        <v>2550</v>
      </c>
      <c r="F308" s="767">
        <v>580</v>
      </c>
    </row>
    <row r="309" spans="1:6" s="747" customFormat="1" ht="14.25" customHeight="1" thickBot="1">
      <c r="A309" s="759" t="s">
        <v>533</v>
      </c>
      <c r="B309" s="753" t="s">
        <v>380</v>
      </c>
      <c r="C309" s="753">
        <v>2690</v>
      </c>
      <c r="D309" s="753">
        <v>2670</v>
      </c>
      <c r="E309" s="753">
        <v>2650</v>
      </c>
      <c r="F309" s="771"/>
    </row>
    <row r="310" spans="1:6" s="747" customFormat="1" ht="14.25" customHeight="1" thickBot="1">
      <c r="A310" s="759" t="s">
        <v>533</v>
      </c>
      <c r="B310" s="753" t="s">
        <v>389</v>
      </c>
      <c r="C310" s="753">
        <v>2360</v>
      </c>
      <c r="D310" s="753">
        <v>2330</v>
      </c>
      <c r="E310" s="753">
        <v>2310</v>
      </c>
      <c r="F310" s="767">
        <v>560</v>
      </c>
    </row>
    <row r="311" spans="1:6" s="747" customFormat="1" ht="14.25" customHeight="1" thickBot="1">
      <c r="A311" s="759" t="s">
        <v>533</v>
      </c>
      <c r="B311" s="753" t="s">
        <v>398</v>
      </c>
      <c r="C311" s="753">
        <v>1970</v>
      </c>
      <c r="D311" s="753">
        <v>1950</v>
      </c>
      <c r="E311" s="753">
        <v>1920</v>
      </c>
      <c r="F311" s="767">
        <v>470</v>
      </c>
    </row>
    <row r="312" spans="1:6" s="747" customFormat="1" ht="14.25" customHeight="1" thickBot="1">
      <c r="A312" s="759" t="s">
        <v>533</v>
      </c>
      <c r="B312" s="753" t="s">
        <v>406</v>
      </c>
      <c r="C312" s="753">
        <v>2230</v>
      </c>
      <c r="D312" s="753">
        <v>2200</v>
      </c>
      <c r="E312" s="753">
        <v>2170</v>
      </c>
      <c r="F312" s="767">
        <v>460</v>
      </c>
    </row>
    <row r="313" spans="1:6" s="747" customFormat="1" ht="14.25" customHeight="1" thickBot="1">
      <c r="A313" s="759" t="s">
        <v>533</v>
      </c>
      <c r="B313" s="753" t="s">
        <v>413</v>
      </c>
      <c r="C313" s="753">
        <v>2770</v>
      </c>
      <c r="D313" s="753">
        <v>2740</v>
      </c>
      <c r="E313" s="753">
        <v>2710</v>
      </c>
      <c r="F313" s="767">
        <v>610</v>
      </c>
    </row>
    <row r="314" spans="1:6" s="747" customFormat="1" ht="14.25" customHeight="1" thickBot="1">
      <c r="A314" s="759" t="s">
        <v>533</v>
      </c>
      <c r="B314" s="753" t="s">
        <v>420</v>
      </c>
      <c r="C314" s="753"/>
      <c r="D314" s="753"/>
      <c r="E314" s="753"/>
      <c r="F314" s="767">
        <v>490</v>
      </c>
    </row>
    <row r="315" spans="1:6" s="747" customFormat="1" ht="14.25" customHeight="1" thickBot="1">
      <c r="A315" s="759" t="s">
        <v>533</v>
      </c>
      <c r="B315" s="753" t="s">
        <v>427</v>
      </c>
      <c r="C315" s="753"/>
      <c r="D315" s="753"/>
      <c r="E315" s="753"/>
      <c r="F315" s="767">
        <v>520</v>
      </c>
    </row>
    <row r="316" spans="1:6" s="747" customFormat="1" ht="14.25" customHeight="1" thickBot="1">
      <c r="A316" s="759" t="s">
        <v>533</v>
      </c>
      <c r="B316" s="765" t="s">
        <v>434</v>
      </c>
      <c r="C316" s="765"/>
      <c r="D316" s="765"/>
      <c r="E316" s="765"/>
      <c r="F316" s="770">
        <v>460</v>
      </c>
    </row>
    <row r="317" spans="1:6" s="747" customFormat="1" ht="14.25" customHeight="1" thickBot="1">
      <c r="A317" s="759" t="s">
        <v>320</v>
      </c>
      <c r="B317" s="760" t="s">
        <v>538</v>
      </c>
      <c r="C317" s="760">
        <v>1200</v>
      </c>
      <c r="D317" s="760">
        <v>1180</v>
      </c>
      <c r="E317" s="760">
        <v>1160</v>
      </c>
      <c r="F317" s="761">
        <v>370</v>
      </c>
    </row>
    <row r="318" spans="1:6" s="747" customFormat="1" ht="14.25" customHeight="1" thickBot="1">
      <c r="A318" s="759" t="s">
        <v>320</v>
      </c>
      <c r="B318" s="753" t="s">
        <v>539</v>
      </c>
      <c r="C318" s="753">
        <v>1090</v>
      </c>
      <c r="D318" s="753">
        <v>1060</v>
      </c>
      <c r="E318" s="753">
        <v>1040</v>
      </c>
      <c r="F318" s="771"/>
    </row>
    <row r="319" spans="1:6" s="747" customFormat="1" ht="14.25" customHeight="1" thickBot="1">
      <c r="A319" s="759" t="s">
        <v>320</v>
      </c>
      <c r="B319" s="753" t="s">
        <v>540</v>
      </c>
      <c r="C319" s="753">
        <v>1520</v>
      </c>
      <c r="D319" s="753">
        <v>1470</v>
      </c>
      <c r="E319" s="753">
        <v>1440</v>
      </c>
      <c r="F319" s="767">
        <v>370</v>
      </c>
    </row>
    <row r="320" spans="1:6" s="747" customFormat="1" ht="14.25" customHeight="1" thickBot="1">
      <c r="A320" s="759" t="s">
        <v>320</v>
      </c>
      <c r="B320" s="753" t="s">
        <v>222</v>
      </c>
      <c r="C320" s="753">
        <v>1360</v>
      </c>
      <c r="D320" s="753">
        <v>1300</v>
      </c>
      <c r="E320" s="753">
        <v>1270</v>
      </c>
      <c r="F320" s="771"/>
    </row>
    <row r="321" spans="1:6" s="747" customFormat="1" ht="14.25" customHeight="1" thickBot="1">
      <c r="A321" s="759" t="s">
        <v>320</v>
      </c>
      <c r="B321" s="753" t="s">
        <v>234</v>
      </c>
      <c r="C321" s="753">
        <v>1750</v>
      </c>
      <c r="D321" s="753">
        <v>1690</v>
      </c>
      <c r="E321" s="753">
        <v>1660</v>
      </c>
      <c r="F321" s="771"/>
    </row>
    <row r="322" spans="1:6" s="747" customFormat="1" ht="14.25" customHeight="1" thickBot="1">
      <c r="A322" s="759" t="s">
        <v>320</v>
      </c>
      <c r="B322" s="753" t="s">
        <v>245</v>
      </c>
      <c r="C322" s="753">
        <v>1650</v>
      </c>
      <c r="D322" s="753">
        <v>1610</v>
      </c>
      <c r="E322" s="753">
        <v>1580</v>
      </c>
      <c r="F322" s="767">
        <v>500</v>
      </c>
    </row>
    <row r="323" spans="1:6" s="747" customFormat="1" ht="14.25" customHeight="1" thickBot="1">
      <c r="A323" s="759" t="s">
        <v>320</v>
      </c>
      <c r="B323" s="753" t="s">
        <v>256</v>
      </c>
      <c r="C323" s="753">
        <v>1780</v>
      </c>
      <c r="D323" s="753">
        <v>1740</v>
      </c>
      <c r="E323" s="753">
        <v>1720</v>
      </c>
      <c r="F323" s="771"/>
    </row>
    <row r="324" spans="1:6" s="747" customFormat="1" ht="14.25" customHeight="1" thickBot="1">
      <c r="A324" s="759" t="s">
        <v>320</v>
      </c>
      <c r="B324" s="753" t="s">
        <v>267</v>
      </c>
      <c r="C324" s="753">
        <v>1650</v>
      </c>
      <c r="D324" s="753">
        <v>1610</v>
      </c>
      <c r="E324" s="753">
        <v>1580</v>
      </c>
      <c r="F324" s="771"/>
    </row>
    <row r="325" spans="1:6" s="747" customFormat="1" ht="14.25" customHeight="1" thickBot="1">
      <c r="A325" s="759" t="s">
        <v>320</v>
      </c>
      <c r="B325" s="753" t="s">
        <v>279</v>
      </c>
      <c r="C325" s="753">
        <v>1330</v>
      </c>
      <c r="D325" s="753">
        <v>1270</v>
      </c>
      <c r="E325" s="753">
        <v>1240</v>
      </c>
      <c r="F325" s="767">
        <v>430</v>
      </c>
    </row>
    <row r="326" spans="1:6" s="747" customFormat="1" ht="14.25" customHeight="1" thickBot="1">
      <c r="A326" s="759" t="s">
        <v>320</v>
      </c>
      <c r="B326" s="753" t="s">
        <v>289</v>
      </c>
      <c r="C326" s="753">
        <v>1470</v>
      </c>
      <c r="D326" s="753">
        <v>1430</v>
      </c>
      <c r="E326" s="753">
        <v>1400</v>
      </c>
      <c r="F326" s="771"/>
    </row>
    <row r="327" spans="1:6" s="747" customFormat="1" ht="14.25" customHeight="1" thickBot="1">
      <c r="A327" s="759" t="s">
        <v>320</v>
      </c>
      <c r="B327" s="753" t="s">
        <v>299</v>
      </c>
      <c r="C327" s="753">
        <v>1420</v>
      </c>
      <c r="D327" s="753">
        <v>1380</v>
      </c>
      <c r="E327" s="753">
        <v>1360</v>
      </c>
      <c r="F327" s="767">
        <v>420</v>
      </c>
    </row>
    <row r="328" spans="1:6" s="747" customFormat="1" ht="14.25" customHeight="1" thickBot="1">
      <c r="A328" s="759" t="s">
        <v>320</v>
      </c>
      <c r="B328" s="753" t="s">
        <v>309</v>
      </c>
      <c r="C328" s="753">
        <v>1400</v>
      </c>
      <c r="D328" s="753">
        <v>1360</v>
      </c>
      <c r="E328" s="753">
        <v>1330</v>
      </c>
      <c r="F328" s="767">
        <v>460</v>
      </c>
    </row>
    <row r="329" spans="1:6" s="747" customFormat="1" ht="14.25" customHeight="1" thickBot="1">
      <c r="A329" s="759" t="s">
        <v>320</v>
      </c>
      <c r="B329" s="753" t="s">
        <v>319</v>
      </c>
      <c r="C329" s="753">
        <v>1640</v>
      </c>
      <c r="D329" s="753">
        <v>1610</v>
      </c>
      <c r="E329" s="753">
        <v>1580</v>
      </c>
      <c r="F329" s="767">
        <v>410</v>
      </c>
    </row>
    <row r="330" spans="1:6" s="747" customFormat="1" ht="14.25" customHeight="1" thickBot="1">
      <c r="A330" s="759" t="s">
        <v>320</v>
      </c>
      <c r="B330" s="753" t="s">
        <v>330</v>
      </c>
      <c r="C330" s="753">
        <v>1260</v>
      </c>
      <c r="D330" s="753">
        <v>1220</v>
      </c>
      <c r="E330" s="753">
        <v>1200</v>
      </c>
      <c r="F330" s="771"/>
    </row>
    <row r="331" spans="1:6" s="747" customFormat="1" ht="14.25" customHeight="1" thickBot="1">
      <c r="A331" s="759" t="s">
        <v>320</v>
      </c>
      <c r="B331" s="753" t="s">
        <v>341</v>
      </c>
      <c r="C331" s="753">
        <v>1620</v>
      </c>
      <c r="D331" s="753">
        <v>1560</v>
      </c>
      <c r="E331" s="753">
        <v>1530</v>
      </c>
      <c r="F331" s="767">
        <v>490</v>
      </c>
    </row>
    <row r="332" spans="1:6" s="747" customFormat="1" ht="14.25" customHeight="1" thickBot="1">
      <c r="A332" s="759" t="s">
        <v>320</v>
      </c>
      <c r="B332" s="753" t="s">
        <v>351</v>
      </c>
      <c r="C332" s="753">
        <v>1520</v>
      </c>
      <c r="D332" s="753">
        <v>1470</v>
      </c>
      <c r="E332" s="753">
        <v>1440</v>
      </c>
      <c r="F332" s="767">
        <v>440</v>
      </c>
    </row>
    <row r="333" spans="1:6" s="747" customFormat="1" ht="14.25" customHeight="1" thickBot="1">
      <c r="A333" s="759" t="s">
        <v>320</v>
      </c>
      <c r="B333" s="753" t="s">
        <v>361</v>
      </c>
      <c r="C333" s="753">
        <v>1370</v>
      </c>
      <c r="D333" s="753">
        <v>1320</v>
      </c>
      <c r="E333" s="753">
        <v>1300</v>
      </c>
      <c r="F333" s="767">
        <v>460</v>
      </c>
    </row>
    <row r="334" spans="1:6" s="747" customFormat="1" ht="14.25" customHeight="1" thickBot="1">
      <c r="A334" s="759" t="s">
        <v>320</v>
      </c>
      <c r="B334" s="753" t="s">
        <v>371</v>
      </c>
      <c r="C334" s="753">
        <v>1410</v>
      </c>
      <c r="D334" s="753">
        <v>1340</v>
      </c>
      <c r="E334" s="753">
        <v>1310</v>
      </c>
      <c r="F334" s="767">
        <v>410</v>
      </c>
    </row>
    <row r="335" spans="1:6" s="747" customFormat="1" ht="14.25" customHeight="1" thickBot="1">
      <c r="A335" s="759" t="s">
        <v>320</v>
      </c>
      <c r="B335" s="753" t="s">
        <v>381</v>
      </c>
      <c r="C335" s="753">
        <v>1260</v>
      </c>
      <c r="D335" s="753">
        <v>1220</v>
      </c>
      <c r="E335" s="753">
        <v>1200</v>
      </c>
      <c r="F335" s="771"/>
    </row>
    <row r="336" spans="1:6" s="747" customFormat="1" ht="14.25" customHeight="1" thickBot="1">
      <c r="A336" s="759" t="s">
        <v>320</v>
      </c>
      <c r="B336" s="753" t="s">
        <v>390</v>
      </c>
      <c r="C336" s="753">
        <v>1160</v>
      </c>
      <c r="D336" s="753">
        <v>1140</v>
      </c>
      <c r="E336" s="753">
        <v>1120</v>
      </c>
      <c r="F336" s="767">
        <v>430</v>
      </c>
    </row>
    <row r="337" spans="1:6" s="747" customFormat="1" ht="14.25" customHeight="1" thickBot="1">
      <c r="A337" s="759" t="s">
        <v>320</v>
      </c>
      <c r="B337" s="765" t="s">
        <v>399</v>
      </c>
      <c r="C337" s="765"/>
      <c r="D337" s="765"/>
      <c r="E337" s="765"/>
      <c r="F337" s="770">
        <v>380</v>
      </c>
    </row>
    <row r="338" spans="1:6" s="747" customFormat="1" ht="14.25" customHeight="1" thickBot="1">
      <c r="A338" s="759" t="s">
        <v>331</v>
      </c>
      <c r="B338" s="760" t="s">
        <v>541</v>
      </c>
      <c r="C338" s="760">
        <v>880</v>
      </c>
      <c r="D338" s="760">
        <v>850</v>
      </c>
      <c r="E338" s="760">
        <v>830</v>
      </c>
      <c r="F338" s="773"/>
    </row>
    <row r="339" spans="1:6" s="747" customFormat="1" ht="14.25" customHeight="1" thickBot="1">
      <c r="A339" s="759" t="s">
        <v>331</v>
      </c>
      <c r="B339" s="753" t="s">
        <v>542</v>
      </c>
      <c r="C339" s="753">
        <v>830</v>
      </c>
      <c r="D339" s="753">
        <v>800</v>
      </c>
      <c r="E339" s="753">
        <v>780</v>
      </c>
      <c r="F339" s="771"/>
    </row>
    <row r="340" spans="1:6" s="747" customFormat="1" ht="14.25" customHeight="1" thickBot="1">
      <c r="A340" s="759" t="s">
        <v>331</v>
      </c>
      <c r="B340" s="753" t="s">
        <v>543</v>
      </c>
      <c r="C340" s="753">
        <v>980</v>
      </c>
      <c r="D340" s="753">
        <v>950</v>
      </c>
      <c r="E340" s="753">
        <v>920</v>
      </c>
      <c r="F340" s="771"/>
    </row>
    <row r="341" spans="1:6" s="747" customFormat="1" ht="14.25" customHeight="1" thickBot="1">
      <c r="A341" s="759" t="s">
        <v>331</v>
      </c>
      <c r="B341" s="753" t="s">
        <v>544</v>
      </c>
      <c r="C341" s="753">
        <v>760</v>
      </c>
      <c r="D341" s="753">
        <v>720</v>
      </c>
      <c r="E341" s="753">
        <v>690</v>
      </c>
      <c r="F341" s="767">
        <v>350</v>
      </c>
    </row>
    <row r="342" spans="1:6" s="747" customFormat="1" ht="14.25" customHeight="1" thickBot="1">
      <c r="A342" s="759" t="s">
        <v>331</v>
      </c>
      <c r="B342" s="753" t="s">
        <v>235</v>
      </c>
      <c r="C342" s="753">
        <v>910</v>
      </c>
      <c r="D342" s="753">
        <v>870</v>
      </c>
      <c r="E342" s="753">
        <v>850</v>
      </c>
      <c r="F342" s="767">
        <v>370</v>
      </c>
    </row>
    <row r="343" spans="1:6" s="747" customFormat="1" ht="14.25" customHeight="1" thickBot="1">
      <c r="A343" s="759" t="s">
        <v>331</v>
      </c>
      <c r="B343" s="753" t="s">
        <v>246</v>
      </c>
      <c r="C343" s="753">
        <v>800</v>
      </c>
      <c r="D343" s="753">
        <v>760</v>
      </c>
      <c r="E343" s="753">
        <v>730</v>
      </c>
      <c r="F343" s="767">
        <v>340</v>
      </c>
    </row>
    <row r="344" spans="1:6" s="747" customFormat="1" ht="14.25" customHeight="1" thickBot="1">
      <c r="A344" s="759" t="s">
        <v>331</v>
      </c>
      <c r="B344" s="765" t="s">
        <v>257</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344"/>
  <sheetViews>
    <sheetView workbookViewId="0">
      <selection activeCell="F6" sqref="F6"/>
    </sheetView>
  </sheetViews>
  <sheetFormatPr defaultRowHeight="14"/>
  <cols>
    <col min="1" max="1" width="12.6328125" style="774" customWidth="1"/>
    <col min="2" max="2" width="10.08984375" style="732" customWidth="1"/>
  </cols>
  <sheetData>
    <row r="1" spans="1:6">
      <c r="A1" s="3744" t="s">
        <v>658</v>
      </c>
      <c r="B1" s="3744"/>
    </row>
    <row r="2" spans="1:6" ht="14.5" thickBot="1">
      <c r="A2" s="933"/>
      <c r="B2" s="933"/>
    </row>
    <row r="3" spans="1:6" ht="14.5" thickBot="1">
      <c r="A3" s="933"/>
      <c r="B3" s="933"/>
      <c r="C3" s="936" t="s">
        <v>661</v>
      </c>
      <c r="D3" s="936" t="s">
        <v>662</v>
      </c>
      <c r="E3" s="936" t="s">
        <v>663</v>
      </c>
      <c r="F3" s="936" t="s">
        <v>664</v>
      </c>
    </row>
    <row r="4" spans="1:6" ht="14.5" thickBot="1">
      <c r="A4" s="934" t="s">
        <v>659</v>
      </c>
      <c r="B4" s="935" t="s">
        <v>660</v>
      </c>
      <c r="C4" s="936"/>
      <c r="D4" s="936"/>
      <c r="E4" s="936"/>
      <c r="F4" s="936"/>
    </row>
    <row r="5" spans="1:6" ht="14.5" thickBot="1">
      <c r="A5" s="759" t="s">
        <v>665</v>
      </c>
      <c r="B5" s="760" t="s">
        <v>666</v>
      </c>
      <c r="C5" s="937">
        <v>8.8999999999999996E-2</v>
      </c>
      <c r="D5" s="937">
        <v>7.3999999999999996E-2</v>
      </c>
      <c r="E5" s="937">
        <v>7.4999999999999997E-2</v>
      </c>
      <c r="F5" s="938">
        <v>0.1</v>
      </c>
    </row>
    <row r="6" spans="1:6" ht="14.5" thickBot="1">
      <c r="A6" s="759" t="s">
        <v>211</v>
      </c>
      <c r="B6" s="753" t="s">
        <v>667</v>
      </c>
      <c r="C6" s="939">
        <v>0.1</v>
      </c>
      <c r="D6" s="939">
        <v>9.0999999999999998E-2</v>
      </c>
      <c r="E6" s="939">
        <v>9.0999999999999998E-2</v>
      </c>
      <c r="F6" s="940">
        <v>0.1</v>
      </c>
    </row>
    <row r="7" spans="1:6" ht="14.5" thickBot="1">
      <c r="A7" s="759" t="s">
        <v>211</v>
      </c>
      <c r="B7" s="763" t="s">
        <v>200</v>
      </c>
      <c r="C7" s="939">
        <v>8.5999999999999993E-2</v>
      </c>
      <c r="D7" s="939">
        <v>9.6000000000000002E-2</v>
      </c>
      <c r="E7" s="939">
        <v>7.5999999999999998E-2</v>
      </c>
      <c r="F7" s="940">
        <v>0.1</v>
      </c>
    </row>
    <row r="8" spans="1:6" ht="14.5" thickBot="1">
      <c r="A8" s="759" t="s">
        <v>211</v>
      </c>
      <c r="B8" s="753" t="s">
        <v>212</v>
      </c>
      <c r="C8" s="939">
        <v>9.9000000000000005E-2</v>
      </c>
      <c r="D8" s="939">
        <v>9.8000000000000004E-2</v>
      </c>
      <c r="E8" s="939">
        <v>9.8000000000000004E-2</v>
      </c>
      <c r="F8" s="940">
        <v>0.1</v>
      </c>
    </row>
    <row r="9" spans="1:6" ht="14.5" thickBot="1">
      <c r="A9" s="769" t="s">
        <v>211</v>
      </c>
      <c r="B9" s="764" t="s">
        <v>224</v>
      </c>
      <c r="C9" s="941">
        <v>0.05</v>
      </c>
      <c r="D9" s="949"/>
      <c r="E9" s="949"/>
      <c r="F9" s="950"/>
    </row>
    <row r="10" spans="1:6" ht="14.5" thickBot="1">
      <c r="A10" s="759" t="s">
        <v>268</v>
      </c>
      <c r="B10" s="760" t="s">
        <v>668</v>
      </c>
      <c r="C10" s="937">
        <v>8.8999999999999996E-2</v>
      </c>
      <c r="D10" s="937">
        <v>7.2999999999999995E-2</v>
      </c>
      <c r="E10" s="937">
        <v>8.2000000000000003E-2</v>
      </c>
      <c r="F10" s="938">
        <v>0.1</v>
      </c>
    </row>
    <row r="11" spans="1:6" ht="14.5" thickBot="1">
      <c r="A11" s="759" t="s">
        <v>268</v>
      </c>
      <c r="B11" s="763" t="s">
        <v>187</v>
      </c>
      <c r="C11" s="939">
        <v>8.8999999999999996E-2</v>
      </c>
      <c r="D11" s="939">
        <v>7.2999999999999995E-2</v>
      </c>
      <c r="E11" s="939">
        <v>8.2000000000000003E-2</v>
      </c>
      <c r="F11" s="940">
        <v>0.1</v>
      </c>
    </row>
    <row r="12" spans="1:6" ht="14.5" thickBot="1">
      <c r="A12" s="759" t="s">
        <v>268</v>
      </c>
      <c r="B12" s="763" t="s">
        <v>138</v>
      </c>
      <c r="C12" s="939">
        <v>6.0999999999999999E-2</v>
      </c>
      <c r="D12" s="939">
        <v>7.0999999999999994E-2</v>
      </c>
      <c r="E12" s="939">
        <v>9.6000000000000002E-2</v>
      </c>
      <c r="F12" s="940">
        <v>0.1</v>
      </c>
    </row>
    <row r="13" spans="1:6" ht="14.5" thickBot="1">
      <c r="A13" s="759" t="s">
        <v>268</v>
      </c>
      <c r="B13" s="763" t="s">
        <v>213</v>
      </c>
      <c r="C13" s="939">
        <v>6.9000000000000006E-2</v>
      </c>
      <c r="D13" s="939">
        <v>6.5000000000000002E-2</v>
      </c>
      <c r="E13" s="939">
        <v>6.6000000000000003E-2</v>
      </c>
      <c r="F13" s="940">
        <v>0.1</v>
      </c>
    </row>
    <row r="14" spans="1:6" ht="14.5" thickBot="1">
      <c r="A14" s="759" t="s">
        <v>268</v>
      </c>
      <c r="B14" s="763" t="s">
        <v>225</v>
      </c>
      <c r="C14" s="939">
        <v>0.1</v>
      </c>
      <c r="D14" s="939">
        <v>6.5000000000000002E-2</v>
      </c>
      <c r="E14" s="939">
        <v>7.0000000000000007E-2</v>
      </c>
      <c r="F14" s="940">
        <v>0.1</v>
      </c>
    </row>
    <row r="15" spans="1:6" ht="14.5" thickBot="1">
      <c r="A15" s="759" t="s">
        <v>268</v>
      </c>
      <c r="B15" s="763" t="s">
        <v>236</v>
      </c>
      <c r="C15" s="939">
        <v>9.8000000000000004E-2</v>
      </c>
      <c r="D15" s="939">
        <v>8.8999999999999996E-2</v>
      </c>
      <c r="E15" s="939">
        <v>8.8999999999999996E-2</v>
      </c>
      <c r="F15" s="940">
        <v>0.1</v>
      </c>
    </row>
    <row r="16" spans="1:6" ht="14.5" thickBot="1">
      <c r="A16" s="759" t="s">
        <v>268</v>
      </c>
      <c r="B16" s="763" t="s">
        <v>247</v>
      </c>
      <c r="C16" s="939">
        <v>7.0000000000000007E-2</v>
      </c>
      <c r="D16" s="939">
        <v>9.2999999999999999E-2</v>
      </c>
      <c r="E16" s="939">
        <v>9.6000000000000002E-2</v>
      </c>
      <c r="F16" s="940">
        <v>0.1</v>
      </c>
    </row>
    <row r="17" spans="1:6" ht="14.5" thickBot="1">
      <c r="A17" s="759" t="s">
        <v>268</v>
      </c>
      <c r="B17" s="763" t="s">
        <v>258</v>
      </c>
      <c r="C17" s="939">
        <v>9.5000000000000001E-2</v>
      </c>
      <c r="D17" s="939">
        <v>0.1</v>
      </c>
      <c r="E17" s="939">
        <v>0.1</v>
      </c>
      <c r="F17" s="951"/>
    </row>
    <row r="18" spans="1:6" ht="14.5" thickBot="1">
      <c r="A18" s="759" t="s">
        <v>268</v>
      </c>
      <c r="B18" s="763" t="s">
        <v>270</v>
      </c>
      <c r="C18" s="939">
        <v>7.3999999999999996E-2</v>
      </c>
      <c r="D18" s="939">
        <v>9.9000000000000005E-2</v>
      </c>
      <c r="E18" s="939">
        <v>0.1</v>
      </c>
      <c r="F18" s="951"/>
    </row>
    <row r="19" spans="1:6" ht="14.5" thickBot="1">
      <c r="A19" s="759" t="s">
        <v>268</v>
      </c>
      <c r="B19" s="763" t="s">
        <v>280</v>
      </c>
      <c r="C19" s="939">
        <v>9.9000000000000005E-2</v>
      </c>
      <c r="D19" s="939">
        <v>7.5999999999999998E-2</v>
      </c>
      <c r="E19" s="939">
        <v>8.6999999999999994E-2</v>
      </c>
      <c r="F19" s="951"/>
    </row>
    <row r="20" spans="1:6" ht="14.5" thickBot="1">
      <c r="A20" s="759" t="s">
        <v>268</v>
      </c>
      <c r="B20" s="763" t="s">
        <v>290</v>
      </c>
      <c r="C20" s="939">
        <v>9.8000000000000004E-2</v>
      </c>
      <c r="D20" s="939">
        <v>8.5000000000000006E-2</v>
      </c>
      <c r="E20" s="939">
        <v>8.2000000000000003E-2</v>
      </c>
      <c r="F20" s="951"/>
    </row>
    <row r="21" spans="1:6" ht="14.5" thickBot="1">
      <c r="A21" s="759" t="s">
        <v>268</v>
      </c>
      <c r="B21" s="763" t="s">
        <v>300</v>
      </c>
      <c r="C21" s="939">
        <v>6.6000000000000003E-2</v>
      </c>
      <c r="D21" s="939">
        <v>6.4000000000000001E-2</v>
      </c>
      <c r="E21" s="939">
        <v>6.5000000000000002E-2</v>
      </c>
      <c r="F21" s="951"/>
    </row>
    <row r="22" spans="1:6" ht="14.5" thickBot="1">
      <c r="A22" s="759" t="s">
        <v>268</v>
      </c>
      <c r="B22" s="763" t="s">
        <v>669</v>
      </c>
      <c r="C22" s="939">
        <v>0.08</v>
      </c>
      <c r="D22" s="939">
        <v>9.8000000000000004E-2</v>
      </c>
      <c r="E22" s="939">
        <v>9.8000000000000004E-2</v>
      </c>
      <c r="F22" s="951"/>
    </row>
    <row r="23" spans="1:6" ht="14.5" thickBot="1">
      <c r="A23" s="759" t="s">
        <v>268</v>
      </c>
      <c r="B23" s="763" t="s">
        <v>321</v>
      </c>
      <c r="C23" s="939">
        <v>9.9000000000000005E-2</v>
      </c>
      <c r="D23" s="939">
        <v>9.8000000000000004E-2</v>
      </c>
      <c r="E23" s="939">
        <v>9.0999999999999998E-2</v>
      </c>
      <c r="F23" s="951"/>
    </row>
    <row r="24" spans="1:6" ht="14.5" thickBot="1">
      <c r="A24" s="759" t="s">
        <v>268</v>
      </c>
      <c r="B24" s="763" t="s">
        <v>332</v>
      </c>
      <c r="C24" s="939">
        <v>8.8999999999999996E-2</v>
      </c>
      <c r="D24" s="939">
        <v>9.7000000000000003E-2</v>
      </c>
      <c r="E24" s="939">
        <v>7.0000000000000007E-2</v>
      </c>
      <c r="F24" s="951"/>
    </row>
    <row r="25" spans="1:6" ht="14.5" thickBot="1">
      <c r="A25" s="759" t="s">
        <v>268</v>
      </c>
      <c r="B25" s="763" t="s">
        <v>342</v>
      </c>
      <c r="C25" s="939">
        <v>8.8999999999999996E-2</v>
      </c>
      <c r="D25" s="939">
        <v>0.1</v>
      </c>
      <c r="E25" s="939">
        <v>8.1000000000000003E-2</v>
      </c>
      <c r="F25" s="951"/>
    </row>
    <row r="26" spans="1:6" ht="14.5" thickBot="1">
      <c r="A26" s="759" t="s">
        <v>268</v>
      </c>
      <c r="B26" s="763" t="s">
        <v>352</v>
      </c>
      <c r="C26" s="952"/>
      <c r="D26" s="939">
        <v>9.6000000000000002E-2</v>
      </c>
      <c r="E26" s="939">
        <v>9.2999999999999999E-2</v>
      </c>
      <c r="F26" s="951"/>
    </row>
    <row r="27" spans="1:6" ht="14.5" thickBot="1">
      <c r="A27" s="759" t="s">
        <v>268</v>
      </c>
      <c r="B27" s="763" t="s">
        <v>362</v>
      </c>
      <c r="C27" s="952"/>
      <c r="D27" s="939">
        <v>7.5999999999999998E-2</v>
      </c>
      <c r="E27" s="939">
        <v>9.1999999999999998E-2</v>
      </c>
      <c r="F27" s="951"/>
    </row>
    <row r="28" spans="1:6" ht="14.5" thickBot="1">
      <c r="A28" s="769" t="s">
        <v>268</v>
      </c>
      <c r="B28" s="764" t="s">
        <v>372</v>
      </c>
      <c r="C28" s="949"/>
      <c r="D28" s="941">
        <v>7.5999999999999998E-2</v>
      </c>
      <c r="E28" s="941">
        <v>9.1999999999999998E-2</v>
      </c>
      <c r="F28" s="950"/>
    </row>
    <row r="29" spans="1:6" ht="14.5" thickBot="1">
      <c r="A29" s="759" t="s">
        <v>441</v>
      </c>
      <c r="B29" s="760" t="s">
        <v>670</v>
      </c>
      <c r="C29" s="937">
        <v>6.4000000000000001E-2</v>
      </c>
      <c r="D29" s="937">
        <v>6.5000000000000002E-2</v>
      </c>
      <c r="E29" s="937">
        <v>6.9000000000000006E-2</v>
      </c>
      <c r="F29" s="938">
        <v>0.1</v>
      </c>
    </row>
    <row r="30" spans="1:6" ht="14.5" thickBot="1">
      <c r="A30" s="759" t="s">
        <v>441</v>
      </c>
      <c r="B30" s="763" t="s">
        <v>188</v>
      </c>
      <c r="C30" s="939">
        <v>6.4000000000000001E-2</v>
      </c>
      <c r="D30" s="939">
        <v>9.9000000000000005E-2</v>
      </c>
      <c r="E30" s="939">
        <v>0.1</v>
      </c>
      <c r="F30" s="940">
        <v>0.1</v>
      </c>
    </row>
    <row r="31" spans="1:6" ht="14.5" thickBot="1">
      <c r="A31" s="759" t="s">
        <v>441</v>
      </c>
      <c r="B31" s="763" t="s">
        <v>201</v>
      </c>
      <c r="C31" s="939">
        <v>0.1</v>
      </c>
      <c r="D31" s="939">
        <v>9.5000000000000001E-2</v>
      </c>
      <c r="E31" s="939">
        <v>8.8999999999999996E-2</v>
      </c>
      <c r="F31" s="940">
        <v>0.1</v>
      </c>
    </row>
    <row r="32" spans="1:6" ht="14.5" thickBot="1">
      <c r="A32" s="759" t="s">
        <v>441</v>
      </c>
      <c r="B32" s="763" t="s">
        <v>214</v>
      </c>
      <c r="C32" s="939">
        <v>0.05</v>
      </c>
      <c r="D32" s="939">
        <v>0.05</v>
      </c>
      <c r="E32" s="939">
        <v>8.7999999999999995E-2</v>
      </c>
      <c r="F32" s="940">
        <v>0.1</v>
      </c>
    </row>
    <row r="33" spans="1:6" ht="14.5" thickBot="1">
      <c r="A33" s="759" t="s">
        <v>441</v>
      </c>
      <c r="B33" s="763" t="s">
        <v>226</v>
      </c>
      <c r="C33" s="939">
        <v>7.4999999999999997E-2</v>
      </c>
      <c r="D33" s="939">
        <v>9.4E-2</v>
      </c>
      <c r="E33" s="939">
        <v>9.7000000000000003E-2</v>
      </c>
      <c r="F33" s="940">
        <v>0.1</v>
      </c>
    </row>
    <row r="34" spans="1:6" ht="14.5" thickBot="1">
      <c r="A34" s="759" t="s">
        <v>441</v>
      </c>
      <c r="B34" s="763" t="s">
        <v>237</v>
      </c>
      <c r="C34" s="939">
        <v>9.8000000000000004E-2</v>
      </c>
      <c r="D34" s="939">
        <v>8.5999999999999993E-2</v>
      </c>
      <c r="E34" s="939">
        <v>9.7000000000000003E-2</v>
      </c>
      <c r="F34" s="940">
        <v>0.1</v>
      </c>
    </row>
    <row r="35" spans="1:6" ht="14.5" thickBot="1">
      <c r="A35" s="759" t="s">
        <v>441</v>
      </c>
      <c r="B35" s="763" t="s">
        <v>248</v>
      </c>
      <c r="C35" s="939">
        <v>5.8999999999999997E-2</v>
      </c>
      <c r="D35" s="939">
        <v>6.5000000000000002E-2</v>
      </c>
      <c r="E35" s="939">
        <v>7.0000000000000007E-2</v>
      </c>
      <c r="F35" s="940">
        <v>0.1</v>
      </c>
    </row>
    <row r="36" spans="1:6" ht="14.5" thickBot="1">
      <c r="A36" s="759" t="s">
        <v>441</v>
      </c>
      <c r="B36" s="763" t="s">
        <v>259</v>
      </c>
      <c r="C36" s="939">
        <v>6.3E-2</v>
      </c>
      <c r="D36" s="939">
        <v>0.1</v>
      </c>
      <c r="E36" s="939">
        <v>0.1</v>
      </c>
      <c r="F36" s="940">
        <v>0.1</v>
      </c>
    </row>
    <row r="37" spans="1:6" ht="14.5" thickBot="1">
      <c r="A37" s="759" t="s">
        <v>441</v>
      </c>
      <c r="B37" s="763" t="s">
        <v>271</v>
      </c>
      <c r="C37" s="939">
        <v>7.3999999999999996E-2</v>
      </c>
      <c r="D37" s="939">
        <v>0.1</v>
      </c>
      <c r="E37" s="939">
        <v>0.1</v>
      </c>
      <c r="F37" s="940">
        <v>0.1</v>
      </c>
    </row>
    <row r="38" spans="1:6" ht="14.5" thickBot="1">
      <c r="A38" s="759" t="s">
        <v>441</v>
      </c>
      <c r="B38" s="763" t="s">
        <v>281</v>
      </c>
      <c r="C38" s="939">
        <v>0.1</v>
      </c>
      <c r="D38" s="939">
        <v>9.6000000000000002E-2</v>
      </c>
      <c r="E38" s="939">
        <v>9.6000000000000002E-2</v>
      </c>
      <c r="F38" s="951"/>
    </row>
    <row r="39" spans="1:6" ht="14.5" thickBot="1">
      <c r="A39" s="759" t="s">
        <v>441</v>
      </c>
      <c r="B39" s="763" t="s">
        <v>291</v>
      </c>
      <c r="C39" s="939">
        <v>0.1</v>
      </c>
      <c r="D39" s="939">
        <v>9.6000000000000002E-2</v>
      </c>
      <c r="E39" s="939">
        <v>9.6000000000000002E-2</v>
      </c>
      <c r="F39" s="951"/>
    </row>
    <row r="40" spans="1:6" ht="14.5" thickBot="1">
      <c r="A40" s="759" t="s">
        <v>441</v>
      </c>
      <c r="B40" s="763" t="s">
        <v>301</v>
      </c>
      <c r="C40" s="939">
        <v>9.6000000000000002E-2</v>
      </c>
      <c r="D40" s="939">
        <v>0.1</v>
      </c>
      <c r="E40" s="939">
        <v>9.9000000000000005E-2</v>
      </c>
      <c r="F40" s="951"/>
    </row>
    <row r="41" spans="1:6" ht="14.5" thickBot="1">
      <c r="A41" s="759" t="s">
        <v>441</v>
      </c>
      <c r="B41" s="763" t="s">
        <v>311</v>
      </c>
      <c r="C41" s="939">
        <v>9.6000000000000002E-2</v>
      </c>
      <c r="D41" s="939">
        <v>9.8000000000000004E-2</v>
      </c>
      <c r="E41" s="939">
        <v>9.8000000000000004E-2</v>
      </c>
      <c r="F41" s="951"/>
    </row>
    <row r="42" spans="1:6" ht="14.5" thickBot="1">
      <c r="A42" s="759" t="s">
        <v>441</v>
      </c>
      <c r="B42" s="763" t="s">
        <v>322</v>
      </c>
      <c r="C42" s="939">
        <v>0.1</v>
      </c>
      <c r="D42" s="939">
        <v>8.7999999999999995E-2</v>
      </c>
      <c r="E42" s="939">
        <v>0.1</v>
      </c>
      <c r="F42" s="951"/>
    </row>
    <row r="43" spans="1:6" ht="14.5" thickBot="1">
      <c r="A43" s="759" t="s">
        <v>441</v>
      </c>
      <c r="B43" s="763" t="s">
        <v>333</v>
      </c>
      <c r="C43" s="939">
        <v>9.8000000000000004E-2</v>
      </c>
      <c r="D43" s="939">
        <v>9.7000000000000003E-2</v>
      </c>
      <c r="E43" s="939">
        <v>9.6000000000000002E-2</v>
      </c>
      <c r="F43" s="951"/>
    </row>
    <row r="44" spans="1:6" ht="14.5" thickBot="1">
      <c r="A44" s="759" t="s">
        <v>441</v>
      </c>
      <c r="B44" s="763" t="s">
        <v>343</v>
      </c>
      <c r="C44" s="939">
        <v>8.5999999999999993E-2</v>
      </c>
      <c r="D44" s="939">
        <v>7.9000000000000001E-2</v>
      </c>
      <c r="E44" s="939">
        <v>7.0999999999999994E-2</v>
      </c>
      <c r="F44" s="951"/>
    </row>
    <row r="45" spans="1:6" ht="14.5" thickBot="1">
      <c r="A45" s="759" t="s">
        <v>441</v>
      </c>
      <c r="B45" s="763" t="s">
        <v>353</v>
      </c>
      <c r="C45" s="939">
        <v>9.8000000000000004E-2</v>
      </c>
      <c r="D45" s="939">
        <v>9.6000000000000002E-2</v>
      </c>
      <c r="E45" s="939">
        <v>9.6000000000000002E-2</v>
      </c>
      <c r="F45" s="951"/>
    </row>
    <row r="46" spans="1:6" ht="14.5" thickBot="1">
      <c r="A46" s="759" t="s">
        <v>441</v>
      </c>
      <c r="B46" s="763" t="s">
        <v>363</v>
      </c>
      <c r="C46" s="939">
        <v>8.5999999999999993E-2</v>
      </c>
      <c r="D46" s="939">
        <v>9.8000000000000004E-2</v>
      </c>
      <c r="E46" s="939">
        <v>8.7999999999999995E-2</v>
      </c>
      <c r="F46" s="951"/>
    </row>
    <row r="47" spans="1:6" ht="14.5" thickBot="1">
      <c r="A47" s="759" t="s">
        <v>441</v>
      </c>
      <c r="B47" s="763" t="s">
        <v>373</v>
      </c>
      <c r="C47" s="939">
        <v>9.6000000000000002E-2</v>
      </c>
      <c r="D47" s="952"/>
      <c r="E47" s="939">
        <v>6.9000000000000006E-2</v>
      </c>
      <c r="F47" s="951"/>
    </row>
    <row r="48" spans="1:6" ht="14.5" thickBot="1">
      <c r="A48" s="769" t="s">
        <v>441</v>
      </c>
      <c r="B48" s="764" t="s">
        <v>382</v>
      </c>
      <c r="C48" s="941">
        <v>9.8000000000000004E-2</v>
      </c>
      <c r="D48" s="949"/>
      <c r="E48" s="941">
        <v>9.5000000000000001E-2</v>
      </c>
      <c r="F48" s="950"/>
    </row>
    <row r="49" spans="1:6" ht="14.5" thickBot="1">
      <c r="A49" s="759" t="s">
        <v>137</v>
      </c>
      <c r="B49" s="760" t="s">
        <v>671</v>
      </c>
      <c r="C49" s="937">
        <v>9.7000000000000003E-2</v>
      </c>
      <c r="D49" s="937">
        <v>9.5000000000000001E-2</v>
      </c>
      <c r="E49" s="937">
        <v>9.7000000000000003E-2</v>
      </c>
      <c r="F49" s="938">
        <v>0.1</v>
      </c>
    </row>
    <row r="50" spans="1:6" ht="14.5" thickBot="1">
      <c r="A50" s="759" t="s">
        <v>137</v>
      </c>
      <c r="B50" s="753" t="s">
        <v>189</v>
      </c>
      <c r="C50" s="939">
        <v>7.4999999999999997E-2</v>
      </c>
      <c r="D50" s="939">
        <v>9.5000000000000001E-2</v>
      </c>
      <c r="E50" s="939">
        <v>0.1</v>
      </c>
      <c r="F50" s="940">
        <v>0.1</v>
      </c>
    </row>
    <row r="51" spans="1:6" ht="14.5" thickBot="1">
      <c r="A51" s="759" t="s">
        <v>137</v>
      </c>
      <c r="B51" s="753" t="s">
        <v>202</v>
      </c>
      <c r="C51" s="939">
        <v>9.8000000000000004E-2</v>
      </c>
      <c r="D51" s="939">
        <v>8.8999999999999996E-2</v>
      </c>
      <c r="E51" s="939">
        <v>0.1</v>
      </c>
      <c r="F51" s="940">
        <v>0.1</v>
      </c>
    </row>
    <row r="52" spans="1:6" ht="14.5" thickBot="1">
      <c r="A52" s="759" t="s">
        <v>137</v>
      </c>
      <c r="B52" s="753" t="s">
        <v>215</v>
      </c>
      <c r="C52" s="939">
        <v>9.8000000000000004E-2</v>
      </c>
      <c r="D52" s="939">
        <v>9.7000000000000003E-2</v>
      </c>
      <c r="E52" s="939">
        <v>8.1000000000000003E-2</v>
      </c>
      <c r="F52" s="940">
        <v>0.1</v>
      </c>
    </row>
    <row r="53" spans="1:6" ht="14.5" thickBot="1">
      <c r="A53" s="759" t="s">
        <v>137</v>
      </c>
      <c r="B53" s="753" t="s">
        <v>227</v>
      </c>
      <c r="C53" s="939">
        <v>9.7000000000000003E-2</v>
      </c>
      <c r="D53" s="939">
        <v>7.5999999999999998E-2</v>
      </c>
      <c r="E53" s="939">
        <v>7.0999999999999994E-2</v>
      </c>
      <c r="F53" s="940">
        <v>0.1</v>
      </c>
    </row>
    <row r="54" spans="1:6" ht="14.5" thickBot="1">
      <c r="A54" s="759" t="s">
        <v>137</v>
      </c>
      <c r="B54" s="753" t="s">
        <v>238</v>
      </c>
      <c r="C54" s="939">
        <v>7.5999999999999998E-2</v>
      </c>
      <c r="D54" s="939">
        <v>0.1</v>
      </c>
      <c r="E54" s="939">
        <v>9.9000000000000005E-2</v>
      </c>
      <c r="F54" s="940">
        <v>0.1</v>
      </c>
    </row>
    <row r="55" spans="1:6" ht="14.5" thickBot="1">
      <c r="A55" s="759" t="s">
        <v>137</v>
      </c>
      <c r="B55" s="753" t="s">
        <v>249</v>
      </c>
      <c r="C55" s="939">
        <v>0.1</v>
      </c>
      <c r="D55" s="939">
        <v>0.1</v>
      </c>
      <c r="E55" s="939">
        <v>9.6000000000000002E-2</v>
      </c>
      <c r="F55" s="940">
        <v>0.1</v>
      </c>
    </row>
    <row r="56" spans="1:6" ht="14.5" thickBot="1">
      <c r="A56" s="759" t="s">
        <v>137</v>
      </c>
      <c r="B56" s="753" t="s">
        <v>260</v>
      </c>
      <c r="C56" s="939">
        <v>0.1</v>
      </c>
      <c r="D56" s="939">
        <v>9.6000000000000002E-2</v>
      </c>
      <c r="E56" s="939">
        <v>5.1999999999999998E-2</v>
      </c>
      <c r="F56" s="940">
        <v>0.1</v>
      </c>
    </row>
    <row r="57" spans="1:6" ht="14.5" thickBot="1">
      <c r="A57" s="759" t="s">
        <v>137</v>
      </c>
      <c r="B57" s="753" t="s">
        <v>272</v>
      </c>
      <c r="C57" s="939">
        <v>9.7000000000000003E-2</v>
      </c>
      <c r="D57" s="939">
        <v>9.6000000000000002E-2</v>
      </c>
      <c r="E57" s="939">
        <v>9.6000000000000002E-2</v>
      </c>
      <c r="F57" s="940">
        <v>0.1</v>
      </c>
    </row>
    <row r="58" spans="1:6" ht="14.5" thickBot="1">
      <c r="A58" s="759" t="s">
        <v>137</v>
      </c>
      <c r="B58" s="753" t="s">
        <v>282</v>
      </c>
      <c r="C58" s="939">
        <v>9.6000000000000002E-2</v>
      </c>
      <c r="D58" s="939">
        <v>9.9000000000000005E-2</v>
      </c>
      <c r="E58" s="939">
        <v>9.6000000000000002E-2</v>
      </c>
      <c r="F58" s="940">
        <v>0.1</v>
      </c>
    </row>
    <row r="59" spans="1:6" ht="14.5" thickBot="1">
      <c r="A59" s="759" t="s">
        <v>137</v>
      </c>
      <c r="B59" s="753" t="s">
        <v>292</v>
      </c>
      <c r="C59" s="939">
        <v>7.1999999999999995E-2</v>
      </c>
      <c r="D59" s="939">
        <v>9.6000000000000002E-2</v>
      </c>
      <c r="E59" s="939">
        <v>7.0999999999999994E-2</v>
      </c>
      <c r="F59" s="940">
        <v>0.1</v>
      </c>
    </row>
    <row r="60" spans="1:6" ht="14.5" thickBot="1">
      <c r="A60" s="759" t="s">
        <v>137</v>
      </c>
      <c r="B60" s="753" t="s">
        <v>302</v>
      </c>
      <c r="C60" s="939">
        <v>9.6000000000000002E-2</v>
      </c>
      <c r="D60" s="939">
        <v>8.8999999999999996E-2</v>
      </c>
      <c r="E60" s="939">
        <v>9.6000000000000002E-2</v>
      </c>
      <c r="F60" s="940">
        <v>0.1</v>
      </c>
    </row>
    <row r="61" spans="1:6" ht="14.5" thickBot="1">
      <c r="A61" s="759" t="s">
        <v>137</v>
      </c>
      <c r="B61" s="753" t="s">
        <v>312</v>
      </c>
      <c r="C61" s="939">
        <v>8.8999999999999996E-2</v>
      </c>
      <c r="D61" s="939">
        <v>9.8000000000000004E-2</v>
      </c>
      <c r="E61" s="939">
        <v>8.7999999999999995E-2</v>
      </c>
      <c r="F61" s="951"/>
    </row>
    <row r="62" spans="1:6" ht="14.5" thickBot="1">
      <c r="A62" s="759" t="s">
        <v>137</v>
      </c>
      <c r="B62" s="753" t="s">
        <v>323</v>
      </c>
      <c r="C62" s="939">
        <v>9.8000000000000004E-2</v>
      </c>
      <c r="D62" s="939">
        <v>9.2999999999999999E-2</v>
      </c>
      <c r="E62" s="939">
        <v>9.7000000000000003E-2</v>
      </c>
      <c r="F62" s="951"/>
    </row>
    <row r="63" spans="1:6" ht="14.5" thickBot="1">
      <c r="A63" s="759" t="s">
        <v>137</v>
      </c>
      <c r="B63" s="753" t="s">
        <v>334</v>
      </c>
      <c r="C63" s="939">
        <v>9.6000000000000002E-2</v>
      </c>
      <c r="D63" s="939">
        <v>9.8000000000000004E-2</v>
      </c>
      <c r="E63" s="939">
        <v>0.09</v>
      </c>
      <c r="F63" s="951"/>
    </row>
    <row r="64" spans="1:6" ht="14.5" thickBot="1">
      <c r="A64" s="759" t="s">
        <v>137</v>
      </c>
      <c r="B64" s="753" t="s">
        <v>344</v>
      </c>
      <c r="C64" s="939">
        <v>9.9000000000000005E-2</v>
      </c>
      <c r="D64" s="939">
        <v>9.7000000000000003E-2</v>
      </c>
      <c r="E64" s="939">
        <v>9.9000000000000005E-2</v>
      </c>
      <c r="F64" s="951"/>
    </row>
    <row r="65" spans="1:6" ht="14.5" thickBot="1">
      <c r="A65" s="759" t="s">
        <v>137</v>
      </c>
      <c r="B65" s="753" t="s">
        <v>354</v>
      </c>
      <c r="C65" s="939">
        <v>9.8000000000000004E-2</v>
      </c>
      <c r="D65" s="939">
        <v>9.6000000000000002E-2</v>
      </c>
      <c r="E65" s="939">
        <v>9.6000000000000002E-2</v>
      </c>
      <c r="F65" s="951"/>
    </row>
    <row r="66" spans="1:6" ht="14.5" thickBot="1">
      <c r="A66" s="759" t="s">
        <v>137</v>
      </c>
      <c r="B66" s="753" t="s">
        <v>364</v>
      </c>
      <c r="C66" s="939">
        <v>9.6000000000000002E-2</v>
      </c>
      <c r="D66" s="939">
        <v>9.1999999999999998E-2</v>
      </c>
      <c r="E66" s="939">
        <v>9.6000000000000002E-2</v>
      </c>
      <c r="F66" s="951"/>
    </row>
    <row r="67" spans="1:6" ht="14.5" thickBot="1">
      <c r="A67" s="759" t="s">
        <v>137</v>
      </c>
      <c r="B67" s="753" t="s">
        <v>374</v>
      </c>
      <c r="C67" s="939">
        <v>9.4E-2</v>
      </c>
      <c r="D67" s="939">
        <v>0.1</v>
      </c>
      <c r="E67" s="939">
        <v>8.7999999999999995E-2</v>
      </c>
      <c r="F67" s="951"/>
    </row>
    <row r="68" spans="1:6" ht="14.5" thickBot="1">
      <c r="A68" s="759" t="s">
        <v>137</v>
      </c>
      <c r="B68" s="753" t="s">
        <v>383</v>
      </c>
      <c r="C68" s="939">
        <v>0.1</v>
      </c>
      <c r="D68" s="939">
        <v>8.7999999999999995E-2</v>
      </c>
      <c r="E68" s="939">
        <v>9.7000000000000003E-2</v>
      </c>
      <c r="F68" s="951"/>
    </row>
    <row r="69" spans="1:6" ht="14.5" thickBot="1">
      <c r="A69" s="759" t="s">
        <v>137</v>
      </c>
      <c r="B69" s="753" t="s">
        <v>392</v>
      </c>
      <c r="C69" s="939">
        <v>6.4000000000000001E-2</v>
      </c>
      <c r="D69" s="939">
        <v>0.1</v>
      </c>
      <c r="E69" s="939">
        <v>0.1</v>
      </c>
      <c r="F69" s="951"/>
    </row>
    <row r="70" spans="1:6" ht="14.5" thickBot="1">
      <c r="A70" s="759" t="s">
        <v>137</v>
      </c>
      <c r="B70" s="753" t="s">
        <v>400</v>
      </c>
      <c r="C70" s="939">
        <v>9.0999999999999998E-2</v>
      </c>
      <c r="D70" s="952"/>
      <c r="E70" s="952"/>
      <c r="F70" s="951"/>
    </row>
    <row r="71" spans="1:6" ht="14.5" thickBot="1">
      <c r="A71" s="759" t="s">
        <v>137</v>
      </c>
      <c r="B71" s="753" t="s">
        <v>407</v>
      </c>
      <c r="C71" s="939">
        <v>0.1</v>
      </c>
      <c r="D71" s="952"/>
      <c r="E71" s="952"/>
      <c r="F71" s="951"/>
    </row>
    <row r="72" spans="1:6" ht="26.5" thickBot="1">
      <c r="A72" s="759" t="s">
        <v>137</v>
      </c>
      <c r="B72" s="753" t="s">
        <v>672</v>
      </c>
      <c r="C72" s="952"/>
      <c r="D72" s="952"/>
      <c r="E72" s="952"/>
      <c r="F72" s="940">
        <v>0.05</v>
      </c>
    </row>
    <row r="73" spans="1:6" ht="26.5" thickBot="1">
      <c r="A73" s="759" t="s">
        <v>137</v>
      </c>
      <c r="B73" s="753" t="s">
        <v>673</v>
      </c>
      <c r="C73" s="952"/>
      <c r="D73" s="952"/>
      <c r="E73" s="952"/>
      <c r="F73" s="940">
        <v>0.05</v>
      </c>
    </row>
    <row r="74" spans="1:6" ht="26.5" thickBot="1">
      <c r="A74" s="759" t="s">
        <v>137</v>
      </c>
      <c r="B74" s="753" t="s">
        <v>674</v>
      </c>
      <c r="C74" s="952"/>
      <c r="D74" s="952"/>
      <c r="E74" s="952"/>
      <c r="F74" s="940">
        <v>0.05</v>
      </c>
    </row>
    <row r="75" spans="1:6" ht="26.5" thickBot="1">
      <c r="A75" s="769" t="s">
        <v>137</v>
      </c>
      <c r="B75" s="765" t="s">
        <v>675</v>
      </c>
      <c r="C75" s="949"/>
      <c r="D75" s="949"/>
      <c r="E75" s="949"/>
      <c r="F75" s="942">
        <v>0.05</v>
      </c>
    </row>
    <row r="76" spans="1:6" ht="14.5" thickBot="1">
      <c r="A76" s="759" t="s">
        <v>522</v>
      </c>
      <c r="B76" s="760" t="s">
        <v>676</v>
      </c>
      <c r="C76" s="937">
        <v>0.1</v>
      </c>
      <c r="D76" s="937">
        <v>0.1</v>
      </c>
      <c r="E76" s="937">
        <v>0.1</v>
      </c>
      <c r="F76" s="938">
        <v>0.1</v>
      </c>
    </row>
    <row r="77" spans="1:6" ht="14.5" thickBot="1">
      <c r="A77" s="759" t="s">
        <v>522</v>
      </c>
      <c r="B77" s="753" t="s">
        <v>190</v>
      </c>
      <c r="C77" s="939">
        <v>8.7999999999999995E-2</v>
      </c>
      <c r="D77" s="939">
        <v>8.6999999999999994E-2</v>
      </c>
      <c r="E77" s="939">
        <v>7.9000000000000001E-2</v>
      </c>
      <c r="F77" s="940">
        <v>0.1</v>
      </c>
    </row>
    <row r="78" spans="1:6" ht="14.5" thickBot="1">
      <c r="A78" s="759" t="s">
        <v>522</v>
      </c>
      <c r="B78" s="753" t="s">
        <v>203</v>
      </c>
      <c r="C78" s="939">
        <v>8.6999999999999994E-2</v>
      </c>
      <c r="D78" s="939">
        <v>8.4000000000000005E-2</v>
      </c>
      <c r="E78" s="939">
        <v>9.6000000000000002E-2</v>
      </c>
      <c r="F78" s="940">
        <v>0.1</v>
      </c>
    </row>
    <row r="79" spans="1:6" ht="14.5" thickBot="1">
      <c r="A79" s="759" t="s">
        <v>522</v>
      </c>
      <c r="B79" s="753" t="s">
        <v>216</v>
      </c>
      <c r="C79" s="939">
        <v>9.8000000000000004E-2</v>
      </c>
      <c r="D79" s="939">
        <v>9.8000000000000004E-2</v>
      </c>
      <c r="E79" s="939">
        <v>9.0999999999999998E-2</v>
      </c>
      <c r="F79" s="940">
        <v>0.1</v>
      </c>
    </row>
    <row r="80" spans="1:6" ht="14.5" thickBot="1">
      <c r="A80" s="759" t="s">
        <v>522</v>
      </c>
      <c r="B80" s="753" t="s">
        <v>228</v>
      </c>
      <c r="C80" s="939">
        <v>9.6000000000000002E-2</v>
      </c>
      <c r="D80" s="939">
        <v>9.6000000000000002E-2</v>
      </c>
      <c r="E80" s="939">
        <v>0.1</v>
      </c>
      <c r="F80" s="940">
        <v>0.1</v>
      </c>
    </row>
    <row r="81" spans="1:6" ht="14.5" thickBot="1">
      <c r="A81" s="759" t="s">
        <v>522</v>
      </c>
      <c r="B81" s="753" t="s">
        <v>239</v>
      </c>
      <c r="C81" s="939">
        <v>9.9000000000000005E-2</v>
      </c>
      <c r="D81" s="939">
        <v>9.9000000000000005E-2</v>
      </c>
      <c r="E81" s="939">
        <v>9.8000000000000004E-2</v>
      </c>
      <c r="F81" s="940">
        <v>0.1</v>
      </c>
    </row>
    <row r="82" spans="1:6" ht="14.5" thickBot="1">
      <c r="A82" s="759" t="s">
        <v>522</v>
      </c>
      <c r="B82" s="753" t="s">
        <v>250</v>
      </c>
      <c r="C82" s="939">
        <v>9.9000000000000005E-2</v>
      </c>
      <c r="D82" s="939">
        <v>9.9000000000000005E-2</v>
      </c>
      <c r="E82" s="939">
        <v>9.7000000000000003E-2</v>
      </c>
      <c r="F82" s="940">
        <v>0.1</v>
      </c>
    </row>
    <row r="83" spans="1:6" ht="14.5" thickBot="1">
      <c r="A83" s="759" t="s">
        <v>522</v>
      </c>
      <c r="B83" s="753" t="s">
        <v>261</v>
      </c>
      <c r="C83" s="939">
        <v>9.8000000000000004E-2</v>
      </c>
      <c r="D83" s="939">
        <v>9.8000000000000004E-2</v>
      </c>
      <c r="E83" s="939">
        <v>9.8000000000000004E-2</v>
      </c>
      <c r="F83" s="940">
        <v>0.1</v>
      </c>
    </row>
    <row r="84" spans="1:6" ht="14.5" thickBot="1">
      <c r="A84" s="759" t="s">
        <v>522</v>
      </c>
      <c r="B84" s="753" t="s">
        <v>273</v>
      </c>
      <c r="C84" s="939">
        <v>9.9000000000000005E-2</v>
      </c>
      <c r="D84" s="939">
        <v>9.9000000000000005E-2</v>
      </c>
      <c r="E84" s="939">
        <v>9.9000000000000005E-2</v>
      </c>
      <c r="F84" s="940">
        <v>0.1</v>
      </c>
    </row>
    <row r="85" spans="1:6" ht="14.5" thickBot="1">
      <c r="A85" s="759" t="s">
        <v>522</v>
      </c>
      <c r="B85" s="753" t="s">
        <v>283</v>
      </c>
      <c r="C85" s="939">
        <v>9.9000000000000005E-2</v>
      </c>
      <c r="D85" s="939">
        <v>9.9000000000000005E-2</v>
      </c>
      <c r="E85" s="939">
        <v>9.9000000000000005E-2</v>
      </c>
      <c r="F85" s="940">
        <v>0.1</v>
      </c>
    </row>
    <row r="86" spans="1:6" ht="14.5" thickBot="1">
      <c r="A86" s="759" t="s">
        <v>522</v>
      </c>
      <c r="B86" s="753" t="s">
        <v>293</v>
      </c>
      <c r="C86" s="939">
        <v>0.1</v>
      </c>
      <c r="D86" s="939">
        <v>0.1</v>
      </c>
      <c r="E86" s="939">
        <v>7.6999999999999999E-2</v>
      </c>
      <c r="F86" s="940">
        <v>0.1</v>
      </c>
    </row>
    <row r="87" spans="1:6" ht="14.5" thickBot="1">
      <c r="A87" s="759" t="s">
        <v>522</v>
      </c>
      <c r="B87" s="753" t="s">
        <v>303</v>
      </c>
      <c r="C87" s="939">
        <v>0.1</v>
      </c>
      <c r="D87" s="939">
        <v>0.1</v>
      </c>
      <c r="E87" s="939">
        <v>9.8000000000000004E-2</v>
      </c>
      <c r="F87" s="951"/>
    </row>
    <row r="88" spans="1:6" ht="14.5" thickBot="1">
      <c r="A88" s="759" t="s">
        <v>522</v>
      </c>
      <c r="B88" s="753" t="s">
        <v>313</v>
      </c>
      <c r="C88" s="939">
        <v>9.1999999999999998E-2</v>
      </c>
      <c r="D88" s="939">
        <v>8.5000000000000006E-2</v>
      </c>
      <c r="E88" s="939">
        <v>9.6000000000000002E-2</v>
      </c>
      <c r="F88" s="951"/>
    </row>
    <row r="89" spans="1:6" ht="14.5" thickBot="1">
      <c r="A89" s="759" t="s">
        <v>522</v>
      </c>
      <c r="B89" s="753" t="s">
        <v>324</v>
      </c>
      <c r="C89" s="939">
        <v>0.1</v>
      </c>
      <c r="D89" s="939">
        <v>0.1</v>
      </c>
      <c r="E89" s="939">
        <v>9.7000000000000003E-2</v>
      </c>
      <c r="F89" s="951"/>
    </row>
    <row r="90" spans="1:6" ht="14.5" thickBot="1">
      <c r="A90" s="759" t="s">
        <v>522</v>
      </c>
      <c r="B90" s="753" t="s">
        <v>335</v>
      </c>
      <c r="C90" s="939">
        <v>9.8000000000000004E-2</v>
      </c>
      <c r="D90" s="939">
        <v>9.8000000000000004E-2</v>
      </c>
      <c r="E90" s="939">
        <v>8.7999999999999995E-2</v>
      </c>
      <c r="F90" s="951"/>
    </row>
    <row r="91" spans="1:6" ht="14.5" thickBot="1">
      <c r="A91" s="759" t="s">
        <v>522</v>
      </c>
      <c r="B91" s="753" t="s">
        <v>345</v>
      </c>
      <c r="C91" s="939">
        <v>9.9000000000000005E-2</v>
      </c>
      <c r="D91" s="939">
        <v>9.9000000000000005E-2</v>
      </c>
      <c r="E91" s="939">
        <v>9.0999999999999998E-2</v>
      </c>
      <c r="F91" s="951"/>
    </row>
    <row r="92" spans="1:6" ht="14.5" thickBot="1">
      <c r="A92" s="759" t="s">
        <v>522</v>
      </c>
      <c r="B92" s="753" t="s">
        <v>355</v>
      </c>
      <c r="C92" s="939">
        <v>9.6000000000000002E-2</v>
      </c>
      <c r="D92" s="939">
        <v>9.6000000000000002E-2</v>
      </c>
      <c r="E92" s="939">
        <v>7.2999999999999995E-2</v>
      </c>
      <c r="F92" s="951"/>
    </row>
    <row r="93" spans="1:6" ht="14.5" thickBot="1">
      <c r="A93" s="759" t="s">
        <v>522</v>
      </c>
      <c r="B93" s="753" t="s">
        <v>365</v>
      </c>
      <c r="C93" s="939">
        <v>9.6000000000000002E-2</v>
      </c>
      <c r="D93" s="939">
        <v>9.6000000000000002E-2</v>
      </c>
      <c r="E93" s="939">
        <v>9.9000000000000005E-2</v>
      </c>
      <c r="F93" s="951"/>
    </row>
    <row r="94" spans="1:6" ht="14.5" thickBot="1">
      <c r="A94" s="759" t="s">
        <v>522</v>
      </c>
      <c r="B94" s="753" t="s">
        <v>375</v>
      </c>
      <c r="C94" s="939">
        <v>7.5999999999999998E-2</v>
      </c>
      <c r="D94" s="939">
        <v>7.3999999999999996E-2</v>
      </c>
      <c r="E94" s="939">
        <v>9.7000000000000003E-2</v>
      </c>
      <c r="F94" s="951"/>
    </row>
    <row r="95" spans="1:6" ht="14.5" thickBot="1">
      <c r="A95" s="759" t="s">
        <v>522</v>
      </c>
      <c r="B95" s="753" t="s">
        <v>384</v>
      </c>
      <c r="C95" s="939">
        <v>9.9000000000000005E-2</v>
      </c>
      <c r="D95" s="939">
        <v>9.4E-2</v>
      </c>
      <c r="E95" s="939">
        <v>9.6000000000000002E-2</v>
      </c>
      <c r="F95" s="951"/>
    </row>
    <row r="96" spans="1:6" ht="14.5" thickBot="1">
      <c r="A96" s="759" t="s">
        <v>522</v>
      </c>
      <c r="B96" s="753" t="s">
        <v>393</v>
      </c>
      <c r="C96" s="939">
        <v>9.9000000000000005E-2</v>
      </c>
      <c r="D96" s="939">
        <v>9.9000000000000005E-2</v>
      </c>
      <c r="E96" s="939">
        <v>9.9000000000000005E-2</v>
      </c>
      <c r="F96" s="951"/>
    </row>
    <row r="97" spans="1:6" ht="14.5" thickBot="1">
      <c r="A97" s="759" t="s">
        <v>522</v>
      </c>
      <c r="B97" s="753" t="s">
        <v>401</v>
      </c>
      <c r="C97" s="939">
        <v>9.8000000000000004E-2</v>
      </c>
      <c r="D97" s="939">
        <v>9.8000000000000004E-2</v>
      </c>
      <c r="E97" s="939">
        <v>9.7000000000000003E-2</v>
      </c>
      <c r="F97" s="951"/>
    </row>
    <row r="98" spans="1:6" ht="14.5" thickBot="1">
      <c r="A98" s="759" t="s">
        <v>522</v>
      </c>
      <c r="B98" s="753" t="s">
        <v>408</v>
      </c>
      <c r="C98" s="939">
        <v>0.1</v>
      </c>
      <c r="D98" s="939">
        <v>0.1</v>
      </c>
      <c r="E98" s="939">
        <v>9.7000000000000003E-2</v>
      </c>
      <c r="F98" s="951"/>
    </row>
    <row r="99" spans="1:6" ht="14.5" thickBot="1">
      <c r="A99" s="759" t="s">
        <v>522</v>
      </c>
      <c r="B99" s="753" t="s">
        <v>415</v>
      </c>
      <c r="C99" s="939">
        <v>0.1</v>
      </c>
      <c r="D99" s="939">
        <v>0.1</v>
      </c>
      <c r="E99" s="952"/>
      <c r="F99" s="951"/>
    </row>
    <row r="100" spans="1:6" ht="14.5" thickBot="1">
      <c r="A100" s="759" t="s">
        <v>522</v>
      </c>
      <c r="B100" s="753" t="s">
        <v>422</v>
      </c>
      <c r="C100" s="939">
        <v>0.09</v>
      </c>
      <c r="D100" s="939">
        <v>8.8999999999999996E-2</v>
      </c>
      <c r="E100" s="952"/>
      <c r="F100" s="951"/>
    </row>
    <row r="101" spans="1:6" ht="14.5" thickBot="1">
      <c r="A101" s="759" t="s">
        <v>522</v>
      </c>
      <c r="B101" s="753" t="s">
        <v>429</v>
      </c>
      <c r="C101" s="939">
        <v>9.8000000000000004E-2</v>
      </c>
      <c r="D101" s="939">
        <v>9.7000000000000003E-2</v>
      </c>
      <c r="E101" s="952"/>
      <c r="F101" s="951"/>
    </row>
    <row r="102" spans="1:6" ht="26.5" thickBot="1">
      <c r="A102" s="759" t="s">
        <v>522</v>
      </c>
      <c r="B102" s="753" t="s">
        <v>677</v>
      </c>
      <c r="C102" s="952"/>
      <c r="D102" s="952"/>
      <c r="E102" s="952"/>
      <c r="F102" s="940">
        <v>0.05</v>
      </c>
    </row>
    <row r="103" spans="1:6" ht="26.5" thickBot="1">
      <c r="A103" s="759" t="s">
        <v>522</v>
      </c>
      <c r="B103" s="753" t="s">
        <v>678</v>
      </c>
      <c r="C103" s="952"/>
      <c r="D103" s="952"/>
      <c r="E103" s="952"/>
      <c r="F103" s="940">
        <v>0.05</v>
      </c>
    </row>
    <row r="104" spans="1:6" ht="14.5" thickBot="1">
      <c r="A104" s="759" t="s">
        <v>522</v>
      </c>
      <c r="B104" s="753" t="s">
        <v>679</v>
      </c>
      <c r="C104" s="952"/>
      <c r="D104" s="952"/>
      <c r="E104" s="952"/>
      <c r="F104" s="940">
        <v>0.05</v>
      </c>
    </row>
    <row r="105" spans="1:6" ht="26.5" thickBot="1">
      <c r="A105" s="759" t="s">
        <v>522</v>
      </c>
      <c r="B105" s="753" t="s">
        <v>680</v>
      </c>
      <c r="C105" s="952"/>
      <c r="D105" s="952"/>
      <c r="E105" s="952"/>
      <c r="F105" s="940">
        <v>0.05</v>
      </c>
    </row>
    <row r="106" spans="1:6" ht="26.5" thickBot="1">
      <c r="A106" s="759" t="s">
        <v>522</v>
      </c>
      <c r="B106" s="753" t="s">
        <v>681</v>
      </c>
      <c r="C106" s="952"/>
      <c r="D106" s="952"/>
      <c r="E106" s="952"/>
      <c r="F106" s="940">
        <v>0.05</v>
      </c>
    </row>
    <row r="107" spans="1:6" ht="26.5" thickBot="1">
      <c r="A107" s="759" t="s">
        <v>522</v>
      </c>
      <c r="B107" s="753" t="s">
        <v>682</v>
      </c>
      <c r="C107" s="952"/>
      <c r="D107" s="952"/>
      <c r="E107" s="952"/>
      <c r="F107" s="940">
        <v>0.05</v>
      </c>
    </row>
    <row r="108" spans="1:6" ht="26.5" thickBot="1">
      <c r="A108" s="759" t="s">
        <v>522</v>
      </c>
      <c r="B108" s="753" t="s">
        <v>683</v>
      </c>
      <c r="C108" s="952"/>
      <c r="D108" s="952"/>
      <c r="E108" s="952"/>
      <c r="F108" s="940">
        <v>0.05</v>
      </c>
    </row>
    <row r="109" spans="1:6" ht="26.5" thickBot="1">
      <c r="A109" s="769" t="s">
        <v>522</v>
      </c>
      <c r="B109" s="765" t="s">
        <v>684</v>
      </c>
      <c r="C109" s="949"/>
      <c r="D109" s="949"/>
      <c r="E109" s="949"/>
      <c r="F109" s="942">
        <v>0.05</v>
      </c>
    </row>
    <row r="110" spans="1:6" ht="14.5" thickBot="1">
      <c r="A110" s="759" t="s">
        <v>56</v>
      </c>
      <c r="B110" s="760" t="s">
        <v>685</v>
      </c>
      <c r="C110" s="937">
        <v>0.129</v>
      </c>
      <c r="D110" s="937">
        <v>0.129</v>
      </c>
      <c r="E110" s="937">
        <v>0.126</v>
      </c>
      <c r="F110" s="938">
        <v>0.13</v>
      </c>
    </row>
    <row r="111" spans="1:6" ht="14.5" thickBot="1">
      <c r="A111" s="759" t="s">
        <v>56</v>
      </c>
      <c r="B111" s="753" t="s">
        <v>191</v>
      </c>
      <c r="C111" s="939">
        <v>0.11</v>
      </c>
      <c r="D111" s="939">
        <v>0.11</v>
      </c>
      <c r="E111" s="939">
        <v>9.9000000000000005E-2</v>
      </c>
      <c r="F111" s="940">
        <v>0.128</v>
      </c>
    </row>
    <row r="112" spans="1:6" ht="14.5" thickBot="1">
      <c r="A112" s="759" t="s">
        <v>56</v>
      </c>
      <c r="B112" s="753" t="s">
        <v>204</v>
      </c>
      <c r="C112" s="939">
        <v>0.125</v>
      </c>
      <c r="D112" s="939">
        <v>0.125</v>
      </c>
      <c r="E112" s="939">
        <v>0.12</v>
      </c>
      <c r="F112" s="940">
        <v>0.125</v>
      </c>
    </row>
    <row r="113" spans="1:6" ht="14.5" thickBot="1">
      <c r="A113" s="759" t="s">
        <v>56</v>
      </c>
      <c r="B113" s="753" t="s">
        <v>217</v>
      </c>
      <c r="C113" s="939">
        <v>0.13</v>
      </c>
      <c r="D113" s="939">
        <v>0.13</v>
      </c>
      <c r="E113" s="939">
        <v>0.13</v>
      </c>
      <c r="F113" s="940">
        <v>0.13</v>
      </c>
    </row>
    <row r="114" spans="1:6" ht="14.5" thickBot="1">
      <c r="A114" s="759" t="s">
        <v>56</v>
      </c>
      <c r="B114" s="753" t="s">
        <v>229</v>
      </c>
      <c r="C114" s="939">
        <v>0.123</v>
      </c>
      <c r="D114" s="939">
        <v>0.123</v>
      </c>
      <c r="E114" s="939">
        <v>0.12</v>
      </c>
      <c r="F114" s="940">
        <v>0.13</v>
      </c>
    </row>
    <row r="115" spans="1:6" ht="14.5" thickBot="1">
      <c r="A115" s="759" t="s">
        <v>56</v>
      </c>
      <c r="B115" s="753" t="s">
        <v>240</v>
      </c>
      <c r="C115" s="939">
        <v>0.125</v>
      </c>
      <c r="D115" s="939">
        <v>0.125</v>
      </c>
      <c r="E115" s="939">
        <v>0.11700000000000001</v>
      </c>
      <c r="F115" s="940">
        <v>0.13</v>
      </c>
    </row>
    <row r="116" spans="1:6" ht="14.5" thickBot="1">
      <c r="A116" s="759" t="s">
        <v>56</v>
      </c>
      <c r="B116" s="753" t="s">
        <v>251</v>
      </c>
      <c r="C116" s="939">
        <v>0.11700000000000001</v>
      </c>
      <c r="D116" s="939">
        <v>0.11700000000000001</v>
      </c>
      <c r="E116" s="939">
        <v>8.7999999999999995E-2</v>
      </c>
      <c r="F116" s="940">
        <v>0.13</v>
      </c>
    </row>
    <row r="117" spans="1:6" ht="14.5" thickBot="1">
      <c r="A117" s="759" t="s">
        <v>56</v>
      </c>
      <c r="B117" s="753" t="s">
        <v>262</v>
      </c>
      <c r="C117" s="939">
        <v>0.13</v>
      </c>
      <c r="D117" s="939">
        <v>0.13</v>
      </c>
      <c r="E117" s="939">
        <v>0.129</v>
      </c>
      <c r="F117" s="940">
        <v>0.13</v>
      </c>
    </row>
    <row r="118" spans="1:6" ht="14.5" thickBot="1">
      <c r="A118" s="759" t="s">
        <v>56</v>
      </c>
      <c r="B118" s="753" t="s">
        <v>274</v>
      </c>
      <c r="C118" s="939">
        <v>0.123</v>
      </c>
      <c r="D118" s="939">
        <v>0.123</v>
      </c>
      <c r="E118" s="939">
        <v>0.11600000000000001</v>
      </c>
      <c r="F118" s="940">
        <v>0.13</v>
      </c>
    </row>
    <row r="119" spans="1:6" ht="14.5" thickBot="1">
      <c r="A119" s="759" t="s">
        <v>56</v>
      </c>
      <c r="B119" s="753" t="s">
        <v>284</v>
      </c>
      <c r="C119" s="939">
        <v>0.127</v>
      </c>
      <c r="D119" s="939">
        <v>0.127</v>
      </c>
      <c r="E119" s="939">
        <v>0.124</v>
      </c>
      <c r="F119" s="940">
        <v>0.13</v>
      </c>
    </row>
    <row r="120" spans="1:6" ht="14.5" thickBot="1">
      <c r="A120" s="759" t="s">
        <v>56</v>
      </c>
      <c r="B120" s="753" t="s">
        <v>294</v>
      </c>
      <c r="C120" s="939">
        <v>0.125</v>
      </c>
      <c r="D120" s="939">
        <v>0.125</v>
      </c>
      <c r="E120" s="939">
        <v>0.122</v>
      </c>
      <c r="F120" s="940">
        <v>0.13</v>
      </c>
    </row>
    <row r="121" spans="1:6" ht="14.5" thickBot="1">
      <c r="A121" s="759" t="s">
        <v>56</v>
      </c>
      <c r="B121" s="753" t="s">
        <v>304</v>
      </c>
      <c r="C121" s="939">
        <v>0.13</v>
      </c>
      <c r="D121" s="939">
        <v>0.13</v>
      </c>
      <c r="E121" s="939">
        <v>0.13</v>
      </c>
      <c r="F121" s="940">
        <v>0.13</v>
      </c>
    </row>
    <row r="122" spans="1:6" ht="14.5" thickBot="1">
      <c r="A122" s="759" t="s">
        <v>56</v>
      </c>
      <c r="B122" s="753" t="s">
        <v>314</v>
      </c>
      <c r="C122" s="939">
        <v>0.13</v>
      </c>
      <c r="D122" s="939">
        <v>0.13</v>
      </c>
      <c r="E122" s="939">
        <v>0.125</v>
      </c>
      <c r="F122" s="940">
        <v>0.13</v>
      </c>
    </row>
    <row r="123" spans="1:6" ht="14.5" thickBot="1">
      <c r="A123" s="759" t="s">
        <v>56</v>
      </c>
      <c r="B123" s="753" t="s">
        <v>325</v>
      </c>
      <c r="C123" s="939">
        <v>0.129</v>
      </c>
      <c r="D123" s="939">
        <v>0.129</v>
      </c>
      <c r="E123" s="939">
        <v>0.123</v>
      </c>
      <c r="F123" s="940">
        <v>0.13</v>
      </c>
    </row>
    <row r="124" spans="1:6" ht="14.5" thickBot="1">
      <c r="A124" s="759" t="s">
        <v>56</v>
      </c>
      <c r="B124" s="753" t="s">
        <v>336</v>
      </c>
      <c r="C124" s="939">
        <v>0.10199999999999999</v>
      </c>
      <c r="D124" s="939">
        <v>0.10100000000000001</v>
      </c>
      <c r="E124" s="939">
        <v>0.08</v>
      </c>
      <c r="F124" s="951"/>
    </row>
    <row r="125" spans="1:6" ht="14.5" thickBot="1">
      <c r="A125" s="759" t="s">
        <v>56</v>
      </c>
      <c r="B125" s="753" t="s">
        <v>346</v>
      </c>
      <c r="C125" s="939">
        <v>0.13</v>
      </c>
      <c r="D125" s="939">
        <v>0.13</v>
      </c>
      <c r="E125" s="939">
        <v>0.129</v>
      </c>
      <c r="F125" s="951"/>
    </row>
    <row r="126" spans="1:6" ht="14.5" thickBot="1">
      <c r="A126" s="759" t="s">
        <v>56</v>
      </c>
      <c r="B126" s="753" t="s">
        <v>356</v>
      </c>
      <c r="C126" s="939">
        <v>0.13</v>
      </c>
      <c r="D126" s="939">
        <v>0.13</v>
      </c>
      <c r="E126" s="939">
        <v>0.126</v>
      </c>
      <c r="F126" s="951"/>
    </row>
    <row r="127" spans="1:6" ht="14.5" thickBot="1">
      <c r="A127" s="759" t="s">
        <v>56</v>
      </c>
      <c r="B127" s="753" t="s">
        <v>366</v>
      </c>
      <c r="C127" s="939">
        <v>0.125</v>
      </c>
      <c r="D127" s="939">
        <v>0.125</v>
      </c>
      <c r="E127" s="939">
        <v>0.121</v>
      </c>
      <c r="F127" s="951"/>
    </row>
    <row r="128" spans="1:6" ht="14.5" thickBot="1">
      <c r="A128" s="759" t="s">
        <v>56</v>
      </c>
      <c r="B128" s="753" t="s">
        <v>376</v>
      </c>
      <c r="C128" s="939">
        <v>0.12</v>
      </c>
      <c r="D128" s="939">
        <v>0.12</v>
      </c>
      <c r="E128" s="939">
        <v>0.105</v>
      </c>
      <c r="F128" s="951"/>
    </row>
    <row r="129" spans="1:6" ht="14.5" thickBot="1">
      <c r="A129" s="759" t="s">
        <v>56</v>
      </c>
      <c r="B129" s="753" t="s">
        <v>385</v>
      </c>
      <c r="C129" s="939">
        <v>0.13</v>
      </c>
      <c r="D129" s="939">
        <v>0.13</v>
      </c>
      <c r="E129" s="939">
        <v>0.126</v>
      </c>
      <c r="F129" s="951"/>
    </row>
    <row r="130" spans="1:6" ht="14.5" thickBot="1">
      <c r="A130" s="759" t="s">
        <v>56</v>
      </c>
      <c r="B130" s="753" t="s">
        <v>394</v>
      </c>
      <c r="C130" s="939">
        <v>0.125</v>
      </c>
      <c r="D130" s="939">
        <v>0.125</v>
      </c>
      <c r="E130" s="939">
        <v>0.122</v>
      </c>
      <c r="F130" s="951"/>
    </row>
    <row r="131" spans="1:6" ht="14.5" thickBot="1">
      <c r="A131" s="759" t="s">
        <v>56</v>
      </c>
      <c r="B131" s="753" t="s">
        <v>402</v>
      </c>
      <c r="C131" s="939">
        <v>0.127</v>
      </c>
      <c r="D131" s="939">
        <v>0.126</v>
      </c>
      <c r="E131" s="939">
        <v>0.123</v>
      </c>
      <c r="F131" s="951"/>
    </row>
    <row r="132" spans="1:6" ht="14.5" thickBot="1">
      <c r="A132" s="759" t="s">
        <v>56</v>
      </c>
      <c r="B132" s="753" t="s">
        <v>409</v>
      </c>
      <c r="C132" s="939">
        <v>9.0999999999999998E-2</v>
      </c>
      <c r="D132" s="939">
        <v>0.121</v>
      </c>
      <c r="E132" s="939">
        <v>9.9000000000000005E-2</v>
      </c>
      <c r="F132" s="951"/>
    </row>
    <row r="133" spans="1:6" ht="14.5" thickBot="1">
      <c r="A133" s="759" t="s">
        <v>56</v>
      </c>
      <c r="B133" s="753" t="s">
        <v>416</v>
      </c>
      <c r="C133" s="939">
        <v>0.13</v>
      </c>
      <c r="D133" s="939">
        <v>0.13</v>
      </c>
      <c r="E133" s="939">
        <v>0.129</v>
      </c>
      <c r="F133" s="951"/>
    </row>
    <row r="134" spans="1:6" ht="14.5" thickBot="1">
      <c r="A134" s="759" t="s">
        <v>56</v>
      </c>
      <c r="B134" s="753" t="s">
        <v>686</v>
      </c>
      <c r="C134" s="939">
        <v>6.8000000000000005E-2</v>
      </c>
      <c r="D134" s="939">
        <v>6.5000000000000002E-2</v>
      </c>
      <c r="E134" s="939">
        <v>6.5000000000000002E-2</v>
      </c>
      <c r="F134" s="940">
        <v>0.13</v>
      </c>
    </row>
    <row r="135" spans="1:6" ht="14.5" thickBot="1">
      <c r="A135" s="759" t="s">
        <v>56</v>
      </c>
      <c r="B135" s="753" t="s">
        <v>430</v>
      </c>
      <c r="C135" s="939">
        <v>0.123</v>
      </c>
      <c r="D135" s="939">
        <v>0.123</v>
      </c>
      <c r="E135" s="939">
        <v>0.11</v>
      </c>
      <c r="F135" s="951"/>
    </row>
    <row r="136" spans="1:6" ht="14.5" thickBot="1">
      <c r="A136" s="759" t="s">
        <v>56</v>
      </c>
      <c r="B136" s="753" t="s">
        <v>437</v>
      </c>
      <c r="C136" s="939">
        <v>0.13</v>
      </c>
      <c r="D136" s="939">
        <v>0.13</v>
      </c>
      <c r="E136" s="939">
        <v>0.125</v>
      </c>
      <c r="F136" s="951"/>
    </row>
    <row r="137" spans="1:6" ht="14.5" thickBot="1">
      <c r="A137" s="759" t="s">
        <v>56</v>
      </c>
      <c r="B137" s="753" t="s">
        <v>444</v>
      </c>
      <c r="C137" s="939">
        <v>0.121</v>
      </c>
      <c r="D137" s="939">
        <v>0.122</v>
      </c>
      <c r="E137" s="939">
        <v>0.115</v>
      </c>
      <c r="F137" s="951"/>
    </row>
    <row r="138" spans="1:6" ht="14.5" thickBot="1">
      <c r="A138" s="759" t="s">
        <v>56</v>
      </c>
      <c r="B138" s="753" t="s">
        <v>687</v>
      </c>
      <c r="C138" s="939">
        <v>0.105</v>
      </c>
      <c r="D138" s="939">
        <v>0.125</v>
      </c>
      <c r="E138" s="939">
        <v>0.112</v>
      </c>
      <c r="F138" s="951"/>
    </row>
    <row r="139" spans="1:6" ht="14.5" thickBot="1">
      <c r="A139" s="759" t="s">
        <v>56</v>
      </c>
      <c r="B139" s="753" t="s">
        <v>688</v>
      </c>
      <c r="C139" s="939">
        <v>0.127</v>
      </c>
      <c r="D139" s="939">
        <v>0.127</v>
      </c>
      <c r="E139" s="939">
        <v>0.122</v>
      </c>
      <c r="F139" s="940">
        <v>0.13</v>
      </c>
    </row>
    <row r="140" spans="1:6" ht="14.5" thickBot="1">
      <c r="A140" s="759" t="s">
        <v>56</v>
      </c>
      <c r="B140" s="753" t="s">
        <v>689</v>
      </c>
      <c r="C140" s="939">
        <v>0.125</v>
      </c>
      <c r="D140" s="939">
        <v>0.125</v>
      </c>
      <c r="E140" s="939">
        <v>0.11899999999999999</v>
      </c>
      <c r="F140" s="940">
        <v>0.13</v>
      </c>
    </row>
    <row r="141" spans="1:6" ht="14.5" thickBot="1">
      <c r="A141" s="759" t="s">
        <v>56</v>
      </c>
      <c r="B141" s="753" t="s">
        <v>463</v>
      </c>
      <c r="C141" s="939">
        <v>0.125</v>
      </c>
      <c r="D141" s="939">
        <v>0.125</v>
      </c>
      <c r="E141" s="939">
        <v>0.11700000000000001</v>
      </c>
      <c r="F141" s="951"/>
    </row>
    <row r="142" spans="1:6" ht="14.5" thickBot="1">
      <c r="A142" s="759" t="s">
        <v>56</v>
      </c>
      <c r="B142" s="753" t="s">
        <v>468</v>
      </c>
      <c r="C142" s="939">
        <v>0.125</v>
      </c>
      <c r="D142" s="939">
        <v>0.125</v>
      </c>
      <c r="E142" s="939">
        <v>0.115</v>
      </c>
      <c r="F142" s="951"/>
    </row>
    <row r="143" spans="1:6" ht="14.5" thickBot="1">
      <c r="A143" s="759" t="s">
        <v>56</v>
      </c>
      <c r="B143" s="753" t="s">
        <v>473</v>
      </c>
      <c r="C143" s="939">
        <v>0.121</v>
      </c>
      <c r="D143" s="939">
        <v>0.121</v>
      </c>
      <c r="E143" s="939">
        <v>0.108</v>
      </c>
      <c r="F143" s="951"/>
    </row>
    <row r="144" spans="1:6" ht="14.5" thickBot="1">
      <c r="A144" s="759" t="s">
        <v>56</v>
      </c>
      <c r="B144" s="943" t="s">
        <v>690</v>
      </c>
      <c r="C144" s="944">
        <v>0.126</v>
      </c>
      <c r="D144" s="944">
        <v>0.126</v>
      </c>
      <c r="E144" s="944">
        <v>0.121</v>
      </c>
      <c r="F144" s="951"/>
    </row>
    <row r="145" spans="1:6" ht="14.5" thickBot="1">
      <c r="A145" s="769" t="s">
        <v>56</v>
      </c>
      <c r="B145" s="945" t="s">
        <v>691</v>
      </c>
      <c r="C145" s="953"/>
      <c r="D145" s="953"/>
      <c r="E145" s="953"/>
      <c r="F145" s="946">
        <v>0.05</v>
      </c>
    </row>
    <row r="146" spans="1:6" ht="26.5" thickBot="1">
      <c r="A146" s="947" t="s">
        <v>56</v>
      </c>
      <c r="B146" s="763" t="s">
        <v>692</v>
      </c>
      <c r="C146" s="952"/>
      <c r="D146" s="952"/>
      <c r="E146" s="952"/>
      <c r="F146" s="948">
        <v>0.05</v>
      </c>
    </row>
    <row r="147" spans="1:6" ht="26.5" thickBot="1">
      <c r="A147" s="759" t="s">
        <v>56</v>
      </c>
      <c r="B147" s="753" t="s">
        <v>693</v>
      </c>
      <c r="C147" s="952"/>
      <c r="D147" s="952"/>
      <c r="E147" s="952"/>
      <c r="F147" s="940">
        <v>0.05</v>
      </c>
    </row>
    <row r="148" spans="1:6" ht="26.5" thickBot="1">
      <c r="A148" s="759" t="s">
        <v>56</v>
      </c>
      <c r="B148" s="753" t="s">
        <v>694</v>
      </c>
      <c r="C148" s="952"/>
      <c r="D148" s="952"/>
      <c r="E148" s="952"/>
      <c r="F148" s="940">
        <v>0.05</v>
      </c>
    </row>
    <row r="149" spans="1:6" ht="26.5" thickBot="1">
      <c r="A149" s="759" t="s">
        <v>56</v>
      </c>
      <c r="B149" s="753" t="s">
        <v>695</v>
      </c>
      <c r="C149" s="952"/>
      <c r="D149" s="952"/>
      <c r="E149" s="952"/>
      <c r="F149" s="940">
        <v>0.05</v>
      </c>
    </row>
    <row r="150" spans="1:6" ht="26.5" thickBot="1">
      <c r="A150" s="759" t="s">
        <v>56</v>
      </c>
      <c r="B150" s="753" t="s">
        <v>696</v>
      </c>
      <c r="C150" s="952"/>
      <c r="D150" s="952"/>
      <c r="E150" s="952"/>
      <c r="F150" s="940">
        <v>0.05</v>
      </c>
    </row>
    <row r="151" spans="1:6" ht="26.5" thickBot="1">
      <c r="A151" s="759" t="s">
        <v>56</v>
      </c>
      <c r="B151" s="753" t="s">
        <v>697</v>
      </c>
      <c r="C151" s="952"/>
      <c r="D151" s="952"/>
      <c r="E151" s="952"/>
      <c r="F151" s="940">
        <v>0.05</v>
      </c>
    </row>
    <row r="152" spans="1:6" ht="26.5" thickBot="1">
      <c r="A152" s="759" t="s">
        <v>56</v>
      </c>
      <c r="B152" s="753" t="s">
        <v>506</v>
      </c>
      <c r="C152" s="952"/>
      <c r="D152" s="952"/>
      <c r="E152" s="952"/>
      <c r="F152" s="940">
        <v>0.05</v>
      </c>
    </row>
    <row r="153" spans="1:6" ht="14.5" thickBot="1">
      <c r="A153" s="759" t="s">
        <v>56</v>
      </c>
      <c r="B153" s="753" t="s">
        <v>698</v>
      </c>
      <c r="C153" s="952"/>
      <c r="D153" s="952"/>
      <c r="E153" s="952"/>
      <c r="F153" s="940">
        <v>0.05</v>
      </c>
    </row>
    <row r="154" spans="1:6" ht="14.5" thickBot="1">
      <c r="A154" s="759" t="s">
        <v>56</v>
      </c>
      <c r="B154" s="753" t="s">
        <v>699</v>
      </c>
      <c r="C154" s="952"/>
      <c r="D154" s="952"/>
      <c r="E154" s="952"/>
      <c r="F154" s="940">
        <v>0.05</v>
      </c>
    </row>
    <row r="155" spans="1:6" ht="26.5" thickBot="1">
      <c r="A155" s="759" t="s">
        <v>56</v>
      </c>
      <c r="B155" s="753" t="s">
        <v>700</v>
      </c>
      <c r="C155" s="952"/>
      <c r="D155" s="952"/>
      <c r="E155" s="952"/>
      <c r="F155" s="940">
        <v>0.05</v>
      </c>
    </row>
    <row r="156" spans="1:6" ht="26.5" thickBot="1">
      <c r="A156" s="759" t="s">
        <v>56</v>
      </c>
      <c r="B156" s="753" t="s">
        <v>701</v>
      </c>
      <c r="C156" s="952"/>
      <c r="D156" s="952"/>
      <c r="E156" s="952"/>
      <c r="F156" s="940">
        <v>0.05</v>
      </c>
    </row>
    <row r="157" spans="1:6" ht="14.5" thickBot="1">
      <c r="A157" s="769" t="s">
        <v>56</v>
      </c>
      <c r="B157" s="765" t="s">
        <v>702</v>
      </c>
      <c r="C157" s="949"/>
      <c r="D157" s="949"/>
      <c r="E157" s="949"/>
      <c r="F157" s="942">
        <v>0.05</v>
      </c>
    </row>
    <row r="158" spans="1:6" ht="14.5" thickBot="1">
      <c r="A158" s="759" t="s">
        <v>525</v>
      </c>
      <c r="B158" s="760" t="s">
        <v>703</v>
      </c>
      <c r="C158" s="937">
        <v>0.13</v>
      </c>
      <c r="D158" s="937">
        <v>0.13</v>
      </c>
      <c r="E158" s="937">
        <v>0.13</v>
      </c>
      <c r="F158" s="938">
        <v>0.13</v>
      </c>
    </row>
    <row r="159" spans="1:6" ht="14.5" thickBot="1">
      <c r="A159" s="759" t="s">
        <v>525</v>
      </c>
      <c r="B159" s="753" t="s">
        <v>192</v>
      </c>
      <c r="C159" s="939">
        <v>0.13</v>
      </c>
      <c r="D159" s="939">
        <v>0.13</v>
      </c>
      <c r="E159" s="939">
        <v>0.13</v>
      </c>
      <c r="F159" s="940">
        <v>0.13</v>
      </c>
    </row>
    <row r="160" spans="1:6" ht="14.5" thickBot="1">
      <c r="A160" s="759" t="s">
        <v>525</v>
      </c>
      <c r="B160" s="753" t="s">
        <v>205</v>
      </c>
      <c r="C160" s="939">
        <v>0.13</v>
      </c>
      <c r="D160" s="939">
        <v>0.13</v>
      </c>
      <c r="E160" s="939">
        <v>0.129</v>
      </c>
      <c r="F160" s="940">
        <v>0.13</v>
      </c>
    </row>
    <row r="161" spans="1:6" ht="14.5" thickBot="1">
      <c r="A161" s="759" t="s">
        <v>525</v>
      </c>
      <c r="B161" s="753" t="s">
        <v>218</v>
      </c>
      <c r="C161" s="939">
        <v>0.128</v>
      </c>
      <c r="D161" s="939">
        <v>0.128</v>
      </c>
      <c r="E161" s="939">
        <v>0.125</v>
      </c>
      <c r="F161" s="940">
        <v>0.13</v>
      </c>
    </row>
    <row r="162" spans="1:6" ht="14.5" thickBot="1">
      <c r="A162" s="759" t="s">
        <v>525</v>
      </c>
      <c r="B162" s="753" t="s">
        <v>230</v>
      </c>
      <c r="C162" s="939">
        <v>0.122</v>
      </c>
      <c r="D162" s="939">
        <v>0.122</v>
      </c>
      <c r="E162" s="939">
        <v>0.126</v>
      </c>
      <c r="F162" s="940">
        <v>0.122</v>
      </c>
    </row>
    <row r="163" spans="1:6" ht="14.5" thickBot="1">
      <c r="A163" s="759" t="s">
        <v>525</v>
      </c>
      <c r="B163" s="753" t="s">
        <v>241</v>
      </c>
      <c r="C163" s="939">
        <v>0.13</v>
      </c>
      <c r="D163" s="939">
        <v>0.13</v>
      </c>
      <c r="E163" s="939">
        <v>0.125</v>
      </c>
      <c r="F163" s="940">
        <v>0.13</v>
      </c>
    </row>
    <row r="164" spans="1:6" ht="14.5" thickBot="1">
      <c r="A164" s="759" t="s">
        <v>525</v>
      </c>
      <c r="B164" s="753" t="s">
        <v>252</v>
      </c>
      <c r="C164" s="939">
        <v>0.13</v>
      </c>
      <c r="D164" s="939">
        <v>0.13</v>
      </c>
      <c r="E164" s="939">
        <v>0.13</v>
      </c>
      <c r="F164" s="940">
        <v>0.13</v>
      </c>
    </row>
    <row r="165" spans="1:6" ht="14.5" thickBot="1">
      <c r="A165" s="759" t="s">
        <v>525</v>
      </c>
      <c r="B165" s="753" t="s">
        <v>263</v>
      </c>
      <c r="C165" s="939">
        <v>0.13</v>
      </c>
      <c r="D165" s="939">
        <v>0.13</v>
      </c>
      <c r="E165" s="939">
        <v>0.124</v>
      </c>
      <c r="F165" s="940">
        <v>0.13</v>
      </c>
    </row>
    <row r="166" spans="1:6" ht="14.5" thickBot="1">
      <c r="A166" s="759" t="s">
        <v>525</v>
      </c>
      <c r="B166" s="753" t="s">
        <v>275</v>
      </c>
      <c r="C166" s="939">
        <v>0.13</v>
      </c>
      <c r="D166" s="939">
        <v>0.13</v>
      </c>
      <c r="E166" s="939">
        <v>0.13</v>
      </c>
      <c r="F166" s="940">
        <v>0.13</v>
      </c>
    </row>
    <row r="167" spans="1:6" ht="14.5" thickBot="1">
      <c r="A167" s="759" t="s">
        <v>525</v>
      </c>
      <c r="B167" s="753" t="s">
        <v>285</v>
      </c>
      <c r="C167" s="939">
        <v>0.125</v>
      </c>
      <c r="D167" s="939">
        <v>0.125</v>
      </c>
      <c r="E167" s="939">
        <v>0.121</v>
      </c>
      <c r="F167" s="951"/>
    </row>
    <row r="168" spans="1:6" ht="14.5" thickBot="1">
      <c r="A168" s="759" t="s">
        <v>525</v>
      </c>
      <c r="B168" s="753" t="s">
        <v>295</v>
      </c>
      <c r="C168" s="939">
        <v>0.13</v>
      </c>
      <c r="D168" s="939">
        <v>0.13</v>
      </c>
      <c r="E168" s="939">
        <v>0.126</v>
      </c>
      <c r="F168" s="951"/>
    </row>
    <row r="169" spans="1:6" ht="14.5" thickBot="1">
      <c r="A169" s="759" t="s">
        <v>525</v>
      </c>
      <c r="B169" s="753" t="s">
        <v>305</v>
      </c>
      <c r="C169" s="939">
        <v>0.128</v>
      </c>
      <c r="D169" s="939">
        <v>0.129</v>
      </c>
      <c r="E169" s="939">
        <v>0.13</v>
      </c>
      <c r="F169" s="951"/>
    </row>
    <row r="170" spans="1:6" ht="14.5" thickBot="1">
      <c r="A170" s="759" t="s">
        <v>525</v>
      </c>
      <c r="B170" s="753" t="s">
        <v>315</v>
      </c>
      <c r="C170" s="939">
        <v>0.14099999999999999</v>
      </c>
      <c r="D170" s="939">
        <v>0.13</v>
      </c>
      <c r="E170" s="939">
        <v>0.125</v>
      </c>
      <c r="F170" s="951"/>
    </row>
    <row r="171" spans="1:6" ht="14.5" thickBot="1">
      <c r="A171" s="759" t="s">
        <v>525</v>
      </c>
      <c r="B171" s="753" t="s">
        <v>704</v>
      </c>
      <c r="C171" s="939">
        <v>0.127</v>
      </c>
      <c r="D171" s="939">
        <v>0.126</v>
      </c>
      <c r="E171" s="939">
        <v>0.126</v>
      </c>
      <c r="F171" s="940">
        <v>0.11799999999999999</v>
      </c>
    </row>
    <row r="172" spans="1:6" ht="14.5" thickBot="1">
      <c r="A172" s="759" t="s">
        <v>525</v>
      </c>
      <c r="B172" s="753" t="s">
        <v>705</v>
      </c>
      <c r="C172" s="939">
        <v>0.13</v>
      </c>
      <c r="D172" s="939">
        <v>0.13</v>
      </c>
      <c r="E172" s="939">
        <v>0.13</v>
      </c>
      <c r="F172" s="951"/>
    </row>
    <row r="173" spans="1:6" ht="14.5" thickBot="1">
      <c r="A173" s="759" t="s">
        <v>525</v>
      </c>
      <c r="B173" s="753" t="s">
        <v>347</v>
      </c>
      <c r="C173" s="939">
        <v>0.13</v>
      </c>
      <c r="D173" s="939">
        <v>0.13</v>
      </c>
      <c r="E173" s="939">
        <v>0.13</v>
      </c>
      <c r="F173" s="951"/>
    </row>
    <row r="174" spans="1:6" ht="14.5" thickBot="1">
      <c r="A174" s="759" t="s">
        <v>525</v>
      </c>
      <c r="B174" s="753" t="s">
        <v>706</v>
      </c>
      <c r="C174" s="939">
        <v>0.13</v>
      </c>
      <c r="D174" s="939">
        <v>0.13</v>
      </c>
      <c r="E174" s="939">
        <v>0.13</v>
      </c>
      <c r="F174" s="940">
        <v>0.13</v>
      </c>
    </row>
    <row r="175" spans="1:6" ht="14.5" thickBot="1">
      <c r="A175" s="759" t="s">
        <v>525</v>
      </c>
      <c r="B175" s="753" t="s">
        <v>707</v>
      </c>
      <c r="C175" s="939">
        <v>0.13</v>
      </c>
      <c r="D175" s="939">
        <v>0.13</v>
      </c>
      <c r="E175" s="939">
        <v>0.13</v>
      </c>
      <c r="F175" s="940">
        <v>0.13</v>
      </c>
    </row>
    <row r="176" spans="1:6" ht="14.5" thickBot="1">
      <c r="A176" s="759" t="s">
        <v>525</v>
      </c>
      <c r="B176" s="753" t="s">
        <v>377</v>
      </c>
      <c r="C176" s="939">
        <v>0.13</v>
      </c>
      <c r="D176" s="939">
        <v>0.13</v>
      </c>
      <c r="E176" s="939">
        <v>0.13</v>
      </c>
      <c r="F176" s="940">
        <v>0.13</v>
      </c>
    </row>
    <row r="177" spans="1:6" ht="14.5" thickBot="1">
      <c r="A177" s="759" t="s">
        <v>525</v>
      </c>
      <c r="B177" s="753" t="s">
        <v>708</v>
      </c>
      <c r="C177" s="939">
        <v>0.13</v>
      </c>
      <c r="D177" s="939">
        <v>0.13</v>
      </c>
      <c r="E177" s="939">
        <v>0.13</v>
      </c>
      <c r="F177" s="940">
        <v>0.13</v>
      </c>
    </row>
    <row r="178" spans="1:6" ht="14.5" thickBot="1">
      <c r="A178" s="759" t="s">
        <v>525</v>
      </c>
      <c r="B178" s="753" t="s">
        <v>395</v>
      </c>
      <c r="C178" s="939">
        <v>0.13</v>
      </c>
      <c r="D178" s="939">
        <v>0.13</v>
      </c>
      <c r="E178" s="939">
        <v>0.13</v>
      </c>
      <c r="F178" s="940">
        <v>0.127</v>
      </c>
    </row>
    <row r="179" spans="1:6" ht="14.5" thickBot="1">
      <c r="A179" s="759" t="s">
        <v>525</v>
      </c>
      <c r="B179" s="753" t="s">
        <v>403</v>
      </c>
      <c r="C179" s="939">
        <v>0.13</v>
      </c>
      <c r="D179" s="939">
        <v>0.13</v>
      </c>
      <c r="E179" s="939">
        <v>0.13</v>
      </c>
      <c r="F179" s="951"/>
    </row>
    <row r="180" spans="1:6" ht="14.5" thickBot="1">
      <c r="A180" s="759" t="s">
        <v>525</v>
      </c>
      <c r="B180" s="753" t="s">
        <v>709</v>
      </c>
      <c r="C180" s="939">
        <v>0.13</v>
      </c>
      <c r="D180" s="939">
        <v>0.13</v>
      </c>
      <c r="E180" s="939">
        <v>0.125</v>
      </c>
      <c r="F180" s="940">
        <v>0.13</v>
      </c>
    </row>
    <row r="181" spans="1:6" ht="14.5" thickBot="1">
      <c r="A181" s="759" t="s">
        <v>525</v>
      </c>
      <c r="B181" s="753" t="s">
        <v>417</v>
      </c>
      <c r="C181" s="939">
        <v>0.122</v>
      </c>
      <c r="D181" s="939">
        <v>0.123</v>
      </c>
      <c r="E181" s="939">
        <v>0.126</v>
      </c>
      <c r="F181" s="940">
        <v>0.121</v>
      </c>
    </row>
    <row r="182" spans="1:6" ht="14.5" thickBot="1">
      <c r="A182" s="759" t="s">
        <v>525</v>
      </c>
      <c r="B182" s="753" t="s">
        <v>424</v>
      </c>
      <c r="C182" s="939">
        <v>0.125</v>
      </c>
      <c r="D182" s="939">
        <v>0.125</v>
      </c>
      <c r="E182" s="939">
        <v>0.11700000000000001</v>
      </c>
      <c r="F182" s="940">
        <v>0.13</v>
      </c>
    </row>
    <row r="183" spans="1:6" ht="14.5" thickBot="1">
      <c r="A183" s="759" t="s">
        <v>525</v>
      </c>
      <c r="B183" s="753" t="s">
        <v>431</v>
      </c>
      <c r="C183" s="939">
        <v>0.127</v>
      </c>
      <c r="D183" s="939">
        <v>0.127</v>
      </c>
      <c r="E183" s="939">
        <v>0.128</v>
      </c>
      <c r="F183" s="951"/>
    </row>
    <row r="184" spans="1:6" ht="14.5" thickBot="1">
      <c r="A184" s="759" t="s">
        <v>525</v>
      </c>
      <c r="B184" s="753" t="s">
        <v>438</v>
      </c>
      <c r="C184" s="939">
        <v>0.125</v>
      </c>
      <c r="D184" s="939">
        <v>0.125</v>
      </c>
      <c r="E184" s="939">
        <v>0.127</v>
      </c>
      <c r="F184" s="951"/>
    </row>
    <row r="185" spans="1:6" ht="14.5" thickBot="1">
      <c r="A185" s="759" t="s">
        <v>525</v>
      </c>
      <c r="B185" s="753" t="s">
        <v>710</v>
      </c>
      <c r="C185" s="939">
        <v>0.127</v>
      </c>
      <c r="D185" s="939">
        <v>0.127</v>
      </c>
      <c r="E185" s="939">
        <v>0.128</v>
      </c>
      <c r="F185" s="940">
        <v>0.13</v>
      </c>
    </row>
    <row r="186" spans="1:6" ht="26.5" thickBot="1">
      <c r="A186" s="759" t="s">
        <v>525</v>
      </c>
      <c r="B186" s="753" t="s">
        <v>711</v>
      </c>
      <c r="C186" s="952"/>
      <c r="D186" s="952"/>
      <c r="E186" s="952"/>
      <c r="F186" s="940">
        <v>0.05</v>
      </c>
    </row>
    <row r="187" spans="1:6" ht="14.5" thickBot="1">
      <c r="A187" s="759" t="s">
        <v>525</v>
      </c>
      <c r="B187" s="753" t="s">
        <v>712</v>
      </c>
      <c r="C187" s="952"/>
      <c r="D187" s="952"/>
      <c r="E187" s="952"/>
      <c r="F187" s="940">
        <v>0.05</v>
      </c>
    </row>
    <row r="188" spans="1:6" ht="26.5" thickBot="1">
      <c r="A188" s="759" t="s">
        <v>525</v>
      </c>
      <c r="B188" s="753" t="s">
        <v>713</v>
      </c>
      <c r="C188" s="952"/>
      <c r="D188" s="952"/>
      <c r="E188" s="952"/>
      <c r="F188" s="940">
        <v>0.05</v>
      </c>
    </row>
    <row r="189" spans="1:6" ht="26.5" thickBot="1">
      <c r="A189" s="759" t="s">
        <v>525</v>
      </c>
      <c r="B189" s="753" t="s">
        <v>714</v>
      </c>
      <c r="C189" s="952"/>
      <c r="D189" s="952"/>
      <c r="E189" s="952"/>
      <c r="F189" s="940">
        <v>0.05</v>
      </c>
    </row>
    <row r="190" spans="1:6" ht="26.5" thickBot="1">
      <c r="A190" s="759" t="s">
        <v>525</v>
      </c>
      <c r="B190" s="753" t="s">
        <v>715</v>
      </c>
      <c r="C190" s="952"/>
      <c r="D190" s="952"/>
      <c r="E190" s="952"/>
      <c r="F190" s="940">
        <v>0.05</v>
      </c>
    </row>
    <row r="191" spans="1:6" ht="26.5" thickBot="1">
      <c r="A191" s="759" t="s">
        <v>525</v>
      </c>
      <c r="B191" s="753" t="s">
        <v>716</v>
      </c>
      <c r="C191" s="952"/>
      <c r="D191" s="952"/>
      <c r="E191" s="952"/>
      <c r="F191" s="940">
        <v>0.05</v>
      </c>
    </row>
    <row r="192" spans="1:6" ht="26.5" thickBot="1">
      <c r="A192" s="759" t="s">
        <v>525</v>
      </c>
      <c r="B192" s="753" t="s">
        <v>717</v>
      </c>
      <c r="C192" s="952"/>
      <c r="D192" s="952"/>
      <c r="E192" s="952"/>
      <c r="F192" s="940">
        <v>0.05</v>
      </c>
    </row>
    <row r="193" spans="1:6" ht="26.5" thickBot="1">
      <c r="A193" s="759" t="s">
        <v>525</v>
      </c>
      <c r="B193" s="753" t="s">
        <v>718</v>
      </c>
      <c r="C193" s="952"/>
      <c r="D193" s="952"/>
      <c r="E193" s="952"/>
      <c r="F193" s="940">
        <v>0.05</v>
      </c>
    </row>
    <row r="194" spans="1:6" ht="26.5" thickBot="1">
      <c r="A194" s="759" t="s">
        <v>525</v>
      </c>
      <c r="B194" s="753" t="s">
        <v>719</v>
      </c>
      <c r="C194" s="952"/>
      <c r="D194" s="952"/>
      <c r="E194" s="952"/>
      <c r="F194" s="940">
        <v>0.05</v>
      </c>
    </row>
    <row r="195" spans="1:6" ht="14.5" thickBot="1">
      <c r="A195" s="759" t="s">
        <v>525</v>
      </c>
      <c r="B195" s="753" t="s">
        <v>720</v>
      </c>
      <c r="C195" s="952"/>
      <c r="D195" s="952"/>
      <c r="E195" s="952"/>
      <c r="F195" s="940">
        <v>0.05</v>
      </c>
    </row>
    <row r="196" spans="1:6" ht="26.5" thickBot="1">
      <c r="A196" s="759" t="s">
        <v>525</v>
      </c>
      <c r="B196" s="753" t="s">
        <v>721</v>
      </c>
      <c r="C196" s="952"/>
      <c r="D196" s="952"/>
      <c r="E196" s="952"/>
      <c r="F196" s="940">
        <v>0.05</v>
      </c>
    </row>
    <row r="197" spans="1:6" ht="26.5" thickBot="1">
      <c r="A197" s="759" t="s">
        <v>525</v>
      </c>
      <c r="B197" s="753" t="s">
        <v>722</v>
      </c>
      <c r="C197" s="952"/>
      <c r="D197" s="952"/>
      <c r="E197" s="952"/>
      <c r="F197" s="940">
        <v>0.05</v>
      </c>
    </row>
    <row r="198" spans="1:6" ht="26.5" thickBot="1">
      <c r="A198" s="759" t="s">
        <v>525</v>
      </c>
      <c r="B198" s="753" t="s">
        <v>723</v>
      </c>
      <c r="C198" s="952"/>
      <c r="D198" s="952"/>
      <c r="E198" s="952"/>
      <c r="F198" s="940">
        <v>0.05</v>
      </c>
    </row>
    <row r="199" spans="1:6" ht="26.5" thickBot="1">
      <c r="A199" s="759" t="s">
        <v>525</v>
      </c>
      <c r="B199" s="753" t="s">
        <v>724</v>
      </c>
      <c r="C199" s="952"/>
      <c r="D199" s="952"/>
      <c r="E199" s="952"/>
      <c r="F199" s="940">
        <v>0.05</v>
      </c>
    </row>
    <row r="200" spans="1:6" ht="26.5" thickBot="1">
      <c r="A200" s="759" t="s">
        <v>525</v>
      </c>
      <c r="B200" s="753" t="s">
        <v>725</v>
      </c>
      <c r="C200" s="952"/>
      <c r="D200" s="952"/>
      <c r="E200" s="952"/>
      <c r="F200" s="940">
        <v>0.05</v>
      </c>
    </row>
    <row r="201" spans="1:6" ht="26.5" thickBot="1">
      <c r="A201" s="759" t="s">
        <v>525</v>
      </c>
      <c r="B201" s="753" t="s">
        <v>726</v>
      </c>
      <c r="C201" s="952"/>
      <c r="D201" s="952"/>
      <c r="E201" s="952"/>
      <c r="F201" s="940">
        <v>0.05</v>
      </c>
    </row>
    <row r="202" spans="1:6" ht="26.5" thickBot="1">
      <c r="A202" s="759" t="s">
        <v>525</v>
      </c>
      <c r="B202" s="753" t="s">
        <v>727</v>
      </c>
      <c r="C202" s="952"/>
      <c r="D202" s="952"/>
      <c r="E202" s="952"/>
      <c r="F202" s="940">
        <v>0.05</v>
      </c>
    </row>
    <row r="203" spans="1:6" ht="26.5" thickBot="1">
      <c r="A203" s="759" t="s">
        <v>525</v>
      </c>
      <c r="B203" s="753" t="s">
        <v>728</v>
      </c>
      <c r="C203" s="952"/>
      <c r="D203" s="952"/>
      <c r="E203" s="952"/>
      <c r="F203" s="940">
        <v>0.05</v>
      </c>
    </row>
    <row r="204" spans="1:6" ht="14.5" thickBot="1">
      <c r="A204" s="759" t="s">
        <v>525</v>
      </c>
      <c r="B204" s="753" t="s">
        <v>729</v>
      </c>
      <c r="C204" s="952"/>
      <c r="D204" s="952"/>
      <c r="E204" s="952"/>
      <c r="F204" s="940">
        <v>0.05</v>
      </c>
    </row>
    <row r="205" spans="1:6" ht="14.5" thickBot="1">
      <c r="A205" s="769" t="s">
        <v>525</v>
      </c>
      <c r="B205" s="765" t="s">
        <v>730</v>
      </c>
      <c r="C205" s="949"/>
      <c r="D205" s="949"/>
      <c r="E205" s="949"/>
      <c r="F205" s="942">
        <v>0.05</v>
      </c>
    </row>
    <row r="206" spans="1:6" ht="14.5" thickBot="1">
      <c r="A206" s="759" t="s">
        <v>527</v>
      </c>
      <c r="B206" s="760" t="s">
        <v>731</v>
      </c>
      <c r="C206" s="937">
        <v>0.15</v>
      </c>
      <c r="D206" s="937">
        <v>0.15</v>
      </c>
      <c r="E206" s="937">
        <v>0.15</v>
      </c>
      <c r="F206" s="938">
        <v>0.15</v>
      </c>
    </row>
    <row r="207" spans="1:6" ht="14.5" thickBot="1">
      <c r="A207" s="759" t="s">
        <v>527</v>
      </c>
      <c r="B207" s="753" t="s">
        <v>193</v>
      </c>
      <c r="C207" s="939">
        <v>0.15</v>
      </c>
      <c r="D207" s="939">
        <v>0.15</v>
      </c>
      <c r="E207" s="939">
        <v>0.15</v>
      </c>
      <c r="F207" s="940">
        <v>0.14399999999999999</v>
      </c>
    </row>
    <row r="208" spans="1:6" ht="14.5" thickBot="1">
      <c r="A208" s="759" t="s">
        <v>527</v>
      </c>
      <c r="B208" s="753" t="s">
        <v>206</v>
      </c>
      <c r="C208" s="939">
        <v>0.15</v>
      </c>
      <c r="D208" s="939">
        <v>0.15</v>
      </c>
      <c r="E208" s="939">
        <v>0.15</v>
      </c>
      <c r="F208" s="940">
        <v>0.15</v>
      </c>
    </row>
    <row r="209" spans="1:6" ht="14.5" thickBot="1">
      <c r="A209" s="759" t="s">
        <v>527</v>
      </c>
      <c r="B209" s="753" t="s">
        <v>219</v>
      </c>
      <c r="C209" s="939">
        <v>0.13700000000000001</v>
      </c>
      <c r="D209" s="939">
        <v>0.13700000000000001</v>
      </c>
      <c r="E209" s="939">
        <v>0.14000000000000001</v>
      </c>
      <c r="F209" s="940">
        <v>0.11700000000000001</v>
      </c>
    </row>
    <row r="210" spans="1:6" ht="14.5" thickBot="1">
      <c r="A210" s="759" t="s">
        <v>527</v>
      </c>
      <c r="B210" s="753" t="s">
        <v>732</v>
      </c>
      <c r="C210" s="939">
        <v>0.15</v>
      </c>
      <c r="D210" s="939">
        <v>0.15</v>
      </c>
      <c r="E210" s="939">
        <v>0.15</v>
      </c>
      <c r="F210" s="940">
        <v>0.13800000000000001</v>
      </c>
    </row>
    <row r="211" spans="1:6" ht="14.5" thickBot="1">
      <c r="A211" s="759" t="s">
        <v>527</v>
      </c>
      <c r="B211" s="753" t="s">
        <v>733</v>
      </c>
      <c r="C211" s="939">
        <v>0.13700000000000001</v>
      </c>
      <c r="D211" s="939">
        <v>0.13500000000000001</v>
      </c>
      <c r="E211" s="939">
        <v>0.13600000000000001</v>
      </c>
      <c r="F211" s="940">
        <v>0.1</v>
      </c>
    </row>
    <row r="212" spans="1:6" ht="14.5" thickBot="1">
      <c r="A212" s="759" t="s">
        <v>527</v>
      </c>
      <c r="B212" s="753" t="s">
        <v>734</v>
      </c>
      <c r="C212" s="939">
        <v>0.15</v>
      </c>
      <c r="D212" s="939">
        <v>0.15</v>
      </c>
      <c r="E212" s="939">
        <v>0.14799999999999999</v>
      </c>
      <c r="F212" s="940">
        <v>0.13600000000000001</v>
      </c>
    </row>
    <row r="213" spans="1:6" ht="14.5" thickBot="1">
      <c r="A213" s="759" t="s">
        <v>527</v>
      </c>
      <c r="B213" s="753" t="s">
        <v>264</v>
      </c>
      <c r="C213" s="939">
        <v>0.15</v>
      </c>
      <c r="D213" s="939">
        <v>0.15</v>
      </c>
      <c r="E213" s="939">
        <v>0.15</v>
      </c>
      <c r="F213" s="940">
        <v>0.13800000000000001</v>
      </c>
    </row>
    <row r="214" spans="1:6" ht="14.5" thickBot="1">
      <c r="A214" s="759" t="s">
        <v>527</v>
      </c>
      <c r="B214" s="753" t="s">
        <v>276</v>
      </c>
      <c r="C214" s="939">
        <v>9.0999999999999998E-2</v>
      </c>
      <c r="D214" s="939">
        <v>0.09</v>
      </c>
      <c r="E214" s="939">
        <v>9.1999999999999998E-2</v>
      </c>
      <c r="F214" s="951"/>
    </row>
    <row r="215" spans="1:6" ht="14.5" thickBot="1">
      <c r="A215" s="759" t="s">
        <v>527</v>
      </c>
      <c r="B215" s="753" t="s">
        <v>735</v>
      </c>
      <c r="C215" s="939">
        <v>0.15</v>
      </c>
      <c r="D215" s="939">
        <v>0.15</v>
      </c>
      <c r="E215" s="939">
        <v>0.15</v>
      </c>
      <c r="F215" s="940">
        <v>0.15</v>
      </c>
    </row>
    <row r="216" spans="1:6" ht="14.5" thickBot="1">
      <c r="A216" s="759" t="s">
        <v>527</v>
      </c>
      <c r="B216" s="753" t="s">
        <v>296</v>
      </c>
      <c r="C216" s="939">
        <v>0.14699999999999999</v>
      </c>
      <c r="D216" s="939">
        <v>0.14699999999999999</v>
      </c>
      <c r="E216" s="939">
        <v>0.15</v>
      </c>
      <c r="F216" s="940">
        <v>0.14000000000000001</v>
      </c>
    </row>
    <row r="217" spans="1:6" ht="14.5" thickBot="1">
      <c r="A217" s="759" t="s">
        <v>527</v>
      </c>
      <c r="B217" s="753" t="s">
        <v>306</v>
      </c>
      <c r="C217" s="939">
        <v>0.15</v>
      </c>
      <c r="D217" s="939">
        <v>0.15</v>
      </c>
      <c r="E217" s="939">
        <v>0.15</v>
      </c>
      <c r="F217" s="940">
        <v>0.15</v>
      </c>
    </row>
    <row r="218" spans="1:6" ht="14.5" thickBot="1">
      <c r="A218" s="759" t="s">
        <v>527</v>
      </c>
      <c r="B218" s="753" t="s">
        <v>736</v>
      </c>
      <c r="C218" s="939">
        <v>0.15</v>
      </c>
      <c r="D218" s="939">
        <v>0.15</v>
      </c>
      <c r="E218" s="939">
        <v>0.15</v>
      </c>
      <c r="F218" s="940">
        <v>0.15</v>
      </c>
    </row>
    <row r="219" spans="1:6" ht="14.5" thickBot="1">
      <c r="A219" s="759" t="s">
        <v>527</v>
      </c>
      <c r="B219" s="753" t="s">
        <v>327</v>
      </c>
      <c r="C219" s="939">
        <v>0.15</v>
      </c>
      <c r="D219" s="939">
        <v>0.15</v>
      </c>
      <c r="E219" s="939">
        <v>0.15</v>
      </c>
      <c r="F219" s="940">
        <v>0.14799999999999999</v>
      </c>
    </row>
    <row r="220" spans="1:6" ht="14.5" thickBot="1">
      <c r="A220" s="759" t="s">
        <v>527</v>
      </c>
      <c r="B220" s="753" t="s">
        <v>737</v>
      </c>
      <c r="C220" s="939">
        <v>0.15</v>
      </c>
      <c r="D220" s="939">
        <v>0.15</v>
      </c>
      <c r="E220" s="939">
        <v>0.15</v>
      </c>
      <c r="F220" s="940">
        <v>0.15</v>
      </c>
    </row>
    <row r="221" spans="1:6" ht="14.5" thickBot="1">
      <c r="A221" s="759" t="s">
        <v>527</v>
      </c>
      <c r="B221" s="753" t="s">
        <v>348</v>
      </c>
      <c r="C221" s="939"/>
      <c r="D221" s="952"/>
      <c r="E221" s="952"/>
      <c r="F221" s="940">
        <v>0.14799999999999999</v>
      </c>
    </row>
    <row r="222" spans="1:6" ht="14.5" thickBot="1">
      <c r="A222" s="759" t="s">
        <v>527</v>
      </c>
      <c r="B222" s="753" t="s">
        <v>358</v>
      </c>
      <c r="C222" s="939"/>
      <c r="D222" s="952"/>
      <c r="E222" s="952"/>
      <c r="F222" s="940">
        <v>0.1</v>
      </c>
    </row>
    <row r="223" spans="1:6" ht="14.5" thickBot="1">
      <c r="A223" s="759" t="s">
        <v>527</v>
      </c>
      <c r="B223" s="753" t="s">
        <v>368</v>
      </c>
      <c r="C223" s="939"/>
      <c r="D223" s="952"/>
      <c r="E223" s="952"/>
      <c r="F223" s="940">
        <v>0.15</v>
      </c>
    </row>
    <row r="224" spans="1:6" ht="14.5" thickBot="1">
      <c r="A224" s="759" t="s">
        <v>527</v>
      </c>
      <c r="B224" s="753" t="s">
        <v>378</v>
      </c>
      <c r="C224" s="939"/>
      <c r="D224" s="952"/>
      <c r="E224" s="952"/>
      <c r="F224" s="940">
        <v>0.15</v>
      </c>
    </row>
    <row r="225" spans="1:6" ht="14.5" thickBot="1">
      <c r="A225" s="759" t="s">
        <v>527</v>
      </c>
      <c r="B225" s="753" t="s">
        <v>738</v>
      </c>
      <c r="C225" s="939">
        <v>0.15</v>
      </c>
      <c r="D225" s="939">
        <v>0.15</v>
      </c>
      <c r="E225" s="939">
        <v>0.15</v>
      </c>
      <c r="F225" s="940">
        <v>0.15</v>
      </c>
    </row>
    <row r="226" spans="1:6" ht="14.5" thickBot="1">
      <c r="A226" s="759" t="s">
        <v>527</v>
      </c>
      <c r="B226" s="753" t="s">
        <v>396</v>
      </c>
      <c r="C226" s="939">
        <v>0.15</v>
      </c>
      <c r="D226" s="939">
        <v>0.15</v>
      </c>
      <c r="E226" s="939">
        <v>0.15</v>
      </c>
      <c r="F226" s="940">
        <v>0.14799999999999999</v>
      </c>
    </row>
    <row r="227" spans="1:6" ht="14.5" thickBot="1">
      <c r="A227" s="759" t="s">
        <v>527</v>
      </c>
      <c r="B227" s="753" t="s">
        <v>739</v>
      </c>
      <c r="C227" s="939">
        <v>0.15</v>
      </c>
      <c r="D227" s="939">
        <v>0.15</v>
      </c>
      <c r="E227" s="939">
        <v>0.15</v>
      </c>
      <c r="F227" s="940">
        <v>0.15</v>
      </c>
    </row>
    <row r="228" spans="1:6" ht="14.5" thickBot="1">
      <c r="A228" s="759" t="s">
        <v>527</v>
      </c>
      <c r="B228" s="753" t="s">
        <v>411</v>
      </c>
      <c r="C228" s="939">
        <v>0.15</v>
      </c>
      <c r="D228" s="939">
        <v>0.15</v>
      </c>
      <c r="E228" s="939">
        <v>0.15</v>
      </c>
      <c r="F228" s="940">
        <v>0.15</v>
      </c>
    </row>
    <row r="229" spans="1:6" ht="14.5" thickBot="1">
      <c r="A229" s="759" t="s">
        <v>527</v>
      </c>
      <c r="B229" s="753" t="s">
        <v>418</v>
      </c>
      <c r="C229" s="939">
        <v>0.15</v>
      </c>
      <c r="D229" s="939">
        <v>0.15</v>
      </c>
      <c r="E229" s="939">
        <v>0.15</v>
      </c>
      <c r="F229" s="951"/>
    </row>
    <row r="230" spans="1:6" ht="14.5" thickBot="1">
      <c r="A230" s="759" t="s">
        <v>527</v>
      </c>
      <c r="B230" s="753" t="s">
        <v>425</v>
      </c>
      <c r="C230" s="939">
        <v>0.14499999999999999</v>
      </c>
      <c r="D230" s="939">
        <v>0.14499999999999999</v>
      </c>
      <c r="E230" s="939">
        <v>0.14399999999999999</v>
      </c>
      <c r="F230" s="951"/>
    </row>
    <row r="231" spans="1:6" ht="14.5" thickBot="1">
      <c r="A231" s="759" t="s">
        <v>527</v>
      </c>
      <c r="B231" s="753" t="s">
        <v>740</v>
      </c>
      <c r="C231" s="939">
        <v>0.128</v>
      </c>
      <c r="D231" s="939">
        <v>0.125</v>
      </c>
      <c r="E231" s="939">
        <v>0.13200000000000001</v>
      </c>
      <c r="F231" s="951"/>
    </row>
    <row r="232" spans="1:6" ht="14.5" thickBot="1">
      <c r="A232" s="759" t="s">
        <v>527</v>
      </c>
      <c r="B232" s="753" t="s">
        <v>741</v>
      </c>
      <c r="C232" s="939">
        <v>0.14499999999999999</v>
      </c>
      <c r="D232" s="939">
        <v>0.14399999999999999</v>
      </c>
      <c r="E232" s="939">
        <v>0.14599999999999999</v>
      </c>
      <c r="F232" s="940">
        <v>0.13800000000000001</v>
      </c>
    </row>
    <row r="233" spans="1:6" ht="14.5" thickBot="1">
      <c r="A233" s="759" t="s">
        <v>527</v>
      </c>
      <c r="B233" s="753" t="s">
        <v>742</v>
      </c>
      <c r="C233" s="939">
        <v>0.14499999999999999</v>
      </c>
      <c r="D233" s="939">
        <v>0.14299999999999999</v>
      </c>
      <c r="E233" s="939">
        <v>0.14199999999999999</v>
      </c>
      <c r="F233" s="951"/>
    </row>
    <row r="234" spans="1:6" ht="14.5" thickBot="1">
      <c r="A234" s="759" t="s">
        <v>527</v>
      </c>
      <c r="B234" s="753" t="s">
        <v>743</v>
      </c>
      <c r="C234" s="939">
        <v>0.14000000000000001</v>
      </c>
      <c r="D234" s="939">
        <v>0.14000000000000001</v>
      </c>
      <c r="E234" s="939">
        <v>0.14399999999999999</v>
      </c>
      <c r="F234" s="951"/>
    </row>
    <row r="235" spans="1:6" ht="14.5" thickBot="1">
      <c r="A235" s="759" t="s">
        <v>527</v>
      </c>
      <c r="B235" s="753" t="s">
        <v>744</v>
      </c>
      <c r="C235" s="939">
        <v>0.14099999999999999</v>
      </c>
      <c r="D235" s="939">
        <v>0.14199999999999999</v>
      </c>
      <c r="E235" s="939">
        <v>0.14499999999999999</v>
      </c>
      <c r="F235" s="940">
        <v>0.15</v>
      </c>
    </row>
    <row r="236" spans="1:6" ht="14.5" thickBot="1">
      <c r="A236" s="759" t="s">
        <v>527</v>
      </c>
      <c r="B236" s="753" t="s">
        <v>460</v>
      </c>
      <c r="C236" s="952"/>
      <c r="D236" s="952"/>
      <c r="E236" s="952"/>
      <c r="F236" s="940">
        <v>0.14299999999999999</v>
      </c>
    </row>
    <row r="237" spans="1:6" ht="26.5" thickBot="1">
      <c r="A237" s="759" t="s">
        <v>527</v>
      </c>
      <c r="B237" s="753" t="s">
        <v>745</v>
      </c>
      <c r="C237" s="952"/>
      <c r="D237" s="952"/>
      <c r="E237" s="952"/>
      <c r="F237" s="940">
        <v>0.05</v>
      </c>
    </row>
    <row r="238" spans="1:6" ht="26.5" thickBot="1">
      <c r="A238" s="759" t="s">
        <v>527</v>
      </c>
      <c r="B238" s="753" t="s">
        <v>746</v>
      </c>
      <c r="C238" s="952"/>
      <c r="D238" s="952"/>
      <c r="E238" s="952"/>
      <c r="F238" s="940">
        <v>0.05</v>
      </c>
    </row>
    <row r="239" spans="1:6" ht="26.5" thickBot="1">
      <c r="A239" s="759" t="s">
        <v>527</v>
      </c>
      <c r="B239" s="753" t="s">
        <v>747</v>
      </c>
      <c r="C239" s="952"/>
      <c r="D239" s="952"/>
      <c r="E239" s="952"/>
      <c r="F239" s="940">
        <v>0.05</v>
      </c>
    </row>
    <row r="240" spans="1:6" ht="26.5" thickBot="1">
      <c r="A240" s="759" t="s">
        <v>527</v>
      </c>
      <c r="B240" s="753" t="s">
        <v>748</v>
      </c>
      <c r="C240" s="952"/>
      <c r="D240" s="952"/>
      <c r="E240" s="952"/>
      <c r="F240" s="940">
        <v>0.05</v>
      </c>
    </row>
    <row r="241" spans="1:6" ht="26.5" thickBot="1">
      <c r="A241" s="759" t="s">
        <v>527</v>
      </c>
      <c r="B241" s="753" t="s">
        <v>749</v>
      </c>
      <c r="C241" s="952"/>
      <c r="D241" s="952"/>
      <c r="E241" s="952"/>
      <c r="F241" s="940">
        <v>0.05</v>
      </c>
    </row>
    <row r="242" spans="1:6" ht="26.5" thickBot="1">
      <c r="A242" s="759" t="s">
        <v>527</v>
      </c>
      <c r="B242" s="753" t="s">
        <v>750</v>
      </c>
      <c r="C242" s="952"/>
      <c r="D242" s="952"/>
      <c r="E242" s="952"/>
      <c r="F242" s="940">
        <v>0.05</v>
      </c>
    </row>
    <row r="243" spans="1:6" ht="26.5" thickBot="1">
      <c r="A243" s="759" t="s">
        <v>527</v>
      </c>
      <c r="B243" s="753" t="s">
        <v>751</v>
      </c>
      <c r="C243" s="952"/>
      <c r="D243" s="952"/>
      <c r="E243" s="952"/>
      <c r="F243" s="940">
        <v>0.05</v>
      </c>
    </row>
    <row r="244" spans="1:6" ht="26.5" thickBot="1">
      <c r="A244" s="769" t="s">
        <v>527</v>
      </c>
      <c r="B244" s="765" t="s">
        <v>752</v>
      </c>
      <c r="C244" s="949"/>
      <c r="D244" s="949"/>
      <c r="E244" s="949"/>
      <c r="F244" s="942">
        <v>0.05</v>
      </c>
    </row>
    <row r="245" spans="1:6" ht="14.5" thickBot="1">
      <c r="A245" s="759" t="s">
        <v>529</v>
      </c>
      <c r="B245" s="760" t="s">
        <v>753</v>
      </c>
      <c r="C245" s="937">
        <v>0.15</v>
      </c>
      <c r="D245" s="937">
        <v>0.15</v>
      </c>
      <c r="E245" s="937">
        <v>0.15</v>
      </c>
      <c r="F245" s="938">
        <v>0.14299999999999999</v>
      </c>
    </row>
    <row r="246" spans="1:6" ht="14.5" thickBot="1">
      <c r="A246" s="759" t="s">
        <v>529</v>
      </c>
      <c r="B246" s="753" t="s">
        <v>194</v>
      </c>
      <c r="C246" s="939">
        <v>0.15</v>
      </c>
      <c r="D246" s="939">
        <v>0.15</v>
      </c>
      <c r="E246" s="939">
        <v>0.15</v>
      </c>
      <c r="F246" s="940">
        <v>0.114</v>
      </c>
    </row>
    <row r="247" spans="1:6" ht="14.5" thickBot="1">
      <c r="A247" s="759" t="s">
        <v>529</v>
      </c>
      <c r="B247" s="753" t="s">
        <v>754</v>
      </c>
      <c r="C247" s="939">
        <v>0.15</v>
      </c>
      <c r="D247" s="939">
        <v>0.15</v>
      </c>
      <c r="E247" s="939">
        <v>0.15</v>
      </c>
      <c r="F247" s="940">
        <v>0.15</v>
      </c>
    </row>
    <row r="248" spans="1:6" ht="14.5" thickBot="1">
      <c r="A248" s="759" t="s">
        <v>529</v>
      </c>
      <c r="B248" s="753" t="s">
        <v>755</v>
      </c>
      <c r="C248" s="939">
        <v>0.15</v>
      </c>
      <c r="D248" s="939">
        <v>0.15</v>
      </c>
      <c r="E248" s="939">
        <v>0.15</v>
      </c>
      <c r="F248" s="940">
        <v>0.14000000000000001</v>
      </c>
    </row>
    <row r="249" spans="1:6" ht="14.5" thickBot="1">
      <c r="A249" s="759" t="s">
        <v>529</v>
      </c>
      <c r="B249" s="753" t="s">
        <v>756</v>
      </c>
      <c r="C249" s="939">
        <v>0.15</v>
      </c>
      <c r="D249" s="939">
        <v>0.14899999999999999</v>
      </c>
      <c r="E249" s="939">
        <v>0.15</v>
      </c>
      <c r="F249" s="940">
        <v>0.1</v>
      </c>
    </row>
    <row r="250" spans="1:6" ht="14.5" thickBot="1">
      <c r="A250" s="759" t="s">
        <v>529</v>
      </c>
      <c r="B250" s="753" t="s">
        <v>757</v>
      </c>
      <c r="C250" s="939">
        <v>0.15</v>
      </c>
      <c r="D250" s="939">
        <v>0.15</v>
      </c>
      <c r="E250" s="939">
        <v>0.15</v>
      </c>
      <c r="F250" s="940">
        <v>0.14399999999999999</v>
      </c>
    </row>
    <row r="251" spans="1:6" ht="14.5" thickBot="1">
      <c r="A251" s="759" t="s">
        <v>529</v>
      </c>
      <c r="B251" s="753" t="s">
        <v>254</v>
      </c>
      <c r="C251" s="939">
        <v>0.15</v>
      </c>
      <c r="D251" s="939">
        <v>0.15</v>
      </c>
      <c r="E251" s="939">
        <v>0.15</v>
      </c>
      <c r="F251" s="940">
        <v>0.14299999999999999</v>
      </c>
    </row>
    <row r="252" spans="1:6" ht="14.5" thickBot="1">
      <c r="A252" s="759" t="s">
        <v>529</v>
      </c>
      <c r="B252" s="753" t="s">
        <v>265</v>
      </c>
      <c r="C252" s="939">
        <v>0.15</v>
      </c>
      <c r="D252" s="939">
        <v>0.15</v>
      </c>
      <c r="E252" s="939">
        <v>0.15</v>
      </c>
      <c r="F252" s="940">
        <v>0.1</v>
      </c>
    </row>
    <row r="253" spans="1:6" ht="14.5" thickBot="1">
      <c r="A253" s="759" t="s">
        <v>529</v>
      </c>
      <c r="B253" s="753" t="s">
        <v>277</v>
      </c>
      <c r="C253" s="939">
        <v>0.15</v>
      </c>
      <c r="D253" s="939">
        <v>0.15</v>
      </c>
      <c r="E253" s="939">
        <v>0.15</v>
      </c>
      <c r="F253" s="940">
        <v>0.1</v>
      </c>
    </row>
    <row r="254" spans="1:6" ht="14.5" thickBot="1">
      <c r="A254" s="759" t="s">
        <v>529</v>
      </c>
      <c r="B254" s="753" t="s">
        <v>287</v>
      </c>
      <c r="C254" s="952"/>
      <c r="D254" s="952"/>
      <c r="E254" s="952"/>
      <c r="F254" s="940">
        <v>0.15</v>
      </c>
    </row>
    <row r="255" spans="1:6" ht="14.5" thickBot="1">
      <c r="A255" s="759" t="s">
        <v>529</v>
      </c>
      <c r="B255" s="753" t="s">
        <v>297</v>
      </c>
      <c r="C255" s="952"/>
      <c r="D255" s="952"/>
      <c r="E255" s="952"/>
      <c r="F255" s="940">
        <v>0.14299999999999999</v>
      </c>
    </row>
    <row r="256" spans="1:6" ht="14.5" thickBot="1">
      <c r="A256" s="759" t="s">
        <v>529</v>
      </c>
      <c r="B256" s="753" t="s">
        <v>758</v>
      </c>
      <c r="C256" s="939">
        <v>0.14599999999999999</v>
      </c>
      <c r="D256" s="939">
        <v>0.14699999999999999</v>
      </c>
      <c r="E256" s="939">
        <v>0.15</v>
      </c>
      <c r="F256" s="940">
        <v>0.13200000000000001</v>
      </c>
    </row>
    <row r="257" spans="1:6" ht="14.5" thickBot="1">
      <c r="A257" s="759" t="s">
        <v>529</v>
      </c>
      <c r="B257" s="753" t="s">
        <v>317</v>
      </c>
      <c r="C257" s="939">
        <v>0.15</v>
      </c>
      <c r="D257" s="939">
        <v>0.15</v>
      </c>
      <c r="E257" s="939">
        <v>0.15</v>
      </c>
      <c r="F257" s="940">
        <v>0.13900000000000001</v>
      </c>
    </row>
    <row r="258" spans="1:6" ht="14.5" thickBot="1">
      <c r="A258" s="759" t="s">
        <v>529</v>
      </c>
      <c r="B258" s="753" t="s">
        <v>328</v>
      </c>
      <c r="C258" s="939">
        <v>0.15</v>
      </c>
      <c r="D258" s="939">
        <v>0.15</v>
      </c>
      <c r="E258" s="939">
        <v>0.15</v>
      </c>
      <c r="F258" s="940">
        <v>0.13</v>
      </c>
    </row>
    <row r="259" spans="1:6" ht="14.5" thickBot="1">
      <c r="A259" s="759" t="s">
        <v>529</v>
      </c>
      <c r="B259" s="753" t="s">
        <v>759</v>
      </c>
      <c r="C259" s="939">
        <v>0.14799999999999999</v>
      </c>
      <c r="D259" s="939">
        <v>0.14899999999999999</v>
      </c>
      <c r="E259" s="939">
        <v>0.15</v>
      </c>
      <c r="F259" s="940">
        <v>0.13700000000000001</v>
      </c>
    </row>
    <row r="260" spans="1:6" ht="14.5" thickBot="1">
      <c r="A260" s="759" t="s">
        <v>529</v>
      </c>
      <c r="B260" s="753" t="s">
        <v>349</v>
      </c>
      <c r="C260" s="939">
        <v>0.15</v>
      </c>
      <c r="D260" s="939">
        <v>0.15</v>
      </c>
      <c r="E260" s="939">
        <v>0.15</v>
      </c>
      <c r="F260" s="940">
        <v>0.14199999999999999</v>
      </c>
    </row>
    <row r="261" spans="1:6" ht="14.5" thickBot="1">
      <c r="A261" s="759" t="s">
        <v>529</v>
      </c>
      <c r="B261" s="753" t="s">
        <v>359</v>
      </c>
      <c r="C261" s="939">
        <v>0.15</v>
      </c>
      <c r="D261" s="939">
        <v>0.15</v>
      </c>
      <c r="E261" s="939">
        <v>0.14899999999999999</v>
      </c>
      <c r="F261" s="940">
        <v>0.14799999999999999</v>
      </c>
    </row>
    <row r="262" spans="1:6" ht="14.5" thickBot="1">
      <c r="A262" s="759" t="s">
        <v>529</v>
      </c>
      <c r="B262" s="753" t="s">
        <v>369</v>
      </c>
      <c r="C262" s="939">
        <v>0.15</v>
      </c>
      <c r="D262" s="939">
        <v>0.15</v>
      </c>
      <c r="E262" s="939">
        <v>0.15</v>
      </c>
      <c r="F262" s="951"/>
    </row>
    <row r="263" spans="1:6" ht="14.5" thickBot="1">
      <c r="A263" s="759" t="s">
        <v>529</v>
      </c>
      <c r="B263" s="753" t="s">
        <v>760</v>
      </c>
      <c r="C263" s="939">
        <v>0.14899999999999999</v>
      </c>
      <c r="D263" s="939">
        <v>0.14899999999999999</v>
      </c>
      <c r="E263" s="939">
        <v>0.15</v>
      </c>
      <c r="F263" s="940">
        <v>0.13</v>
      </c>
    </row>
    <row r="264" spans="1:6" ht="14.5" thickBot="1">
      <c r="A264" s="759" t="s">
        <v>529</v>
      </c>
      <c r="B264" s="753" t="s">
        <v>388</v>
      </c>
      <c r="C264" s="939">
        <v>0.14799999999999999</v>
      </c>
      <c r="D264" s="939">
        <v>0.14699999999999999</v>
      </c>
      <c r="E264" s="939">
        <v>0.15</v>
      </c>
      <c r="F264" s="940">
        <v>7.8E-2</v>
      </c>
    </row>
    <row r="265" spans="1:6" ht="14.5" thickBot="1">
      <c r="A265" s="759" t="s">
        <v>529</v>
      </c>
      <c r="B265" s="753" t="s">
        <v>397</v>
      </c>
      <c r="C265" s="939">
        <v>0.15</v>
      </c>
      <c r="D265" s="939">
        <v>0.15</v>
      </c>
      <c r="E265" s="939">
        <v>0.15</v>
      </c>
      <c r="F265" s="940">
        <v>7.3999999999999996E-2</v>
      </c>
    </row>
    <row r="266" spans="1:6" ht="14.5" thickBot="1">
      <c r="A266" s="759" t="s">
        <v>529</v>
      </c>
      <c r="B266" s="753" t="s">
        <v>405</v>
      </c>
      <c r="C266" s="939">
        <v>0.14699999999999999</v>
      </c>
      <c r="D266" s="939">
        <v>0.14699999999999999</v>
      </c>
      <c r="E266" s="939">
        <v>0.15</v>
      </c>
      <c r="F266" s="940">
        <v>0.14299999999999999</v>
      </c>
    </row>
    <row r="267" spans="1:6" ht="14.5" thickBot="1">
      <c r="A267" s="759" t="s">
        <v>529</v>
      </c>
      <c r="B267" s="753" t="s">
        <v>412</v>
      </c>
      <c r="C267" s="939">
        <v>0.14199999999999999</v>
      </c>
      <c r="D267" s="939">
        <v>0.14299999999999999</v>
      </c>
      <c r="E267" s="939">
        <v>0.15</v>
      </c>
      <c r="F267" s="951"/>
    </row>
    <row r="268" spans="1:6" ht="14.5" thickBot="1">
      <c r="A268" s="759" t="s">
        <v>529</v>
      </c>
      <c r="B268" s="753" t="s">
        <v>761</v>
      </c>
      <c r="C268" s="939">
        <v>0.15</v>
      </c>
      <c r="D268" s="939">
        <v>0.15</v>
      </c>
      <c r="E268" s="939">
        <v>0.15</v>
      </c>
      <c r="F268" s="940">
        <v>0.13</v>
      </c>
    </row>
    <row r="269" spans="1:6" ht="14.5" thickBot="1">
      <c r="A269" s="759" t="s">
        <v>529</v>
      </c>
      <c r="B269" s="753" t="s">
        <v>426</v>
      </c>
      <c r="C269" s="939">
        <v>0.15</v>
      </c>
      <c r="D269" s="939">
        <v>0.15</v>
      </c>
      <c r="E269" s="939">
        <v>0.15</v>
      </c>
      <c r="F269" s="940">
        <v>0.14299999999999999</v>
      </c>
    </row>
    <row r="270" spans="1:6" ht="14.5" thickBot="1">
      <c r="A270" s="759" t="s">
        <v>529</v>
      </c>
      <c r="B270" s="753" t="s">
        <v>433</v>
      </c>
      <c r="C270" s="939">
        <v>0.14499999999999999</v>
      </c>
      <c r="D270" s="939">
        <v>0.14499999999999999</v>
      </c>
      <c r="E270" s="939">
        <v>0.15</v>
      </c>
      <c r="F270" s="940">
        <v>0.14699999999999999</v>
      </c>
    </row>
    <row r="271" spans="1:6" ht="14.5" thickBot="1">
      <c r="A271" s="759" t="s">
        <v>529</v>
      </c>
      <c r="B271" s="753" t="s">
        <v>440</v>
      </c>
      <c r="C271" s="939">
        <v>0.15</v>
      </c>
      <c r="D271" s="939">
        <v>0.15</v>
      </c>
      <c r="E271" s="939">
        <v>0.15</v>
      </c>
      <c r="F271" s="940">
        <v>0.13800000000000001</v>
      </c>
    </row>
    <row r="272" spans="1:6" ht="14.5" thickBot="1">
      <c r="A272" s="759" t="s">
        <v>529</v>
      </c>
      <c r="B272" s="753" t="s">
        <v>447</v>
      </c>
      <c r="C272" s="952"/>
      <c r="D272" s="952"/>
      <c r="E272" s="952"/>
      <c r="F272" s="940">
        <v>0.14000000000000001</v>
      </c>
    </row>
    <row r="273" spans="1:6" ht="14.5" thickBot="1">
      <c r="A273" s="759" t="s">
        <v>529</v>
      </c>
      <c r="B273" s="753" t="s">
        <v>762</v>
      </c>
      <c r="C273" s="939">
        <v>0.14199999999999999</v>
      </c>
      <c r="D273" s="939">
        <v>0.14299999999999999</v>
      </c>
      <c r="E273" s="939">
        <v>0.15</v>
      </c>
      <c r="F273" s="940">
        <v>0.1</v>
      </c>
    </row>
    <row r="274" spans="1:6" ht="14.5" thickBot="1">
      <c r="A274" s="759" t="s">
        <v>529</v>
      </c>
      <c r="B274" s="753" t="s">
        <v>763</v>
      </c>
      <c r="C274" s="939">
        <v>0.14799999999999999</v>
      </c>
      <c r="D274" s="939">
        <v>0.14799999999999999</v>
      </c>
      <c r="E274" s="939">
        <v>0.15</v>
      </c>
      <c r="F274" s="940">
        <v>6.7000000000000004E-2</v>
      </c>
    </row>
    <row r="275" spans="1:6" ht="14.5" thickBot="1">
      <c r="A275" s="759" t="s">
        <v>529</v>
      </c>
      <c r="B275" s="753" t="s">
        <v>764</v>
      </c>
      <c r="C275" s="939">
        <v>0.15</v>
      </c>
      <c r="D275" s="939">
        <v>0.15</v>
      </c>
      <c r="E275" s="939">
        <v>0.15</v>
      </c>
      <c r="F275" s="940">
        <v>0.15</v>
      </c>
    </row>
    <row r="276" spans="1:6" ht="14.5" thickBot="1">
      <c r="A276" s="759" t="s">
        <v>529</v>
      </c>
      <c r="B276" s="753" t="s">
        <v>765</v>
      </c>
      <c r="C276" s="939">
        <v>0.14499999999999999</v>
      </c>
      <c r="D276" s="939">
        <v>0.14299999999999999</v>
      </c>
      <c r="E276" s="939">
        <v>0.15</v>
      </c>
      <c r="F276" s="940">
        <v>5.8999999999999997E-2</v>
      </c>
    </row>
    <row r="277" spans="1:6" ht="14.5" thickBot="1">
      <c r="A277" s="759" t="s">
        <v>529</v>
      </c>
      <c r="B277" s="753" t="s">
        <v>766</v>
      </c>
      <c r="C277" s="939">
        <v>0.15</v>
      </c>
      <c r="D277" s="939">
        <v>0.15</v>
      </c>
      <c r="E277" s="939">
        <v>0.15</v>
      </c>
      <c r="F277" s="940">
        <v>0.121</v>
      </c>
    </row>
    <row r="278" spans="1:6" ht="14.5" thickBot="1">
      <c r="A278" s="759" t="s">
        <v>529</v>
      </c>
      <c r="B278" s="753" t="s">
        <v>767</v>
      </c>
      <c r="C278" s="939">
        <v>0.15</v>
      </c>
      <c r="D278" s="939">
        <v>0.15</v>
      </c>
      <c r="E278" s="939">
        <v>0.15</v>
      </c>
      <c r="F278" s="940">
        <v>0.13800000000000001</v>
      </c>
    </row>
    <row r="279" spans="1:6" ht="26.5" thickBot="1">
      <c r="A279" s="759" t="s">
        <v>529</v>
      </c>
      <c r="B279" s="753" t="s">
        <v>768</v>
      </c>
      <c r="C279" s="952"/>
      <c r="D279" s="952"/>
      <c r="E279" s="952"/>
      <c r="F279" s="940">
        <v>0.05</v>
      </c>
    </row>
    <row r="280" spans="1:6" ht="26.5" thickBot="1">
      <c r="A280" s="759" t="s">
        <v>529</v>
      </c>
      <c r="B280" s="753" t="s">
        <v>769</v>
      </c>
      <c r="C280" s="952"/>
      <c r="D280" s="952"/>
      <c r="E280" s="952"/>
      <c r="F280" s="940">
        <v>0.05</v>
      </c>
    </row>
    <row r="281" spans="1:6" ht="26.5" thickBot="1">
      <c r="A281" s="759" t="s">
        <v>529</v>
      </c>
      <c r="B281" s="753" t="s">
        <v>770</v>
      </c>
      <c r="C281" s="952"/>
      <c r="D281" s="952"/>
      <c r="E281" s="952"/>
      <c r="F281" s="940">
        <v>0.05</v>
      </c>
    </row>
    <row r="282" spans="1:6" ht="26.5" thickBot="1">
      <c r="A282" s="759" t="s">
        <v>529</v>
      </c>
      <c r="B282" s="753" t="s">
        <v>771</v>
      </c>
      <c r="C282" s="952"/>
      <c r="D282" s="952"/>
      <c r="E282" s="952"/>
      <c r="F282" s="940">
        <v>0.05</v>
      </c>
    </row>
    <row r="283" spans="1:6" ht="26.5" thickBot="1">
      <c r="A283" s="759" t="s">
        <v>529</v>
      </c>
      <c r="B283" s="753" t="s">
        <v>772</v>
      </c>
      <c r="C283" s="952"/>
      <c r="D283" s="952"/>
      <c r="E283" s="952"/>
      <c r="F283" s="940">
        <v>0.05</v>
      </c>
    </row>
    <row r="284" spans="1:6" ht="26.5" thickBot="1">
      <c r="A284" s="759" t="s">
        <v>529</v>
      </c>
      <c r="B284" s="753" t="s">
        <v>773</v>
      </c>
      <c r="C284" s="952"/>
      <c r="D284" s="952"/>
      <c r="E284" s="952"/>
      <c r="F284" s="940">
        <v>0.05</v>
      </c>
    </row>
    <row r="285" spans="1:6" ht="26.5" thickBot="1">
      <c r="A285" s="759" t="s">
        <v>529</v>
      </c>
      <c r="B285" s="753" t="s">
        <v>774</v>
      </c>
      <c r="C285" s="952"/>
      <c r="D285" s="952"/>
      <c r="E285" s="952"/>
      <c r="F285" s="940">
        <v>0.05</v>
      </c>
    </row>
    <row r="286" spans="1:6" ht="26.5" thickBot="1">
      <c r="A286" s="759" t="s">
        <v>529</v>
      </c>
      <c r="B286" s="753" t="s">
        <v>775</v>
      </c>
      <c r="C286" s="952"/>
      <c r="D286" s="952"/>
      <c r="E286" s="952"/>
      <c r="F286" s="940">
        <v>0.05</v>
      </c>
    </row>
    <row r="287" spans="1:6" ht="26.5" thickBot="1">
      <c r="A287" s="759" t="s">
        <v>529</v>
      </c>
      <c r="B287" s="753" t="s">
        <v>776</v>
      </c>
      <c r="C287" s="952"/>
      <c r="D287" s="952"/>
      <c r="E287" s="952"/>
      <c r="F287" s="940">
        <v>0.05</v>
      </c>
    </row>
    <row r="288" spans="1:6" ht="26.5" thickBot="1">
      <c r="A288" s="759" t="s">
        <v>529</v>
      </c>
      <c r="B288" s="753" t="s">
        <v>777</v>
      </c>
      <c r="C288" s="952"/>
      <c r="D288" s="952"/>
      <c r="E288" s="952"/>
      <c r="F288" s="940">
        <v>0.05</v>
      </c>
    </row>
    <row r="289" spans="1:6" ht="26.5" thickBot="1">
      <c r="A289" s="769" t="s">
        <v>529</v>
      </c>
      <c r="B289" s="765" t="s">
        <v>778</v>
      </c>
      <c r="C289" s="949"/>
      <c r="D289" s="949"/>
      <c r="E289" s="949"/>
      <c r="F289" s="942">
        <v>0.05</v>
      </c>
    </row>
    <row r="290" spans="1:6" ht="14.5" thickBot="1">
      <c r="A290" s="759" t="s">
        <v>533</v>
      </c>
      <c r="B290" s="760" t="s">
        <v>779</v>
      </c>
      <c r="C290" s="937">
        <v>0.15</v>
      </c>
      <c r="D290" s="937">
        <v>0.15</v>
      </c>
      <c r="E290" s="937">
        <v>0.15</v>
      </c>
      <c r="F290" s="954"/>
    </row>
    <row r="291" spans="1:6" ht="14.5" thickBot="1">
      <c r="A291" s="759" t="s">
        <v>533</v>
      </c>
      <c r="B291" s="753" t="s">
        <v>195</v>
      </c>
      <c r="C291" s="939">
        <v>0.15</v>
      </c>
      <c r="D291" s="939">
        <v>0.15</v>
      </c>
      <c r="E291" s="939">
        <v>0.15</v>
      </c>
      <c r="F291" s="951"/>
    </row>
    <row r="292" spans="1:6" ht="14.5" thickBot="1">
      <c r="A292" s="759" t="s">
        <v>533</v>
      </c>
      <c r="B292" s="753" t="s">
        <v>780</v>
      </c>
      <c r="C292" s="939">
        <v>0.15</v>
      </c>
      <c r="D292" s="939">
        <v>0.15</v>
      </c>
      <c r="E292" s="939">
        <v>0.15</v>
      </c>
      <c r="F292" s="940">
        <v>0.14699999999999999</v>
      </c>
    </row>
    <row r="293" spans="1:6" ht="14.5" thickBot="1">
      <c r="A293" s="759" t="s">
        <v>533</v>
      </c>
      <c r="B293" s="753" t="s">
        <v>781</v>
      </c>
      <c r="C293" s="952"/>
      <c r="D293" s="952"/>
      <c r="E293" s="952"/>
      <c r="F293" s="940">
        <v>0.1</v>
      </c>
    </row>
    <row r="294" spans="1:6" ht="14.5" thickBot="1">
      <c r="A294" s="759" t="s">
        <v>533</v>
      </c>
      <c r="B294" s="753" t="s">
        <v>782</v>
      </c>
      <c r="C294" s="939">
        <v>0.15</v>
      </c>
      <c r="D294" s="939">
        <v>0.15</v>
      </c>
      <c r="E294" s="939">
        <v>0.15</v>
      </c>
      <c r="F294" s="940">
        <v>0.15</v>
      </c>
    </row>
    <row r="295" spans="1:6" ht="14.5" thickBot="1">
      <c r="A295" s="759" t="s">
        <v>533</v>
      </c>
      <c r="B295" s="753" t="s">
        <v>233</v>
      </c>
      <c r="C295" s="939">
        <v>0.15</v>
      </c>
      <c r="D295" s="939">
        <v>0.15</v>
      </c>
      <c r="E295" s="939">
        <v>0.15</v>
      </c>
      <c r="F295" s="940">
        <v>0.15</v>
      </c>
    </row>
    <row r="296" spans="1:6" ht="14.5" thickBot="1">
      <c r="A296" s="759" t="s">
        <v>533</v>
      </c>
      <c r="B296" s="753" t="s">
        <v>783</v>
      </c>
      <c r="C296" s="939">
        <v>0.15</v>
      </c>
      <c r="D296" s="939">
        <v>0.15</v>
      </c>
      <c r="E296" s="939">
        <v>0.15</v>
      </c>
      <c r="F296" s="940">
        <v>0.15</v>
      </c>
    </row>
    <row r="297" spans="1:6" ht="14.5" thickBot="1">
      <c r="A297" s="759" t="s">
        <v>533</v>
      </c>
      <c r="B297" s="753" t="s">
        <v>784</v>
      </c>
      <c r="C297" s="939">
        <v>0.14799999999999999</v>
      </c>
      <c r="D297" s="939">
        <v>0.14899999999999999</v>
      </c>
      <c r="E297" s="939">
        <v>0.15</v>
      </c>
      <c r="F297" s="940">
        <v>0.13700000000000001</v>
      </c>
    </row>
    <row r="298" spans="1:6" ht="14.5" thickBot="1">
      <c r="A298" s="759" t="s">
        <v>533</v>
      </c>
      <c r="B298" s="753" t="s">
        <v>266</v>
      </c>
      <c r="C298" s="939">
        <v>0.13400000000000001</v>
      </c>
      <c r="D298" s="939">
        <v>0.13400000000000001</v>
      </c>
      <c r="E298" s="939">
        <v>0.14499999999999999</v>
      </c>
      <c r="F298" s="940">
        <v>0.14799999999999999</v>
      </c>
    </row>
    <row r="299" spans="1:6" ht="14.5" thickBot="1">
      <c r="A299" s="759" t="s">
        <v>533</v>
      </c>
      <c r="B299" s="753" t="s">
        <v>278</v>
      </c>
      <c r="C299" s="939">
        <v>0.15</v>
      </c>
      <c r="D299" s="939">
        <v>0.15</v>
      </c>
      <c r="E299" s="939">
        <v>0.15</v>
      </c>
      <c r="F299" s="951"/>
    </row>
    <row r="300" spans="1:6" ht="14.5" thickBot="1">
      <c r="A300" s="759" t="s">
        <v>533</v>
      </c>
      <c r="B300" s="753" t="s">
        <v>785</v>
      </c>
      <c r="C300" s="939">
        <v>0.15</v>
      </c>
      <c r="D300" s="939">
        <v>0.15</v>
      </c>
      <c r="E300" s="939">
        <v>0.15</v>
      </c>
      <c r="F300" s="940">
        <v>0.15</v>
      </c>
    </row>
    <row r="301" spans="1:6" ht="14.5" thickBot="1">
      <c r="A301" s="759" t="s">
        <v>533</v>
      </c>
      <c r="B301" s="753" t="s">
        <v>298</v>
      </c>
      <c r="C301" s="939">
        <v>0.15</v>
      </c>
      <c r="D301" s="939">
        <v>0.15</v>
      </c>
      <c r="E301" s="939">
        <v>0.15</v>
      </c>
      <c r="F301" s="951"/>
    </row>
    <row r="302" spans="1:6" ht="14.5" thickBot="1">
      <c r="A302" s="759" t="s">
        <v>533</v>
      </c>
      <c r="B302" s="753" t="s">
        <v>786</v>
      </c>
      <c r="C302" s="939">
        <v>0.15</v>
      </c>
      <c r="D302" s="939">
        <v>0.15</v>
      </c>
      <c r="E302" s="939">
        <v>0.15</v>
      </c>
      <c r="F302" s="940">
        <v>0.15</v>
      </c>
    </row>
    <row r="303" spans="1:6" ht="14.5" thickBot="1">
      <c r="A303" s="759" t="s">
        <v>533</v>
      </c>
      <c r="B303" s="753" t="s">
        <v>318</v>
      </c>
      <c r="C303" s="939">
        <v>0.15</v>
      </c>
      <c r="D303" s="939">
        <v>0.15</v>
      </c>
      <c r="E303" s="939">
        <v>0.15</v>
      </c>
      <c r="F303" s="940">
        <v>0.15</v>
      </c>
    </row>
    <row r="304" spans="1:6" ht="14.5" thickBot="1">
      <c r="A304" s="759" t="s">
        <v>533</v>
      </c>
      <c r="B304" s="753" t="s">
        <v>329</v>
      </c>
      <c r="C304" s="939">
        <v>0.15</v>
      </c>
      <c r="D304" s="939">
        <v>0.15</v>
      </c>
      <c r="E304" s="939">
        <v>0.15</v>
      </c>
      <c r="F304" s="951"/>
    </row>
    <row r="305" spans="1:6" ht="14.5" thickBot="1">
      <c r="A305" s="759" t="s">
        <v>533</v>
      </c>
      <c r="B305" s="753" t="s">
        <v>787</v>
      </c>
      <c r="C305" s="939">
        <v>0.15</v>
      </c>
      <c r="D305" s="939">
        <v>0.15</v>
      </c>
      <c r="E305" s="939">
        <v>0.15</v>
      </c>
      <c r="F305" s="940">
        <v>0.14000000000000001</v>
      </c>
    </row>
    <row r="306" spans="1:6" ht="14.5" thickBot="1">
      <c r="A306" s="759" t="s">
        <v>533</v>
      </c>
      <c r="B306" s="753" t="s">
        <v>350</v>
      </c>
      <c r="C306" s="939">
        <v>0.15</v>
      </c>
      <c r="D306" s="939">
        <v>0.15</v>
      </c>
      <c r="E306" s="939">
        <v>0.15</v>
      </c>
      <c r="F306" s="951"/>
    </row>
    <row r="307" spans="1:6" ht="14.5" thickBot="1">
      <c r="A307" s="759" t="s">
        <v>533</v>
      </c>
      <c r="B307" s="753" t="s">
        <v>788</v>
      </c>
      <c r="C307" s="939">
        <v>0.15</v>
      </c>
      <c r="D307" s="939">
        <v>0.15</v>
      </c>
      <c r="E307" s="939">
        <v>0.15</v>
      </c>
      <c r="F307" s="940">
        <v>0.14299999999999999</v>
      </c>
    </row>
    <row r="308" spans="1:6" ht="14.5" thickBot="1">
      <c r="A308" s="759" t="s">
        <v>533</v>
      </c>
      <c r="B308" s="753" t="s">
        <v>370</v>
      </c>
      <c r="C308" s="939">
        <v>0.15</v>
      </c>
      <c r="D308" s="939">
        <v>0.15</v>
      </c>
      <c r="E308" s="939">
        <v>0.15</v>
      </c>
      <c r="F308" s="940">
        <v>0.15</v>
      </c>
    </row>
    <row r="309" spans="1:6" ht="14.5" thickBot="1">
      <c r="A309" s="759" t="s">
        <v>533</v>
      </c>
      <c r="B309" s="753" t="s">
        <v>380</v>
      </c>
      <c r="C309" s="939">
        <v>0.15</v>
      </c>
      <c r="D309" s="939">
        <v>0.15</v>
      </c>
      <c r="E309" s="939">
        <v>0.15</v>
      </c>
      <c r="F309" s="951"/>
    </row>
    <row r="310" spans="1:6" ht="14.5" thickBot="1">
      <c r="A310" s="759" t="s">
        <v>533</v>
      </c>
      <c r="B310" s="753" t="s">
        <v>789</v>
      </c>
      <c r="C310" s="939">
        <v>0.15</v>
      </c>
      <c r="D310" s="939">
        <v>0.15</v>
      </c>
      <c r="E310" s="939">
        <v>0.15</v>
      </c>
      <c r="F310" s="940">
        <v>0.13700000000000001</v>
      </c>
    </row>
    <row r="311" spans="1:6" ht="14.5" thickBot="1">
      <c r="A311" s="759" t="s">
        <v>533</v>
      </c>
      <c r="B311" s="753" t="s">
        <v>790</v>
      </c>
      <c r="C311" s="939">
        <v>0.15</v>
      </c>
      <c r="D311" s="939">
        <v>0.15</v>
      </c>
      <c r="E311" s="939">
        <v>0.15</v>
      </c>
      <c r="F311" s="940">
        <v>0.15</v>
      </c>
    </row>
    <row r="312" spans="1:6" ht="14.5" thickBot="1">
      <c r="A312" s="759" t="s">
        <v>533</v>
      </c>
      <c r="B312" s="753" t="s">
        <v>406</v>
      </c>
      <c r="C312" s="939">
        <v>0.15</v>
      </c>
      <c r="D312" s="939">
        <v>0.15</v>
      </c>
      <c r="E312" s="939">
        <v>0.15</v>
      </c>
      <c r="F312" s="940">
        <v>0.1</v>
      </c>
    </row>
    <row r="313" spans="1:6" ht="14.5" thickBot="1">
      <c r="A313" s="759" t="s">
        <v>533</v>
      </c>
      <c r="B313" s="753" t="s">
        <v>791</v>
      </c>
      <c r="C313" s="939">
        <v>0.15</v>
      </c>
      <c r="D313" s="939">
        <v>0.15</v>
      </c>
      <c r="E313" s="939">
        <v>0.15</v>
      </c>
      <c r="F313" s="940">
        <v>0.15</v>
      </c>
    </row>
    <row r="314" spans="1:6" ht="26.5" thickBot="1">
      <c r="A314" s="759" t="s">
        <v>533</v>
      </c>
      <c r="B314" s="753" t="s">
        <v>792</v>
      </c>
      <c r="C314" s="952"/>
      <c r="D314" s="952"/>
      <c r="E314" s="952"/>
      <c r="F314" s="940">
        <v>0.05</v>
      </c>
    </row>
    <row r="315" spans="1:6" ht="26.5" thickBot="1">
      <c r="A315" s="759" t="s">
        <v>533</v>
      </c>
      <c r="B315" s="753" t="s">
        <v>793</v>
      </c>
      <c r="C315" s="952"/>
      <c r="D315" s="952"/>
      <c r="E315" s="952"/>
      <c r="F315" s="940">
        <v>0.05</v>
      </c>
    </row>
    <row r="316" spans="1:6" ht="26.5" thickBot="1">
      <c r="A316" s="769" t="s">
        <v>533</v>
      </c>
      <c r="B316" s="765" t="s">
        <v>794</v>
      </c>
      <c r="C316" s="949"/>
      <c r="D316" s="949"/>
      <c r="E316" s="949"/>
      <c r="F316" s="942">
        <v>0.05</v>
      </c>
    </row>
    <row r="317" spans="1:6" ht="14.5" thickBot="1">
      <c r="A317" s="759" t="s">
        <v>795</v>
      </c>
      <c r="B317" s="760" t="s">
        <v>796</v>
      </c>
      <c r="C317" s="937">
        <v>0.15</v>
      </c>
      <c r="D317" s="937">
        <v>0.15</v>
      </c>
      <c r="E317" s="937">
        <v>0.15</v>
      </c>
      <c r="F317" s="938">
        <v>0.15</v>
      </c>
    </row>
    <row r="318" spans="1:6" ht="14.5" thickBot="1">
      <c r="A318" s="759" t="s">
        <v>795</v>
      </c>
      <c r="B318" s="753" t="s">
        <v>797</v>
      </c>
      <c r="C318" s="939">
        <v>0.107</v>
      </c>
      <c r="D318" s="939">
        <v>0.11</v>
      </c>
      <c r="E318" s="939">
        <v>0.112</v>
      </c>
      <c r="F318" s="951"/>
    </row>
    <row r="319" spans="1:6" ht="14.5" thickBot="1">
      <c r="A319" s="759" t="s">
        <v>795</v>
      </c>
      <c r="B319" s="753" t="s">
        <v>798</v>
      </c>
      <c r="C319" s="939">
        <v>0.15</v>
      </c>
      <c r="D319" s="939">
        <v>0.15</v>
      </c>
      <c r="E319" s="939">
        <v>0.15</v>
      </c>
      <c r="F319" s="940">
        <v>0.15</v>
      </c>
    </row>
    <row r="320" spans="1:6" ht="14.5" thickBot="1">
      <c r="A320" s="759" t="s">
        <v>795</v>
      </c>
      <c r="B320" s="753" t="s">
        <v>222</v>
      </c>
      <c r="C320" s="939">
        <v>0.15</v>
      </c>
      <c r="D320" s="939">
        <v>0.15</v>
      </c>
      <c r="E320" s="939">
        <v>0.15</v>
      </c>
      <c r="F320" s="951"/>
    </row>
    <row r="321" spans="1:6" ht="14.5" thickBot="1">
      <c r="A321" s="759" t="s">
        <v>795</v>
      </c>
      <c r="B321" s="753" t="s">
        <v>799</v>
      </c>
      <c r="C321" s="939">
        <v>0.15</v>
      </c>
      <c r="D321" s="939">
        <v>0.15</v>
      </c>
      <c r="E321" s="939">
        <v>0.15</v>
      </c>
      <c r="F321" s="951"/>
    </row>
    <row r="322" spans="1:6" ht="14.5" thickBot="1">
      <c r="A322" s="759" t="s">
        <v>795</v>
      </c>
      <c r="B322" s="753" t="s">
        <v>800</v>
      </c>
      <c r="C322" s="939">
        <v>0.15</v>
      </c>
      <c r="D322" s="939">
        <v>0.15</v>
      </c>
      <c r="E322" s="939">
        <v>0.15</v>
      </c>
      <c r="F322" s="940">
        <v>0.15</v>
      </c>
    </row>
    <row r="323" spans="1:6" ht="14.5" thickBot="1">
      <c r="A323" s="759" t="s">
        <v>795</v>
      </c>
      <c r="B323" s="753" t="s">
        <v>801</v>
      </c>
      <c r="C323" s="939">
        <v>0.15</v>
      </c>
      <c r="D323" s="939">
        <v>0.15</v>
      </c>
      <c r="E323" s="939">
        <v>0.15</v>
      </c>
      <c r="F323" s="951"/>
    </row>
    <row r="324" spans="1:6" ht="14.5" thickBot="1">
      <c r="A324" s="759" t="s">
        <v>795</v>
      </c>
      <c r="B324" s="753" t="s">
        <v>802</v>
      </c>
      <c r="C324" s="939">
        <v>0.15</v>
      </c>
      <c r="D324" s="939">
        <v>0.15</v>
      </c>
      <c r="E324" s="939">
        <v>0.15</v>
      </c>
      <c r="F324" s="951"/>
    </row>
    <row r="325" spans="1:6" ht="14.5" thickBot="1">
      <c r="A325" s="759" t="s">
        <v>795</v>
      </c>
      <c r="B325" s="753" t="s">
        <v>803</v>
      </c>
      <c r="C325" s="939">
        <v>0.15</v>
      </c>
      <c r="D325" s="939">
        <v>0.15</v>
      </c>
      <c r="E325" s="939">
        <v>0.15</v>
      </c>
      <c r="F325" s="940">
        <v>0.14699999999999999</v>
      </c>
    </row>
    <row r="326" spans="1:6" ht="14.5" thickBot="1">
      <c r="A326" s="759" t="s">
        <v>795</v>
      </c>
      <c r="B326" s="753" t="s">
        <v>289</v>
      </c>
      <c r="C326" s="939">
        <v>0.15</v>
      </c>
      <c r="D326" s="939">
        <v>0.15</v>
      </c>
      <c r="E326" s="939">
        <v>0.15</v>
      </c>
      <c r="F326" s="951"/>
    </row>
    <row r="327" spans="1:6" ht="14.5" thickBot="1">
      <c r="A327" s="759" t="s">
        <v>795</v>
      </c>
      <c r="B327" s="753" t="s">
        <v>804</v>
      </c>
      <c r="C327" s="939">
        <v>0.15</v>
      </c>
      <c r="D327" s="939">
        <v>0.15</v>
      </c>
      <c r="E327" s="939">
        <v>0.15</v>
      </c>
      <c r="F327" s="940">
        <v>0.15</v>
      </c>
    </row>
    <row r="328" spans="1:6" ht="14.5" thickBot="1">
      <c r="A328" s="759" t="s">
        <v>795</v>
      </c>
      <c r="B328" s="753" t="s">
        <v>309</v>
      </c>
      <c r="C328" s="939">
        <v>0.15</v>
      </c>
      <c r="D328" s="939">
        <v>0.15</v>
      </c>
      <c r="E328" s="939">
        <v>0.15</v>
      </c>
      <c r="F328" s="940">
        <v>0.14099999999999999</v>
      </c>
    </row>
    <row r="329" spans="1:6" ht="14.5" thickBot="1">
      <c r="A329" s="759" t="s">
        <v>795</v>
      </c>
      <c r="B329" s="753" t="s">
        <v>319</v>
      </c>
      <c r="C329" s="939">
        <v>0.15</v>
      </c>
      <c r="D329" s="939">
        <v>0.15</v>
      </c>
      <c r="E329" s="939">
        <v>0.15</v>
      </c>
      <c r="F329" s="940">
        <v>0.15</v>
      </c>
    </row>
    <row r="330" spans="1:6" ht="14.5" thickBot="1">
      <c r="A330" s="759" t="s">
        <v>795</v>
      </c>
      <c r="B330" s="753" t="s">
        <v>330</v>
      </c>
      <c r="C330" s="939">
        <v>0.15</v>
      </c>
      <c r="D330" s="939">
        <v>0.15</v>
      </c>
      <c r="E330" s="939">
        <v>0.15</v>
      </c>
      <c r="F330" s="951"/>
    </row>
    <row r="331" spans="1:6" ht="14.5" thickBot="1">
      <c r="A331" s="759" t="s">
        <v>795</v>
      </c>
      <c r="B331" s="753" t="s">
        <v>805</v>
      </c>
      <c r="C331" s="939">
        <v>0.15</v>
      </c>
      <c r="D331" s="939">
        <v>0.15</v>
      </c>
      <c r="E331" s="939">
        <v>0.15</v>
      </c>
      <c r="F331" s="940">
        <v>0.15</v>
      </c>
    </row>
    <row r="332" spans="1:6" ht="14.5" thickBot="1">
      <c r="A332" s="759" t="s">
        <v>795</v>
      </c>
      <c r="B332" s="753" t="s">
        <v>351</v>
      </c>
      <c r="C332" s="939">
        <v>0.15</v>
      </c>
      <c r="D332" s="939">
        <v>0.15</v>
      </c>
      <c r="E332" s="939">
        <v>0.15</v>
      </c>
      <c r="F332" s="940">
        <v>0.15</v>
      </c>
    </row>
    <row r="333" spans="1:6" ht="14.5" thickBot="1">
      <c r="A333" s="759" t="s">
        <v>795</v>
      </c>
      <c r="B333" s="753" t="s">
        <v>806</v>
      </c>
      <c r="C333" s="939">
        <v>0.15</v>
      </c>
      <c r="D333" s="939">
        <v>0.15</v>
      </c>
      <c r="E333" s="939">
        <v>0.15</v>
      </c>
      <c r="F333" s="940">
        <v>0.14099999999999999</v>
      </c>
    </row>
    <row r="334" spans="1:6" ht="14.5" thickBot="1">
      <c r="A334" s="759" t="s">
        <v>795</v>
      </c>
      <c r="B334" s="753" t="s">
        <v>371</v>
      </c>
      <c r="C334" s="939">
        <v>0.15</v>
      </c>
      <c r="D334" s="939">
        <v>0.15</v>
      </c>
      <c r="E334" s="939">
        <v>0.15</v>
      </c>
      <c r="F334" s="940">
        <v>0.15</v>
      </c>
    </row>
    <row r="335" spans="1:6" ht="14.5" thickBot="1">
      <c r="A335" s="759" t="s">
        <v>795</v>
      </c>
      <c r="B335" s="753" t="s">
        <v>381</v>
      </c>
      <c r="C335" s="939">
        <v>0.15</v>
      </c>
      <c r="D335" s="939">
        <v>0.15</v>
      </c>
      <c r="E335" s="939">
        <v>0.15</v>
      </c>
      <c r="F335" s="951"/>
    </row>
    <row r="336" spans="1:6" ht="14.5" thickBot="1">
      <c r="A336" s="759" t="s">
        <v>795</v>
      </c>
      <c r="B336" s="753" t="s">
        <v>807</v>
      </c>
      <c r="C336" s="939">
        <v>0.15</v>
      </c>
      <c r="D336" s="939">
        <v>0.15</v>
      </c>
      <c r="E336" s="939">
        <v>0.15</v>
      </c>
      <c r="F336" s="940">
        <v>0.11799999999999999</v>
      </c>
    </row>
    <row r="337" spans="1:6" ht="14.5" thickBot="1">
      <c r="A337" s="769" t="s">
        <v>795</v>
      </c>
      <c r="B337" s="765" t="s">
        <v>399</v>
      </c>
      <c r="C337" s="949"/>
      <c r="D337" s="949"/>
      <c r="E337" s="949"/>
      <c r="F337" s="942">
        <v>0.14299999999999999</v>
      </c>
    </row>
    <row r="338" spans="1:6" ht="14.5" thickBot="1">
      <c r="A338" s="759" t="s">
        <v>808</v>
      </c>
      <c r="B338" s="760" t="s">
        <v>809</v>
      </c>
      <c r="C338" s="937">
        <v>0.15</v>
      </c>
      <c r="D338" s="937">
        <v>0.15</v>
      </c>
      <c r="E338" s="937">
        <v>0.15</v>
      </c>
      <c r="F338" s="954"/>
    </row>
    <row r="339" spans="1:6" ht="14.5" thickBot="1">
      <c r="A339" s="759" t="s">
        <v>808</v>
      </c>
      <c r="B339" s="753" t="s">
        <v>810</v>
      </c>
      <c r="C339" s="939">
        <v>0.15</v>
      </c>
      <c r="D339" s="939">
        <v>0.15</v>
      </c>
      <c r="E339" s="939">
        <v>0.15</v>
      </c>
      <c r="F339" s="951"/>
    </row>
    <row r="340" spans="1:6" ht="14.5" thickBot="1">
      <c r="A340" s="759" t="s">
        <v>808</v>
      </c>
      <c r="B340" s="753" t="s">
        <v>811</v>
      </c>
      <c r="C340" s="939">
        <v>0.15</v>
      </c>
      <c r="D340" s="939">
        <v>0.15</v>
      </c>
      <c r="E340" s="939">
        <v>0.15</v>
      </c>
      <c r="F340" s="951"/>
    </row>
    <row r="341" spans="1:6" ht="14.5" thickBot="1">
      <c r="A341" s="759" t="s">
        <v>808</v>
      </c>
      <c r="B341" s="753" t="s">
        <v>812</v>
      </c>
      <c r="C341" s="939">
        <v>0.15</v>
      </c>
      <c r="D341" s="939">
        <v>0.15</v>
      </c>
      <c r="E341" s="939">
        <v>0.15</v>
      </c>
      <c r="F341" s="940">
        <v>0.15</v>
      </c>
    </row>
    <row r="342" spans="1:6" ht="14.5" thickBot="1">
      <c r="A342" s="759" t="s">
        <v>808</v>
      </c>
      <c r="B342" s="753" t="s">
        <v>813</v>
      </c>
      <c r="C342" s="939">
        <v>0.15</v>
      </c>
      <c r="D342" s="939">
        <v>0.15</v>
      </c>
      <c r="E342" s="939">
        <v>0.15</v>
      </c>
      <c r="F342" s="940">
        <v>0.15</v>
      </c>
    </row>
    <row r="343" spans="1:6" ht="14.5" thickBot="1">
      <c r="A343" s="759" t="s">
        <v>808</v>
      </c>
      <c r="B343" s="753" t="s">
        <v>814</v>
      </c>
      <c r="C343" s="939">
        <v>0.15</v>
      </c>
      <c r="D343" s="939">
        <v>0.15</v>
      </c>
      <c r="E343" s="939">
        <v>0.15</v>
      </c>
      <c r="F343" s="940">
        <v>0.15</v>
      </c>
    </row>
    <row r="344" spans="1:6" ht="14.5" thickBot="1">
      <c r="A344" s="769" t="s">
        <v>808</v>
      </c>
      <c r="B344" s="765" t="s">
        <v>815</v>
      </c>
      <c r="C344" s="941">
        <v>0.15</v>
      </c>
      <c r="D344" s="941">
        <v>0.15</v>
      </c>
      <c r="E344" s="941">
        <v>0.15</v>
      </c>
      <c r="F344" s="942">
        <v>0.15</v>
      </c>
    </row>
  </sheetData>
  <sheetProtection password="C66D" sheet="1" objects="1" scenarios="1"/>
  <mergeCells count="1">
    <mergeCell ref="A1:B1"/>
  </mergeCells>
  <phoneticPr fontId="9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0"/>
  <sheetViews>
    <sheetView workbookViewId="0">
      <selection activeCell="L14" sqref="L14:Z14"/>
    </sheetView>
  </sheetViews>
  <sheetFormatPr defaultRowHeight="14"/>
  <cols>
    <col min="1" max="1" width="4.90625" style="1341" customWidth="1"/>
    <col min="2" max="2" width="13.08984375" style="1347" customWidth="1"/>
    <col min="3" max="3" width="15.6328125" style="1347" customWidth="1"/>
    <col min="4" max="4" width="9.36328125" style="1347" bestFit="1" customWidth="1"/>
    <col min="5" max="5" width="13.453125" style="1347" customWidth="1"/>
    <col min="6" max="6" width="9" style="1347"/>
    <col min="7" max="7" width="9.36328125" style="1347" bestFit="1" customWidth="1"/>
    <col min="8" max="8" width="12.08984375" style="1347" customWidth="1"/>
    <col min="9" max="9" width="9" style="1347"/>
    <col min="10" max="10" width="9.36328125" style="1347" bestFit="1" customWidth="1"/>
    <col min="11" max="11" width="4" style="1341" customWidth="1"/>
    <col min="12" max="12" width="5.08984375" style="1347" customWidth="1"/>
    <col min="13" max="13" width="13.90625" style="1347" customWidth="1"/>
    <col min="14" max="256" width="9" style="1347"/>
    <col min="257" max="257" width="4.90625" style="1338" customWidth="1"/>
    <col min="258" max="258" width="13.08984375" style="1338" customWidth="1"/>
    <col min="259" max="259" width="15.6328125" style="1338" customWidth="1"/>
    <col min="260" max="260" width="9.36328125" style="1338" bestFit="1" customWidth="1"/>
    <col min="261" max="261" width="13.453125" style="1338" customWidth="1"/>
    <col min="262" max="262" width="9" style="1338"/>
    <col min="263" max="263" width="9.36328125" style="1338" bestFit="1" customWidth="1"/>
    <col min="264" max="265" width="9" style="1338"/>
    <col min="266" max="266" width="9.36328125" style="1338" bestFit="1" customWidth="1"/>
    <col min="267" max="267" width="4" style="1338" customWidth="1"/>
    <col min="268" max="268" width="5.08984375" style="1338" customWidth="1"/>
    <col min="269" max="269" width="13.90625" style="1338" customWidth="1"/>
    <col min="270" max="512" width="9" style="1338"/>
    <col min="513" max="513" width="4.90625" style="1338" customWidth="1"/>
    <col min="514" max="514" width="13.08984375" style="1338" customWidth="1"/>
    <col min="515" max="515" width="15.6328125" style="1338" customWidth="1"/>
    <col min="516" max="516" width="9.36328125" style="1338" bestFit="1" customWidth="1"/>
    <col min="517" max="517" width="13.453125" style="1338" customWidth="1"/>
    <col min="518" max="518" width="9" style="1338"/>
    <col min="519" max="519" width="9.36328125" style="1338" bestFit="1" customWidth="1"/>
    <col min="520" max="521" width="9" style="1338"/>
    <col min="522" max="522" width="9.36328125" style="1338" bestFit="1" customWidth="1"/>
    <col min="523" max="523" width="4" style="1338" customWidth="1"/>
    <col min="524" max="524" width="5.08984375" style="1338" customWidth="1"/>
    <col min="525" max="525" width="13.90625" style="1338" customWidth="1"/>
    <col min="526" max="768" width="9" style="1338"/>
    <col min="769" max="769" width="4.90625" style="1338" customWidth="1"/>
    <col min="770" max="770" width="13.08984375" style="1338" customWidth="1"/>
    <col min="771" max="771" width="15.6328125" style="1338" customWidth="1"/>
    <col min="772" max="772" width="9.36328125" style="1338" bestFit="1" customWidth="1"/>
    <col min="773" max="773" width="13.453125" style="1338" customWidth="1"/>
    <col min="774" max="774" width="9" style="1338"/>
    <col min="775" max="775" width="9.36328125" style="1338" bestFit="1" customWidth="1"/>
    <col min="776" max="777" width="9" style="1338"/>
    <col min="778" max="778" width="9.36328125" style="1338" bestFit="1" customWidth="1"/>
    <col min="779" max="779" width="4" style="1338" customWidth="1"/>
    <col min="780" max="780" width="5.08984375" style="1338" customWidth="1"/>
    <col min="781" max="781" width="13.90625" style="1338" customWidth="1"/>
    <col min="782" max="1024" width="9" style="1338"/>
    <col min="1025" max="1025" width="4.90625" style="1338" customWidth="1"/>
    <col min="1026" max="1026" width="13.08984375" style="1338" customWidth="1"/>
    <col min="1027" max="1027" width="15.6328125" style="1338" customWidth="1"/>
    <col min="1028" max="1028" width="9.36328125" style="1338" bestFit="1" customWidth="1"/>
    <col min="1029" max="1029" width="13.453125" style="1338" customWidth="1"/>
    <col min="1030" max="1030" width="9" style="1338"/>
    <col min="1031" max="1031" width="9.36328125" style="1338" bestFit="1" customWidth="1"/>
    <col min="1032" max="1033" width="9" style="1338"/>
    <col min="1034" max="1034" width="9.36328125" style="1338" bestFit="1" customWidth="1"/>
    <col min="1035" max="1035" width="4" style="1338" customWidth="1"/>
    <col min="1036" max="1036" width="5.08984375" style="1338" customWidth="1"/>
    <col min="1037" max="1037" width="13.90625" style="1338" customWidth="1"/>
    <col min="1038" max="1280" width="9" style="1338"/>
    <col min="1281" max="1281" width="4.90625" style="1338" customWidth="1"/>
    <col min="1282" max="1282" width="13.08984375" style="1338" customWidth="1"/>
    <col min="1283" max="1283" width="15.6328125" style="1338" customWidth="1"/>
    <col min="1284" max="1284" width="9.36328125" style="1338" bestFit="1" customWidth="1"/>
    <col min="1285" max="1285" width="13.453125" style="1338" customWidth="1"/>
    <col min="1286" max="1286" width="9" style="1338"/>
    <col min="1287" max="1287" width="9.36328125" style="1338" bestFit="1" customWidth="1"/>
    <col min="1288" max="1289" width="9" style="1338"/>
    <col min="1290" max="1290" width="9.36328125" style="1338" bestFit="1" customWidth="1"/>
    <col min="1291" max="1291" width="4" style="1338" customWidth="1"/>
    <col min="1292" max="1292" width="5.08984375" style="1338" customWidth="1"/>
    <col min="1293" max="1293" width="13.90625" style="1338" customWidth="1"/>
    <col min="1294" max="1536" width="9" style="1338"/>
    <col min="1537" max="1537" width="4.90625" style="1338" customWidth="1"/>
    <col min="1538" max="1538" width="13.08984375" style="1338" customWidth="1"/>
    <col min="1539" max="1539" width="15.6328125" style="1338" customWidth="1"/>
    <col min="1540" max="1540" width="9.36328125" style="1338" bestFit="1" customWidth="1"/>
    <col min="1541" max="1541" width="13.453125" style="1338" customWidth="1"/>
    <col min="1542" max="1542" width="9" style="1338"/>
    <col min="1543" max="1543" width="9.36328125" style="1338" bestFit="1" customWidth="1"/>
    <col min="1544" max="1545" width="9" style="1338"/>
    <col min="1546" max="1546" width="9.36328125" style="1338" bestFit="1" customWidth="1"/>
    <col min="1547" max="1547" width="4" style="1338" customWidth="1"/>
    <col min="1548" max="1548" width="5.08984375" style="1338" customWidth="1"/>
    <col min="1549" max="1549" width="13.90625" style="1338" customWidth="1"/>
    <col min="1550" max="1792" width="9" style="1338"/>
    <col min="1793" max="1793" width="4.90625" style="1338" customWidth="1"/>
    <col min="1794" max="1794" width="13.08984375" style="1338" customWidth="1"/>
    <col min="1795" max="1795" width="15.6328125" style="1338" customWidth="1"/>
    <col min="1796" max="1796" width="9.36328125" style="1338" bestFit="1" customWidth="1"/>
    <col min="1797" max="1797" width="13.453125" style="1338" customWidth="1"/>
    <col min="1798" max="1798" width="9" style="1338"/>
    <col min="1799" max="1799" width="9.36328125" style="1338" bestFit="1" customWidth="1"/>
    <col min="1800" max="1801" width="9" style="1338"/>
    <col min="1802" max="1802" width="9.36328125" style="1338" bestFit="1" customWidth="1"/>
    <col min="1803" max="1803" width="4" style="1338" customWidth="1"/>
    <col min="1804" max="1804" width="5.08984375" style="1338" customWidth="1"/>
    <col min="1805" max="1805" width="13.90625" style="1338" customWidth="1"/>
    <col min="1806" max="2048" width="9" style="1338"/>
    <col min="2049" max="2049" width="4.90625" style="1338" customWidth="1"/>
    <col min="2050" max="2050" width="13.08984375" style="1338" customWidth="1"/>
    <col min="2051" max="2051" width="15.6328125" style="1338" customWidth="1"/>
    <col min="2052" max="2052" width="9.36328125" style="1338" bestFit="1" customWidth="1"/>
    <col min="2053" max="2053" width="13.453125" style="1338" customWidth="1"/>
    <col min="2054" max="2054" width="9" style="1338"/>
    <col min="2055" max="2055" width="9.36328125" style="1338" bestFit="1" customWidth="1"/>
    <col min="2056" max="2057" width="9" style="1338"/>
    <col min="2058" max="2058" width="9.36328125" style="1338" bestFit="1" customWidth="1"/>
    <col min="2059" max="2059" width="4" style="1338" customWidth="1"/>
    <col min="2060" max="2060" width="5.08984375" style="1338" customWidth="1"/>
    <col min="2061" max="2061" width="13.90625" style="1338" customWidth="1"/>
    <col min="2062" max="2304" width="9" style="1338"/>
    <col min="2305" max="2305" width="4.90625" style="1338" customWidth="1"/>
    <col min="2306" max="2306" width="13.08984375" style="1338" customWidth="1"/>
    <col min="2307" max="2307" width="15.6328125" style="1338" customWidth="1"/>
    <col min="2308" max="2308" width="9.36328125" style="1338" bestFit="1" customWidth="1"/>
    <col min="2309" max="2309" width="13.453125" style="1338" customWidth="1"/>
    <col min="2310" max="2310" width="9" style="1338"/>
    <col min="2311" max="2311" width="9.36328125" style="1338" bestFit="1" customWidth="1"/>
    <col min="2312" max="2313" width="9" style="1338"/>
    <col min="2314" max="2314" width="9.36328125" style="1338" bestFit="1" customWidth="1"/>
    <col min="2315" max="2315" width="4" style="1338" customWidth="1"/>
    <col min="2316" max="2316" width="5.08984375" style="1338" customWidth="1"/>
    <col min="2317" max="2317" width="13.90625" style="1338" customWidth="1"/>
    <col min="2318" max="2560" width="9" style="1338"/>
    <col min="2561" max="2561" width="4.90625" style="1338" customWidth="1"/>
    <col min="2562" max="2562" width="13.08984375" style="1338" customWidth="1"/>
    <col min="2563" max="2563" width="15.6328125" style="1338" customWidth="1"/>
    <col min="2564" max="2564" width="9.36328125" style="1338" bestFit="1" customWidth="1"/>
    <col min="2565" max="2565" width="13.453125" style="1338" customWidth="1"/>
    <col min="2566" max="2566" width="9" style="1338"/>
    <col min="2567" max="2567" width="9.36328125" style="1338" bestFit="1" customWidth="1"/>
    <col min="2568" max="2569" width="9" style="1338"/>
    <col min="2570" max="2570" width="9.36328125" style="1338" bestFit="1" customWidth="1"/>
    <col min="2571" max="2571" width="4" style="1338" customWidth="1"/>
    <col min="2572" max="2572" width="5.08984375" style="1338" customWidth="1"/>
    <col min="2573" max="2573" width="13.90625" style="1338" customWidth="1"/>
    <col min="2574" max="2816" width="9" style="1338"/>
    <col min="2817" max="2817" width="4.90625" style="1338" customWidth="1"/>
    <col min="2818" max="2818" width="13.08984375" style="1338" customWidth="1"/>
    <col min="2819" max="2819" width="15.6328125" style="1338" customWidth="1"/>
    <col min="2820" max="2820" width="9.36328125" style="1338" bestFit="1" customWidth="1"/>
    <col min="2821" max="2821" width="13.453125" style="1338" customWidth="1"/>
    <col min="2822" max="2822" width="9" style="1338"/>
    <col min="2823" max="2823" width="9.36328125" style="1338" bestFit="1" customWidth="1"/>
    <col min="2824" max="2825" width="9" style="1338"/>
    <col min="2826" max="2826" width="9.36328125" style="1338" bestFit="1" customWidth="1"/>
    <col min="2827" max="2827" width="4" style="1338" customWidth="1"/>
    <col min="2828" max="2828" width="5.08984375" style="1338" customWidth="1"/>
    <col min="2829" max="2829" width="13.90625" style="1338" customWidth="1"/>
    <col min="2830" max="3072" width="9" style="1338"/>
    <col min="3073" max="3073" width="4.90625" style="1338" customWidth="1"/>
    <col min="3074" max="3074" width="13.08984375" style="1338" customWidth="1"/>
    <col min="3075" max="3075" width="15.6328125" style="1338" customWidth="1"/>
    <col min="3076" max="3076" width="9.36328125" style="1338" bestFit="1" customWidth="1"/>
    <col min="3077" max="3077" width="13.453125" style="1338" customWidth="1"/>
    <col min="3078" max="3078" width="9" style="1338"/>
    <col min="3079" max="3079" width="9.36328125" style="1338" bestFit="1" customWidth="1"/>
    <col min="3080" max="3081" width="9" style="1338"/>
    <col min="3082" max="3082" width="9.36328125" style="1338" bestFit="1" customWidth="1"/>
    <col min="3083" max="3083" width="4" style="1338" customWidth="1"/>
    <col min="3084" max="3084" width="5.08984375" style="1338" customWidth="1"/>
    <col min="3085" max="3085" width="13.90625" style="1338" customWidth="1"/>
    <col min="3086" max="3328" width="9" style="1338"/>
    <col min="3329" max="3329" width="4.90625" style="1338" customWidth="1"/>
    <col min="3330" max="3330" width="13.08984375" style="1338" customWidth="1"/>
    <col min="3331" max="3331" width="15.6328125" style="1338" customWidth="1"/>
    <col min="3332" max="3332" width="9.36328125" style="1338" bestFit="1" customWidth="1"/>
    <col min="3333" max="3333" width="13.453125" style="1338" customWidth="1"/>
    <col min="3334" max="3334" width="9" style="1338"/>
    <col min="3335" max="3335" width="9.36328125" style="1338" bestFit="1" customWidth="1"/>
    <col min="3336" max="3337" width="9" style="1338"/>
    <col min="3338" max="3338" width="9.36328125" style="1338" bestFit="1" customWidth="1"/>
    <col min="3339" max="3339" width="4" style="1338" customWidth="1"/>
    <col min="3340" max="3340" width="5.08984375" style="1338" customWidth="1"/>
    <col min="3341" max="3341" width="13.90625" style="1338" customWidth="1"/>
    <col min="3342" max="3584" width="9" style="1338"/>
    <col min="3585" max="3585" width="4.90625" style="1338" customWidth="1"/>
    <col min="3586" max="3586" width="13.08984375" style="1338" customWidth="1"/>
    <col min="3587" max="3587" width="15.6328125" style="1338" customWidth="1"/>
    <col min="3588" max="3588" width="9.36328125" style="1338" bestFit="1" customWidth="1"/>
    <col min="3589" max="3589" width="13.453125" style="1338" customWidth="1"/>
    <col min="3590" max="3590" width="9" style="1338"/>
    <col min="3591" max="3591" width="9.36328125" style="1338" bestFit="1" customWidth="1"/>
    <col min="3592" max="3593" width="9" style="1338"/>
    <col min="3594" max="3594" width="9.36328125" style="1338" bestFit="1" customWidth="1"/>
    <col min="3595" max="3595" width="4" style="1338" customWidth="1"/>
    <col min="3596" max="3596" width="5.08984375" style="1338" customWidth="1"/>
    <col min="3597" max="3597" width="13.90625" style="1338" customWidth="1"/>
    <col min="3598" max="3840" width="9" style="1338"/>
    <col min="3841" max="3841" width="4.90625" style="1338" customWidth="1"/>
    <col min="3842" max="3842" width="13.08984375" style="1338" customWidth="1"/>
    <col min="3843" max="3843" width="15.6328125" style="1338" customWidth="1"/>
    <col min="3844" max="3844" width="9.36328125" style="1338" bestFit="1" customWidth="1"/>
    <col min="3845" max="3845" width="13.453125" style="1338" customWidth="1"/>
    <col min="3846" max="3846" width="9" style="1338"/>
    <col min="3847" max="3847" width="9.36328125" style="1338" bestFit="1" customWidth="1"/>
    <col min="3848" max="3849" width="9" style="1338"/>
    <col min="3850" max="3850" width="9.36328125" style="1338" bestFit="1" customWidth="1"/>
    <col min="3851" max="3851" width="4" style="1338" customWidth="1"/>
    <col min="3852" max="3852" width="5.08984375" style="1338" customWidth="1"/>
    <col min="3853" max="3853" width="13.90625" style="1338" customWidth="1"/>
    <col min="3854" max="4096" width="9" style="1338"/>
    <col min="4097" max="4097" width="4.90625" style="1338" customWidth="1"/>
    <col min="4098" max="4098" width="13.08984375" style="1338" customWidth="1"/>
    <col min="4099" max="4099" width="15.6328125" style="1338" customWidth="1"/>
    <col min="4100" max="4100" width="9.36328125" style="1338" bestFit="1" customWidth="1"/>
    <col min="4101" max="4101" width="13.453125" style="1338" customWidth="1"/>
    <col min="4102" max="4102" width="9" style="1338"/>
    <col min="4103" max="4103" width="9.36328125" style="1338" bestFit="1" customWidth="1"/>
    <col min="4104" max="4105" width="9" style="1338"/>
    <col min="4106" max="4106" width="9.36328125" style="1338" bestFit="1" customWidth="1"/>
    <col min="4107" max="4107" width="4" style="1338" customWidth="1"/>
    <col min="4108" max="4108" width="5.08984375" style="1338" customWidth="1"/>
    <col min="4109" max="4109" width="13.90625" style="1338" customWidth="1"/>
    <col min="4110" max="4352" width="9" style="1338"/>
    <col min="4353" max="4353" width="4.90625" style="1338" customWidth="1"/>
    <col min="4354" max="4354" width="13.08984375" style="1338" customWidth="1"/>
    <col min="4355" max="4355" width="15.6328125" style="1338" customWidth="1"/>
    <col min="4356" max="4356" width="9.36328125" style="1338" bestFit="1" customWidth="1"/>
    <col min="4357" max="4357" width="13.453125" style="1338" customWidth="1"/>
    <col min="4358" max="4358" width="9" style="1338"/>
    <col min="4359" max="4359" width="9.36328125" style="1338" bestFit="1" customWidth="1"/>
    <col min="4360" max="4361" width="9" style="1338"/>
    <col min="4362" max="4362" width="9.36328125" style="1338" bestFit="1" customWidth="1"/>
    <col min="4363" max="4363" width="4" style="1338" customWidth="1"/>
    <col min="4364" max="4364" width="5.08984375" style="1338" customWidth="1"/>
    <col min="4365" max="4365" width="13.90625" style="1338" customWidth="1"/>
    <col min="4366" max="4608" width="9" style="1338"/>
    <col min="4609" max="4609" width="4.90625" style="1338" customWidth="1"/>
    <col min="4610" max="4610" width="13.08984375" style="1338" customWidth="1"/>
    <col min="4611" max="4611" width="15.6328125" style="1338" customWidth="1"/>
    <col min="4612" max="4612" width="9.36328125" style="1338" bestFit="1" customWidth="1"/>
    <col min="4613" max="4613" width="13.453125" style="1338" customWidth="1"/>
    <col min="4614" max="4614" width="9" style="1338"/>
    <col min="4615" max="4615" width="9.36328125" style="1338" bestFit="1" customWidth="1"/>
    <col min="4616" max="4617" width="9" style="1338"/>
    <col min="4618" max="4618" width="9.36328125" style="1338" bestFit="1" customWidth="1"/>
    <col min="4619" max="4619" width="4" style="1338" customWidth="1"/>
    <col min="4620" max="4620" width="5.08984375" style="1338" customWidth="1"/>
    <col min="4621" max="4621" width="13.90625" style="1338" customWidth="1"/>
    <col min="4622" max="4864" width="9" style="1338"/>
    <col min="4865" max="4865" width="4.90625" style="1338" customWidth="1"/>
    <col min="4866" max="4866" width="13.08984375" style="1338" customWidth="1"/>
    <col min="4867" max="4867" width="15.6328125" style="1338" customWidth="1"/>
    <col min="4868" max="4868" width="9.36328125" style="1338" bestFit="1" customWidth="1"/>
    <col min="4869" max="4869" width="13.453125" style="1338" customWidth="1"/>
    <col min="4870" max="4870" width="9" style="1338"/>
    <col min="4871" max="4871" width="9.36328125" style="1338" bestFit="1" customWidth="1"/>
    <col min="4872" max="4873" width="9" style="1338"/>
    <col min="4874" max="4874" width="9.36328125" style="1338" bestFit="1" customWidth="1"/>
    <col min="4875" max="4875" width="4" style="1338" customWidth="1"/>
    <col min="4876" max="4876" width="5.08984375" style="1338" customWidth="1"/>
    <col min="4877" max="4877" width="13.90625" style="1338" customWidth="1"/>
    <col min="4878" max="5120" width="9" style="1338"/>
    <col min="5121" max="5121" width="4.90625" style="1338" customWidth="1"/>
    <col min="5122" max="5122" width="13.08984375" style="1338" customWidth="1"/>
    <col min="5123" max="5123" width="15.6328125" style="1338" customWidth="1"/>
    <col min="5124" max="5124" width="9.36328125" style="1338" bestFit="1" customWidth="1"/>
    <col min="5125" max="5125" width="13.453125" style="1338" customWidth="1"/>
    <col min="5126" max="5126" width="9" style="1338"/>
    <col min="5127" max="5127" width="9.36328125" style="1338" bestFit="1" customWidth="1"/>
    <col min="5128" max="5129" width="9" style="1338"/>
    <col min="5130" max="5130" width="9.36328125" style="1338" bestFit="1" customWidth="1"/>
    <col min="5131" max="5131" width="4" style="1338" customWidth="1"/>
    <col min="5132" max="5132" width="5.08984375" style="1338" customWidth="1"/>
    <col min="5133" max="5133" width="13.90625" style="1338" customWidth="1"/>
    <col min="5134" max="5376" width="9" style="1338"/>
    <col min="5377" max="5377" width="4.90625" style="1338" customWidth="1"/>
    <col min="5378" max="5378" width="13.08984375" style="1338" customWidth="1"/>
    <col min="5379" max="5379" width="15.6328125" style="1338" customWidth="1"/>
    <col min="5380" max="5380" width="9.36328125" style="1338" bestFit="1" customWidth="1"/>
    <col min="5381" max="5381" width="13.453125" style="1338" customWidth="1"/>
    <col min="5382" max="5382" width="9" style="1338"/>
    <col min="5383" max="5383" width="9.36328125" style="1338" bestFit="1" customWidth="1"/>
    <col min="5384" max="5385" width="9" style="1338"/>
    <col min="5386" max="5386" width="9.36328125" style="1338" bestFit="1" customWidth="1"/>
    <col min="5387" max="5387" width="4" style="1338" customWidth="1"/>
    <col min="5388" max="5388" width="5.08984375" style="1338" customWidth="1"/>
    <col min="5389" max="5389" width="13.90625" style="1338" customWidth="1"/>
    <col min="5390" max="5632" width="9" style="1338"/>
    <col min="5633" max="5633" width="4.90625" style="1338" customWidth="1"/>
    <col min="5634" max="5634" width="13.08984375" style="1338" customWidth="1"/>
    <col min="5635" max="5635" width="15.6328125" style="1338" customWidth="1"/>
    <col min="5636" max="5636" width="9.36328125" style="1338" bestFit="1" customWidth="1"/>
    <col min="5637" max="5637" width="13.453125" style="1338" customWidth="1"/>
    <col min="5638" max="5638" width="9" style="1338"/>
    <col min="5639" max="5639" width="9.36328125" style="1338" bestFit="1" customWidth="1"/>
    <col min="5640" max="5641" width="9" style="1338"/>
    <col min="5642" max="5642" width="9.36328125" style="1338" bestFit="1" customWidth="1"/>
    <col min="5643" max="5643" width="4" style="1338" customWidth="1"/>
    <col min="5644" max="5644" width="5.08984375" style="1338" customWidth="1"/>
    <col min="5645" max="5645" width="13.90625" style="1338" customWidth="1"/>
    <col min="5646" max="5888" width="9" style="1338"/>
    <col min="5889" max="5889" width="4.90625" style="1338" customWidth="1"/>
    <col min="5890" max="5890" width="13.08984375" style="1338" customWidth="1"/>
    <col min="5891" max="5891" width="15.6328125" style="1338" customWidth="1"/>
    <col min="5892" max="5892" width="9.36328125" style="1338" bestFit="1" customWidth="1"/>
    <col min="5893" max="5893" width="13.453125" style="1338" customWidth="1"/>
    <col min="5894" max="5894" width="9" style="1338"/>
    <col min="5895" max="5895" width="9.36328125" style="1338" bestFit="1" customWidth="1"/>
    <col min="5896" max="5897" width="9" style="1338"/>
    <col min="5898" max="5898" width="9.36328125" style="1338" bestFit="1" customWidth="1"/>
    <col min="5899" max="5899" width="4" style="1338" customWidth="1"/>
    <col min="5900" max="5900" width="5.08984375" style="1338" customWidth="1"/>
    <col min="5901" max="5901" width="13.90625" style="1338" customWidth="1"/>
    <col min="5902" max="6144" width="9" style="1338"/>
    <col min="6145" max="6145" width="4.90625" style="1338" customWidth="1"/>
    <col min="6146" max="6146" width="13.08984375" style="1338" customWidth="1"/>
    <col min="6147" max="6147" width="15.6328125" style="1338" customWidth="1"/>
    <col min="6148" max="6148" width="9.36328125" style="1338" bestFit="1" customWidth="1"/>
    <col min="6149" max="6149" width="13.453125" style="1338" customWidth="1"/>
    <col min="6150" max="6150" width="9" style="1338"/>
    <col min="6151" max="6151" width="9.36328125" style="1338" bestFit="1" customWidth="1"/>
    <col min="6152" max="6153" width="9" style="1338"/>
    <col min="6154" max="6154" width="9.36328125" style="1338" bestFit="1" customWidth="1"/>
    <col min="6155" max="6155" width="4" style="1338" customWidth="1"/>
    <col min="6156" max="6156" width="5.08984375" style="1338" customWidth="1"/>
    <col min="6157" max="6157" width="13.90625" style="1338" customWidth="1"/>
    <col min="6158" max="6400" width="9" style="1338"/>
    <col min="6401" max="6401" width="4.90625" style="1338" customWidth="1"/>
    <col min="6402" max="6402" width="13.08984375" style="1338" customWidth="1"/>
    <col min="6403" max="6403" width="15.6328125" style="1338" customWidth="1"/>
    <col min="6404" max="6404" width="9.36328125" style="1338" bestFit="1" customWidth="1"/>
    <col min="6405" max="6405" width="13.453125" style="1338" customWidth="1"/>
    <col min="6406" max="6406" width="9" style="1338"/>
    <col min="6407" max="6407" width="9.36328125" style="1338" bestFit="1" customWidth="1"/>
    <col min="6408" max="6409" width="9" style="1338"/>
    <col min="6410" max="6410" width="9.36328125" style="1338" bestFit="1" customWidth="1"/>
    <col min="6411" max="6411" width="4" style="1338" customWidth="1"/>
    <col min="6412" max="6412" width="5.08984375" style="1338" customWidth="1"/>
    <col min="6413" max="6413" width="13.90625" style="1338" customWidth="1"/>
    <col min="6414" max="6656" width="9" style="1338"/>
    <col min="6657" max="6657" width="4.90625" style="1338" customWidth="1"/>
    <col min="6658" max="6658" width="13.08984375" style="1338" customWidth="1"/>
    <col min="6659" max="6659" width="15.6328125" style="1338" customWidth="1"/>
    <col min="6660" max="6660" width="9.36328125" style="1338" bestFit="1" customWidth="1"/>
    <col min="6661" max="6661" width="13.453125" style="1338" customWidth="1"/>
    <col min="6662" max="6662" width="9" style="1338"/>
    <col min="6663" max="6663" width="9.36328125" style="1338" bestFit="1" customWidth="1"/>
    <col min="6664" max="6665" width="9" style="1338"/>
    <col min="6666" max="6666" width="9.36328125" style="1338" bestFit="1" customWidth="1"/>
    <col min="6667" max="6667" width="4" style="1338" customWidth="1"/>
    <col min="6668" max="6668" width="5.08984375" style="1338" customWidth="1"/>
    <col min="6669" max="6669" width="13.90625" style="1338" customWidth="1"/>
    <col min="6670" max="6912" width="9" style="1338"/>
    <col min="6913" max="6913" width="4.90625" style="1338" customWidth="1"/>
    <col min="6914" max="6914" width="13.08984375" style="1338" customWidth="1"/>
    <col min="6915" max="6915" width="15.6328125" style="1338" customWidth="1"/>
    <col min="6916" max="6916" width="9.36328125" style="1338" bestFit="1" customWidth="1"/>
    <col min="6917" max="6917" width="13.453125" style="1338" customWidth="1"/>
    <col min="6918" max="6918" width="9" style="1338"/>
    <col min="6919" max="6919" width="9.36328125" style="1338" bestFit="1" customWidth="1"/>
    <col min="6920" max="6921" width="9" style="1338"/>
    <col min="6922" max="6922" width="9.36328125" style="1338" bestFit="1" customWidth="1"/>
    <col min="6923" max="6923" width="4" style="1338" customWidth="1"/>
    <col min="6924" max="6924" width="5.08984375" style="1338" customWidth="1"/>
    <col min="6925" max="6925" width="13.90625" style="1338" customWidth="1"/>
    <col min="6926" max="7168" width="9" style="1338"/>
    <col min="7169" max="7169" width="4.90625" style="1338" customWidth="1"/>
    <col min="7170" max="7170" width="13.08984375" style="1338" customWidth="1"/>
    <col min="7171" max="7171" width="15.6328125" style="1338" customWidth="1"/>
    <col min="7172" max="7172" width="9.36328125" style="1338" bestFit="1" customWidth="1"/>
    <col min="7173" max="7173" width="13.453125" style="1338" customWidth="1"/>
    <col min="7174" max="7174" width="9" style="1338"/>
    <col min="7175" max="7175" width="9.36328125" style="1338" bestFit="1" customWidth="1"/>
    <col min="7176" max="7177" width="9" style="1338"/>
    <col min="7178" max="7178" width="9.36328125" style="1338" bestFit="1" customWidth="1"/>
    <col min="7179" max="7179" width="4" style="1338" customWidth="1"/>
    <col min="7180" max="7180" width="5.08984375" style="1338" customWidth="1"/>
    <col min="7181" max="7181" width="13.90625" style="1338" customWidth="1"/>
    <col min="7182" max="7424" width="9" style="1338"/>
    <col min="7425" max="7425" width="4.90625" style="1338" customWidth="1"/>
    <col min="7426" max="7426" width="13.08984375" style="1338" customWidth="1"/>
    <col min="7427" max="7427" width="15.6328125" style="1338" customWidth="1"/>
    <col min="7428" max="7428" width="9.36328125" style="1338" bestFit="1" customWidth="1"/>
    <col min="7429" max="7429" width="13.453125" style="1338" customWidth="1"/>
    <col min="7430" max="7430" width="9" style="1338"/>
    <col min="7431" max="7431" width="9.36328125" style="1338" bestFit="1" customWidth="1"/>
    <col min="7432" max="7433" width="9" style="1338"/>
    <col min="7434" max="7434" width="9.36328125" style="1338" bestFit="1" customWidth="1"/>
    <col min="7435" max="7435" width="4" style="1338" customWidth="1"/>
    <col min="7436" max="7436" width="5.08984375" style="1338" customWidth="1"/>
    <col min="7437" max="7437" width="13.90625" style="1338" customWidth="1"/>
    <col min="7438" max="7680" width="9" style="1338"/>
    <col min="7681" max="7681" width="4.90625" style="1338" customWidth="1"/>
    <col min="7682" max="7682" width="13.08984375" style="1338" customWidth="1"/>
    <col min="7683" max="7683" width="15.6328125" style="1338" customWidth="1"/>
    <col min="7684" max="7684" width="9.36328125" style="1338" bestFit="1" customWidth="1"/>
    <col min="7685" max="7685" width="13.453125" style="1338" customWidth="1"/>
    <col min="7686" max="7686" width="9" style="1338"/>
    <col min="7687" max="7687" width="9.36328125" style="1338" bestFit="1" customWidth="1"/>
    <col min="7688" max="7689" width="9" style="1338"/>
    <col min="7690" max="7690" width="9.36328125" style="1338" bestFit="1" customWidth="1"/>
    <col min="7691" max="7691" width="4" style="1338" customWidth="1"/>
    <col min="7692" max="7692" width="5.08984375" style="1338" customWidth="1"/>
    <col min="7693" max="7693" width="13.90625" style="1338" customWidth="1"/>
    <col min="7694" max="7936" width="9" style="1338"/>
    <col min="7937" max="7937" width="4.90625" style="1338" customWidth="1"/>
    <col min="7938" max="7938" width="13.08984375" style="1338" customWidth="1"/>
    <col min="7939" max="7939" width="15.6328125" style="1338" customWidth="1"/>
    <col min="7940" max="7940" width="9.36328125" style="1338" bestFit="1" customWidth="1"/>
    <col min="7941" max="7941" width="13.453125" style="1338" customWidth="1"/>
    <col min="7942" max="7942" width="9" style="1338"/>
    <col min="7943" max="7943" width="9.36328125" style="1338" bestFit="1" customWidth="1"/>
    <col min="7944" max="7945" width="9" style="1338"/>
    <col min="7946" max="7946" width="9.36328125" style="1338" bestFit="1" customWidth="1"/>
    <col min="7947" max="7947" width="4" style="1338" customWidth="1"/>
    <col min="7948" max="7948" width="5.08984375" style="1338" customWidth="1"/>
    <col min="7949" max="7949" width="13.90625" style="1338" customWidth="1"/>
    <col min="7950" max="8192" width="9" style="1338"/>
    <col min="8193" max="8193" width="4.90625" style="1338" customWidth="1"/>
    <col min="8194" max="8194" width="13.08984375" style="1338" customWidth="1"/>
    <col min="8195" max="8195" width="15.6328125" style="1338" customWidth="1"/>
    <col min="8196" max="8196" width="9.36328125" style="1338" bestFit="1" customWidth="1"/>
    <col min="8197" max="8197" width="13.453125" style="1338" customWidth="1"/>
    <col min="8198" max="8198" width="9" style="1338"/>
    <col min="8199" max="8199" width="9.36328125" style="1338" bestFit="1" customWidth="1"/>
    <col min="8200" max="8201" width="9" style="1338"/>
    <col min="8202" max="8202" width="9.36328125" style="1338" bestFit="1" customWidth="1"/>
    <col min="8203" max="8203" width="4" style="1338" customWidth="1"/>
    <col min="8204" max="8204" width="5.08984375" style="1338" customWidth="1"/>
    <col min="8205" max="8205" width="13.90625" style="1338" customWidth="1"/>
    <col min="8206" max="8448" width="9" style="1338"/>
    <col min="8449" max="8449" width="4.90625" style="1338" customWidth="1"/>
    <col min="8450" max="8450" width="13.08984375" style="1338" customWidth="1"/>
    <col min="8451" max="8451" width="15.6328125" style="1338" customWidth="1"/>
    <col min="8452" max="8452" width="9.36328125" style="1338" bestFit="1" customWidth="1"/>
    <col min="8453" max="8453" width="13.453125" style="1338" customWidth="1"/>
    <col min="8454" max="8454" width="9" style="1338"/>
    <col min="8455" max="8455" width="9.36328125" style="1338" bestFit="1" customWidth="1"/>
    <col min="8456" max="8457" width="9" style="1338"/>
    <col min="8458" max="8458" width="9.36328125" style="1338" bestFit="1" customWidth="1"/>
    <col min="8459" max="8459" width="4" style="1338" customWidth="1"/>
    <col min="8460" max="8460" width="5.08984375" style="1338" customWidth="1"/>
    <col min="8461" max="8461" width="13.90625" style="1338" customWidth="1"/>
    <col min="8462" max="8704" width="9" style="1338"/>
    <col min="8705" max="8705" width="4.90625" style="1338" customWidth="1"/>
    <col min="8706" max="8706" width="13.08984375" style="1338" customWidth="1"/>
    <col min="8707" max="8707" width="15.6328125" style="1338" customWidth="1"/>
    <col min="8708" max="8708" width="9.36328125" style="1338" bestFit="1" customWidth="1"/>
    <col min="8709" max="8709" width="13.453125" style="1338" customWidth="1"/>
    <col min="8710" max="8710" width="9" style="1338"/>
    <col min="8711" max="8711" width="9.36328125" style="1338" bestFit="1" customWidth="1"/>
    <col min="8712" max="8713" width="9" style="1338"/>
    <col min="8714" max="8714" width="9.36328125" style="1338" bestFit="1" customWidth="1"/>
    <col min="8715" max="8715" width="4" style="1338" customWidth="1"/>
    <col min="8716" max="8716" width="5.08984375" style="1338" customWidth="1"/>
    <col min="8717" max="8717" width="13.90625" style="1338" customWidth="1"/>
    <col min="8718" max="8960" width="9" style="1338"/>
    <col min="8961" max="8961" width="4.90625" style="1338" customWidth="1"/>
    <col min="8962" max="8962" width="13.08984375" style="1338" customWidth="1"/>
    <col min="8963" max="8963" width="15.6328125" style="1338" customWidth="1"/>
    <col min="8964" max="8964" width="9.36328125" style="1338" bestFit="1" customWidth="1"/>
    <col min="8965" max="8965" width="13.453125" style="1338" customWidth="1"/>
    <col min="8966" max="8966" width="9" style="1338"/>
    <col min="8967" max="8967" width="9.36328125" style="1338" bestFit="1" customWidth="1"/>
    <col min="8968" max="8969" width="9" style="1338"/>
    <col min="8970" max="8970" width="9.36328125" style="1338" bestFit="1" customWidth="1"/>
    <col min="8971" max="8971" width="4" style="1338" customWidth="1"/>
    <col min="8972" max="8972" width="5.08984375" style="1338" customWidth="1"/>
    <col min="8973" max="8973" width="13.90625" style="1338" customWidth="1"/>
    <col min="8974" max="9216" width="9" style="1338"/>
    <col min="9217" max="9217" width="4.90625" style="1338" customWidth="1"/>
    <col min="9218" max="9218" width="13.08984375" style="1338" customWidth="1"/>
    <col min="9219" max="9219" width="15.6328125" style="1338" customWidth="1"/>
    <col min="9220" max="9220" width="9.36328125" style="1338" bestFit="1" customWidth="1"/>
    <col min="9221" max="9221" width="13.453125" style="1338" customWidth="1"/>
    <col min="9222" max="9222" width="9" style="1338"/>
    <col min="9223" max="9223" width="9.36328125" style="1338" bestFit="1" customWidth="1"/>
    <col min="9224" max="9225" width="9" style="1338"/>
    <col min="9226" max="9226" width="9.36328125" style="1338" bestFit="1" customWidth="1"/>
    <col min="9227" max="9227" width="4" style="1338" customWidth="1"/>
    <col min="9228" max="9228" width="5.08984375" style="1338" customWidth="1"/>
    <col min="9229" max="9229" width="13.90625" style="1338" customWidth="1"/>
    <col min="9230" max="9472" width="9" style="1338"/>
    <col min="9473" max="9473" width="4.90625" style="1338" customWidth="1"/>
    <col min="9474" max="9474" width="13.08984375" style="1338" customWidth="1"/>
    <col min="9475" max="9475" width="15.6328125" style="1338" customWidth="1"/>
    <col min="9476" max="9476" width="9.36328125" style="1338" bestFit="1" customWidth="1"/>
    <col min="9477" max="9477" width="13.453125" style="1338" customWidth="1"/>
    <col min="9478" max="9478" width="9" style="1338"/>
    <col min="9479" max="9479" width="9.36328125" style="1338" bestFit="1" customWidth="1"/>
    <col min="9480" max="9481" width="9" style="1338"/>
    <col min="9482" max="9482" width="9.36328125" style="1338" bestFit="1" customWidth="1"/>
    <col min="9483" max="9483" width="4" style="1338" customWidth="1"/>
    <col min="9484" max="9484" width="5.08984375" style="1338" customWidth="1"/>
    <col min="9485" max="9485" width="13.90625" style="1338" customWidth="1"/>
    <col min="9486" max="9728" width="9" style="1338"/>
    <col min="9729" max="9729" width="4.90625" style="1338" customWidth="1"/>
    <col min="9730" max="9730" width="13.08984375" style="1338" customWidth="1"/>
    <col min="9731" max="9731" width="15.6328125" style="1338" customWidth="1"/>
    <col min="9732" max="9732" width="9.36328125" style="1338" bestFit="1" customWidth="1"/>
    <col min="9733" max="9733" width="13.453125" style="1338" customWidth="1"/>
    <col min="9734" max="9734" width="9" style="1338"/>
    <col min="9735" max="9735" width="9.36328125" style="1338" bestFit="1" customWidth="1"/>
    <col min="9736" max="9737" width="9" style="1338"/>
    <col min="9738" max="9738" width="9.36328125" style="1338" bestFit="1" customWidth="1"/>
    <col min="9739" max="9739" width="4" style="1338" customWidth="1"/>
    <col min="9740" max="9740" width="5.08984375" style="1338" customWidth="1"/>
    <col min="9741" max="9741" width="13.90625" style="1338" customWidth="1"/>
    <col min="9742" max="9984" width="9" style="1338"/>
    <col min="9985" max="9985" width="4.90625" style="1338" customWidth="1"/>
    <col min="9986" max="9986" width="13.08984375" style="1338" customWidth="1"/>
    <col min="9987" max="9987" width="15.6328125" style="1338" customWidth="1"/>
    <col min="9988" max="9988" width="9.36328125" style="1338" bestFit="1" customWidth="1"/>
    <col min="9989" max="9989" width="13.453125" style="1338" customWidth="1"/>
    <col min="9990" max="9990" width="9" style="1338"/>
    <col min="9991" max="9991" width="9.36328125" style="1338" bestFit="1" customWidth="1"/>
    <col min="9992" max="9993" width="9" style="1338"/>
    <col min="9994" max="9994" width="9.36328125" style="1338" bestFit="1" customWidth="1"/>
    <col min="9995" max="9995" width="4" style="1338" customWidth="1"/>
    <col min="9996" max="9996" width="5.08984375" style="1338" customWidth="1"/>
    <col min="9997" max="9997" width="13.90625" style="1338" customWidth="1"/>
    <col min="9998" max="10240" width="9" style="1338"/>
    <col min="10241" max="10241" width="4.90625" style="1338" customWidth="1"/>
    <col min="10242" max="10242" width="13.08984375" style="1338" customWidth="1"/>
    <col min="10243" max="10243" width="15.6328125" style="1338" customWidth="1"/>
    <col min="10244" max="10244" width="9.36328125" style="1338" bestFit="1" customWidth="1"/>
    <col min="10245" max="10245" width="13.453125" style="1338" customWidth="1"/>
    <col min="10246" max="10246" width="9" style="1338"/>
    <col min="10247" max="10247" width="9.36328125" style="1338" bestFit="1" customWidth="1"/>
    <col min="10248" max="10249" width="9" style="1338"/>
    <col min="10250" max="10250" width="9.36328125" style="1338" bestFit="1" customWidth="1"/>
    <col min="10251" max="10251" width="4" style="1338" customWidth="1"/>
    <col min="10252" max="10252" width="5.08984375" style="1338" customWidth="1"/>
    <col min="10253" max="10253" width="13.90625" style="1338" customWidth="1"/>
    <col min="10254" max="10496" width="9" style="1338"/>
    <col min="10497" max="10497" width="4.90625" style="1338" customWidth="1"/>
    <col min="10498" max="10498" width="13.08984375" style="1338" customWidth="1"/>
    <col min="10499" max="10499" width="15.6328125" style="1338" customWidth="1"/>
    <col min="10500" max="10500" width="9.36328125" style="1338" bestFit="1" customWidth="1"/>
    <col min="10501" max="10501" width="13.453125" style="1338" customWidth="1"/>
    <col min="10502" max="10502" width="9" style="1338"/>
    <col min="10503" max="10503" width="9.36328125" style="1338" bestFit="1" customWidth="1"/>
    <col min="10504" max="10505" width="9" style="1338"/>
    <col min="10506" max="10506" width="9.36328125" style="1338" bestFit="1" customWidth="1"/>
    <col min="10507" max="10507" width="4" style="1338" customWidth="1"/>
    <col min="10508" max="10508" width="5.08984375" style="1338" customWidth="1"/>
    <col min="10509" max="10509" width="13.90625" style="1338" customWidth="1"/>
    <col min="10510" max="10752" width="9" style="1338"/>
    <col min="10753" max="10753" width="4.90625" style="1338" customWidth="1"/>
    <col min="10754" max="10754" width="13.08984375" style="1338" customWidth="1"/>
    <col min="10755" max="10755" width="15.6328125" style="1338" customWidth="1"/>
    <col min="10756" max="10756" width="9.36328125" style="1338" bestFit="1" customWidth="1"/>
    <col min="10757" max="10757" width="13.453125" style="1338" customWidth="1"/>
    <col min="10758" max="10758" width="9" style="1338"/>
    <col min="10759" max="10759" width="9.36328125" style="1338" bestFit="1" customWidth="1"/>
    <col min="10760" max="10761" width="9" style="1338"/>
    <col min="10762" max="10762" width="9.36328125" style="1338" bestFit="1" customWidth="1"/>
    <col min="10763" max="10763" width="4" style="1338" customWidth="1"/>
    <col min="10764" max="10764" width="5.08984375" style="1338" customWidth="1"/>
    <col min="10765" max="10765" width="13.90625" style="1338" customWidth="1"/>
    <col min="10766" max="11008" width="9" style="1338"/>
    <col min="11009" max="11009" width="4.90625" style="1338" customWidth="1"/>
    <col min="11010" max="11010" width="13.08984375" style="1338" customWidth="1"/>
    <col min="11011" max="11011" width="15.6328125" style="1338" customWidth="1"/>
    <col min="11012" max="11012" width="9.36328125" style="1338" bestFit="1" customWidth="1"/>
    <col min="11013" max="11013" width="13.453125" style="1338" customWidth="1"/>
    <col min="11014" max="11014" width="9" style="1338"/>
    <col min="11015" max="11015" width="9.36328125" style="1338" bestFit="1" customWidth="1"/>
    <col min="11016" max="11017" width="9" style="1338"/>
    <col min="11018" max="11018" width="9.36328125" style="1338" bestFit="1" customWidth="1"/>
    <col min="11019" max="11019" width="4" style="1338" customWidth="1"/>
    <col min="11020" max="11020" width="5.08984375" style="1338" customWidth="1"/>
    <col min="11021" max="11021" width="13.90625" style="1338" customWidth="1"/>
    <col min="11022" max="11264" width="9" style="1338"/>
    <col min="11265" max="11265" width="4.90625" style="1338" customWidth="1"/>
    <col min="11266" max="11266" width="13.08984375" style="1338" customWidth="1"/>
    <col min="11267" max="11267" width="15.6328125" style="1338" customWidth="1"/>
    <col min="11268" max="11268" width="9.36328125" style="1338" bestFit="1" customWidth="1"/>
    <col min="11269" max="11269" width="13.453125" style="1338" customWidth="1"/>
    <col min="11270" max="11270" width="9" style="1338"/>
    <col min="11271" max="11271" width="9.36328125" style="1338" bestFit="1" customWidth="1"/>
    <col min="11272" max="11273" width="9" style="1338"/>
    <col min="11274" max="11274" width="9.36328125" style="1338" bestFit="1" customWidth="1"/>
    <col min="11275" max="11275" width="4" style="1338" customWidth="1"/>
    <col min="11276" max="11276" width="5.08984375" style="1338" customWidth="1"/>
    <col min="11277" max="11277" width="13.90625" style="1338" customWidth="1"/>
    <col min="11278" max="11520" width="9" style="1338"/>
    <col min="11521" max="11521" width="4.90625" style="1338" customWidth="1"/>
    <col min="11522" max="11522" width="13.08984375" style="1338" customWidth="1"/>
    <col min="11523" max="11523" width="15.6328125" style="1338" customWidth="1"/>
    <col min="11524" max="11524" width="9.36328125" style="1338" bestFit="1" customWidth="1"/>
    <col min="11525" max="11525" width="13.453125" style="1338" customWidth="1"/>
    <col min="11526" max="11526" width="9" style="1338"/>
    <col min="11527" max="11527" width="9.36328125" style="1338" bestFit="1" customWidth="1"/>
    <col min="11528" max="11529" width="9" style="1338"/>
    <col min="11530" max="11530" width="9.36328125" style="1338" bestFit="1" customWidth="1"/>
    <col min="11531" max="11531" width="4" style="1338" customWidth="1"/>
    <col min="11532" max="11532" width="5.08984375" style="1338" customWidth="1"/>
    <col min="11533" max="11533" width="13.90625" style="1338" customWidth="1"/>
    <col min="11534" max="11776" width="9" style="1338"/>
    <col min="11777" max="11777" width="4.90625" style="1338" customWidth="1"/>
    <col min="11778" max="11778" width="13.08984375" style="1338" customWidth="1"/>
    <col min="11779" max="11779" width="15.6328125" style="1338" customWidth="1"/>
    <col min="11780" max="11780" width="9.36328125" style="1338" bestFit="1" customWidth="1"/>
    <col min="11781" max="11781" width="13.453125" style="1338" customWidth="1"/>
    <col min="11782" max="11782" width="9" style="1338"/>
    <col min="11783" max="11783" width="9.36328125" style="1338" bestFit="1" customWidth="1"/>
    <col min="11784" max="11785" width="9" style="1338"/>
    <col min="11786" max="11786" width="9.36328125" style="1338" bestFit="1" customWidth="1"/>
    <col min="11787" max="11787" width="4" style="1338" customWidth="1"/>
    <col min="11788" max="11788" width="5.08984375" style="1338" customWidth="1"/>
    <col min="11789" max="11789" width="13.90625" style="1338" customWidth="1"/>
    <col min="11790" max="12032" width="9" style="1338"/>
    <col min="12033" max="12033" width="4.90625" style="1338" customWidth="1"/>
    <col min="12034" max="12034" width="13.08984375" style="1338" customWidth="1"/>
    <col min="12035" max="12035" width="15.6328125" style="1338" customWidth="1"/>
    <col min="12036" max="12036" width="9.36328125" style="1338" bestFit="1" customWidth="1"/>
    <col min="12037" max="12037" width="13.453125" style="1338" customWidth="1"/>
    <col min="12038" max="12038" width="9" style="1338"/>
    <col min="12039" max="12039" width="9.36328125" style="1338" bestFit="1" customWidth="1"/>
    <col min="12040" max="12041" width="9" style="1338"/>
    <col min="12042" max="12042" width="9.36328125" style="1338" bestFit="1" customWidth="1"/>
    <col min="12043" max="12043" width="4" style="1338" customWidth="1"/>
    <col min="12044" max="12044" width="5.08984375" style="1338" customWidth="1"/>
    <col min="12045" max="12045" width="13.90625" style="1338" customWidth="1"/>
    <col min="12046" max="12288" width="9" style="1338"/>
    <col min="12289" max="12289" width="4.90625" style="1338" customWidth="1"/>
    <col min="12290" max="12290" width="13.08984375" style="1338" customWidth="1"/>
    <col min="12291" max="12291" width="15.6328125" style="1338" customWidth="1"/>
    <col min="12292" max="12292" width="9.36328125" style="1338" bestFit="1" customWidth="1"/>
    <col min="12293" max="12293" width="13.453125" style="1338" customWidth="1"/>
    <col min="12294" max="12294" width="9" style="1338"/>
    <col min="12295" max="12295" width="9.36328125" style="1338" bestFit="1" customWidth="1"/>
    <col min="12296" max="12297" width="9" style="1338"/>
    <col min="12298" max="12298" width="9.36328125" style="1338" bestFit="1" customWidth="1"/>
    <col min="12299" max="12299" width="4" style="1338" customWidth="1"/>
    <col min="12300" max="12300" width="5.08984375" style="1338" customWidth="1"/>
    <col min="12301" max="12301" width="13.90625" style="1338" customWidth="1"/>
    <col min="12302" max="12544" width="9" style="1338"/>
    <col min="12545" max="12545" width="4.90625" style="1338" customWidth="1"/>
    <col min="12546" max="12546" width="13.08984375" style="1338" customWidth="1"/>
    <col min="12547" max="12547" width="15.6328125" style="1338" customWidth="1"/>
    <col min="12548" max="12548" width="9.36328125" style="1338" bestFit="1" customWidth="1"/>
    <col min="12549" max="12549" width="13.453125" style="1338" customWidth="1"/>
    <col min="12550" max="12550" width="9" style="1338"/>
    <col min="12551" max="12551" width="9.36328125" style="1338" bestFit="1" customWidth="1"/>
    <col min="12552" max="12553" width="9" style="1338"/>
    <col min="12554" max="12554" width="9.36328125" style="1338" bestFit="1" customWidth="1"/>
    <col min="12555" max="12555" width="4" style="1338" customWidth="1"/>
    <col min="12556" max="12556" width="5.08984375" style="1338" customWidth="1"/>
    <col min="12557" max="12557" width="13.90625" style="1338" customWidth="1"/>
    <col min="12558" max="12800" width="9" style="1338"/>
    <col min="12801" max="12801" width="4.90625" style="1338" customWidth="1"/>
    <col min="12802" max="12802" width="13.08984375" style="1338" customWidth="1"/>
    <col min="12803" max="12803" width="15.6328125" style="1338" customWidth="1"/>
    <col min="12804" max="12804" width="9.36328125" style="1338" bestFit="1" customWidth="1"/>
    <col min="12805" max="12805" width="13.453125" style="1338" customWidth="1"/>
    <col min="12806" max="12806" width="9" style="1338"/>
    <col min="12807" max="12807" width="9.36328125" style="1338" bestFit="1" customWidth="1"/>
    <col min="12808" max="12809" width="9" style="1338"/>
    <col min="12810" max="12810" width="9.36328125" style="1338" bestFit="1" customWidth="1"/>
    <col min="12811" max="12811" width="4" style="1338" customWidth="1"/>
    <col min="12812" max="12812" width="5.08984375" style="1338" customWidth="1"/>
    <col min="12813" max="12813" width="13.90625" style="1338" customWidth="1"/>
    <col min="12814" max="13056" width="9" style="1338"/>
    <col min="13057" max="13057" width="4.90625" style="1338" customWidth="1"/>
    <col min="13058" max="13058" width="13.08984375" style="1338" customWidth="1"/>
    <col min="13059" max="13059" width="15.6328125" style="1338" customWidth="1"/>
    <col min="13060" max="13060" width="9.36328125" style="1338" bestFit="1" customWidth="1"/>
    <col min="13061" max="13061" width="13.453125" style="1338" customWidth="1"/>
    <col min="13062" max="13062" width="9" style="1338"/>
    <col min="13063" max="13063" width="9.36328125" style="1338" bestFit="1" customWidth="1"/>
    <col min="13064" max="13065" width="9" style="1338"/>
    <col min="13066" max="13066" width="9.36328125" style="1338" bestFit="1" customWidth="1"/>
    <col min="13067" max="13067" width="4" style="1338" customWidth="1"/>
    <col min="13068" max="13068" width="5.08984375" style="1338" customWidth="1"/>
    <col min="13069" max="13069" width="13.90625" style="1338" customWidth="1"/>
    <col min="13070" max="13312" width="9" style="1338"/>
    <col min="13313" max="13313" width="4.90625" style="1338" customWidth="1"/>
    <col min="13314" max="13314" width="13.08984375" style="1338" customWidth="1"/>
    <col min="13315" max="13315" width="15.6328125" style="1338" customWidth="1"/>
    <col min="13316" max="13316" width="9.36328125" style="1338" bestFit="1" customWidth="1"/>
    <col min="13317" max="13317" width="13.453125" style="1338" customWidth="1"/>
    <col min="13318" max="13318" width="9" style="1338"/>
    <col min="13319" max="13319" width="9.36328125" style="1338" bestFit="1" customWidth="1"/>
    <col min="13320" max="13321" width="9" style="1338"/>
    <col min="13322" max="13322" width="9.36328125" style="1338" bestFit="1" customWidth="1"/>
    <col min="13323" max="13323" width="4" style="1338" customWidth="1"/>
    <col min="13324" max="13324" width="5.08984375" style="1338" customWidth="1"/>
    <col min="13325" max="13325" width="13.90625" style="1338" customWidth="1"/>
    <col min="13326" max="13568" width="9" style="1338"/>
    <col min="13569" max="13569" width="4.90625" style="1338" customWidth="1"/>
    <col min="13570" max="13570" width="13.08984375" style="1338" customWidth="1"/>
    <col min="13571" max="13571" width="15.6328125" style="1338" customWidth="1"/>
    <col min="13572" max="13572" width="9.36328125" style="1338" bestFit="1" customWidth="1"/>
    <col min="13573" max="13573" width="13.453125" style="1338" customWidth="1"/>
    <col min="13574" max="13574" width="9" style="1338"/>
    <col min="13575" max="13575" width="9.36328125" style="1338" bestFit="1" customWidth="1"/>
    <col min="13576" max="13577" width="9" style="1338"/>
    <col min="13578" max="13578" width="9.36328125" style="1338" bestFit="1" customWidth="1"/>
    <col min="13579" max="13579" width="4" style="1338" customWidth="1"/>
    <col min="13580" max="13580" width="5.08984375" style="1338" customWidth="1"/>
    <col min="13581" max="13581" width="13.90625" style="1338" customWidth="1"/>
    <col min="13582" max="13824" width="9" style="1338"/>
    <col min="13825" max="13825" width="4.90625" style="1338" customWidth="1"/>
    <col min="13826" max="13826" width="13.08984375" style="1338" customWidth="1"/>
    <col min="13827" max="13827" width="15.6328125" style="1338" customWidth="1"/>
    <col min="13828" max="13828" width="9.36328125" style="1338" bestFit="1" customWidth="1"/>
    <col min="13829" max="13829" width="13.453125" style="1338" customWidth="1"/>
    <col min="13830" max="13830" width="9" style="1338"/>
    <col min="13831" max="13831" width="9.36328125" style="1338" bestFit="1" customWidth="1"/>
    <col min="13832" max="13833" width="9" style="1338"/>
    <col min="13834" max="13834" width="9.36328125" style="1338" bestFit="1" customWidth="1"/>
    <col min="13835" max="13835" width="4" style="1338" customWidth="1"/>
    <col min="13836" max="13836" width="5.08984375" style="1338" customWidth="1"/>
    <col min="13837" max="13837" width="13.90625" style="1338" customWidth="1"/>
    <col min="13838" max="14080" width="9" style="1338"/>
    <col min="14081" max="14081" width="4.90625" style="1338" customWidth="1"/>
    <col min="14082" max="14082" width="13.08984375" style="1338" customWidth="1"/>
    <col min="14083" max="14083" width="15.6328125" style="1338" customWidth="1"/>
    <col min="14084" max="14084" width="9.36328125" style="1338" bestFit="1" customWidth="1"/>
    <col min="14085" max="14085" width="13.453125" style="1338" customWidth="1"/>
    <col min="14086" max="14086" width="9" style="1338"/>
    <col min="14087" max="14087" width="9.36328125" style="1338" bestFit="1" customWidth="1"/>
    <col min="14088" max="14089" width="9" style="1338"/>
    <col min="14090" max="14090" width="9.36328125" style="1338" bestFit="1" customWidth="1"/>
    <col min="14091" max="14091" width="4" style="1338" customWidth="1"/>
    <col min="14092" max="14092" width="5.08984375" style="1338" customWidth="1"/>
    <col min="14093" max="14093" width="13.90625" style="1338" customWidth="1"/>
    <col min="14094" max="14336" width="9" style="1338"/>
    <col min="14337" max="14337" width="4.90625" style="1338" customWidth="1"/>
    <col min="14338" max="14338" width="13.08984375" style="1338" customWidth="1"/>
    <col min="14339" max="14339" width="15.6328125" style="1338" customWidth="1"/>
    <col min="14340" max="14340" width="9.36328125" style="1338" bestFit="1" customWidth="1"/>
    <col min="14341" max="14341" width="13.453125" style="1338" customWidth="1"/>
    <col min="14342" max="14342" width="9" style="1338"/>
    <col min="14343" max="14343" width="9.36328125" style="1338" bestFit="1" customWidth="1"/>
    <col min="14344" max="14345" width="9" style="1338"/>
    <col min="14346" max="14346" width="9.36328125" style="1338" bestFit="1" customWidth="1"/>
    <col min="14347" max="14347" width="4" style="1338" customWidth="1"/>
    <col min="14348" max="14348" width="5.08984375" style="1338" customWidth="1"/>
    <col min="14349" max="14349" width="13.90625" style="1338" customWidth="1"/>
    <col min="14350" max="14592" width="9" style="1338"/>
    <col min="14593" max="14593" width="4.90625" style="1338" customWidth="1"/>
    <col min="14594" max="14594" width="13.08984375" style="1338" customWidth="1"/>
    <col min="14595" max="14595" width="15.6328125" style="1338" customWidth="1"/>
    <col min="14596" max="14596" width="9.36328125" style="1338" bestFit="1" customWidth="1"/>
    <col min="14597" max="14597" width="13.453125" style="1338" customWidth="1"/>
    <col min="14598" max="14598" width="9" style="1338"/>
    <col min="14599" max="14599" width="9.36328125" style="1338" bestFit="1" customWidth="1"/>
    <col min="14600" max="14601" width="9" style="1338"/>
    <col min="14602" max="14602" width="9.36328125" style="1338" bestFit="1" customWidth="1"/>
    <col min="14603" max="14603" width="4" style="1338" customWidth="1"/>
    <col min="14604" max="14604" width="5.08984375" style="1338" customWidth="1"/>
    <col min="14605" max="14605" width="13.90625" style="1338" customWidth="1"/>
    <col min="14606" max="14848" width="9" style="1338"/>
    <col min="14849" max="14849" width="4.90625" style="1338" customWidth="1"/>
    <col min="14850" max="14850" width="13.08984375" style="1338" customWidth="1"/>
    <col min="14851" max="14851" width="15.6328125" style="1338" customWidth="1"/>
    <col min="14852" max="14852" width="9.36328125" style="1338" bestFit="1" customWidth="1"/>
    <col min="14853" max="14853" width="13.453125" style="1338" customWidth="1"/>
    <col min="14854" max="14854" width="9" style="1338"/>
    <col min="14855" max="14855" width="9.36328125" style="1338" bestFit="1" customWidth="1"/>
    <col min="14856" max="14857" width="9" style="1338"/>
    <col min="14858" max="14858" width="9.36328125" style="1338" bestFit="1" customWidth="1"/>
    <col min="14859" max="14859" width="4" style="1338" customWidth="1"/>
    <col min="14860" max="14860" width="5.08984375" style="1338" customWidth="1"/>
    <col min="14861" max="14861" width="13.90625" style="1338" customWidth="1"/>
    <col min="14862" max="15104" width="9" style="1338"/>
    <col min="15105" max="15105" width="4.90625" style="1338" customWidth="1"/>
    <col min="15106" max="15106" width="13.08984375" style="1338" customWidth="1"/>
    <col min="15107" max="15107" width="15.6328125" style="1338" customWidth="1"/>
    <col min="15108" max="15108" width="9.36328125" style="1338" bestFit="1" customWidth="1"/>
    <col min="15109" max="15109" width="13.453125" style="1338" customWidth="1"/>
    <col min="15110" max="15110" width="9" style="1338"/>
    <col min="15111" max="15111" width="9.36328125" style="1338" bestFit="1" customWidth="1"/>
    <col min="15112" max="15113" width="9" style="1338"/>
    <col min="15114" max="15114" width="9.36328125" style="1338" bestFit="1" customWidth="1"/>
    <col min="15115" max="15115" width="4" style="1338" customWidth="1"/>
    <col min="15116" max="15116" width="5.08984375" style="1338" customWidth="1"/>
    <col min="15117" max="15117" width="13.90625" style="1338" customWidth="1"/>
    <col min="15118" max="15360" width="9" style="1338"/>
    <col min="15361" max="15361" width="4.90625" style="1338" customWidth="1"/>
    <col min="15362" max="15362" width="13.08984375" style="1338" customWidth="1"/>
    <col min="15363" max="15363" width="15.6328125" style="1338" customWidth="1"/>
    <col min="15364" max="15364" width="9.36328125" style="1338" bestFit="1" customWidth="1"/>
    <col min="15365" max="15365" width="13.453125" style="1338" customWidth="1"/>
    <col min="15366" max="15366" width="9" style="1338"/>
    <col min="15367" max="15367" width="9.36328125" style="1338" bestFit="1" customWidth="1"/>
    <col min="15368" max="15369" width="9" style="1338"/>
    <col min="15370" max="15370" width="9.36328125" style="1338" bestFit="1" customWidth="1"/>
    <col min="15371" max="15371" width="4" style="1338" customWidth="1"/>
    <col min="15372" max="15372" width="5.08984375" style="1338" customWidth="1"/>
    <col min="15373" max="15373" width="13.90625" style="1338" customWidth="1"/>
    <col min="15374" max="15616" width="9" style="1338"/>
    <col min="15617" max="15617" width="4.90625" style="1338" customWidth="1"/>
    <col min="15618" max="15618" width="13.08984375" style="1338" customWidth="1"/>
    <col min="15619" max="15619" width="15.6328125" style="1338" customWidth="1"/>
    <col min="15620" max="15620" width="9.36328125" style="1338" bestFit="1" customWidth="1"/>
    <col min="15621" max="15621" width="13.453125" style="1338" customWidth="1"/>
    <col min="15622" max="15622" width="9" style="1338"/>
    <col min="15623" max="15623" width="9.36328125" style="1338" bestFit="1" customWidth="1"/>
    <col min="15624" max="15625" width="9" style="1338"/>
    <col min="15626" max="15626" width="9.36328125" style="1338" bestFit="1" customWidth="1"/>
    <col min="15627" max="15627" width="4" style="1338" customWidth="1"/>
    <col min="15628" max="15628" width="5.08984375" style="1338" customWidth="1"/>
    <col min="15629" max="15629" width="13.90625" style="1338" customWidth="1"/>
    <col min="15630" max="15872" width="9" style="1338"/>
    <col min="15873" max="15873" width="4.90625" style="1338" customWidth="1"/>
    <col min="15874" max="15874" width="13.08984375" style="1338" customWidth="1"/>
    <col min="15875" max="15875" width="15.6328125" style="1338" customWidth="1"/>
    <col min="15876" max="15876" width="9.36328125" style="1338" bestFit="1" customWidth="1"/>
    <col min="15877" max="15877" width="13.453125" style="1338" customWidth="1"/>
    <col min="15878" max="15878" width="9" style="1338"/>
    <col min="15879" max="15879" width="9.36328125" style="1338" bestFit="1" customWidth="1"/>
    <col min="15880" max="15881" width="9" style="1338"/>
    <col min="15882" max="15882" width="9.36328125" style="1338" bestFit="1" customWidth="1"/>
    <col min="15883" max="15883" width="4" style="1338" customWidth="1"/>
    <col min="15884" max="15884" width="5.08984375" style="1338" customWidth="1"/>
    <col min="15885" max="15885" width="13.90625" style="1338" customWidth="1"/>
    <col min="15886" max="16128" width="9" style="1338"/>
    <col min="16129" max="16129" width="4.90625" style="1338" customWidth="1"/>
    <col min="16130" max="16130" width="13.08984375" style="1338" customWidth="1"/>
    <col min="16131" max="16131" width="15.6328125" style="1338" customWidth="1"/>
    <col min="16132" max="16132" width="9.36328125" style="1338" bestFit="1" customWidth="1"/>
    <col min="16133" max="16133" width="13.453125" style="1338" customWidth="1"/>
    <col min="16134" max="16134" width="9" style="1338"/>
    <col min="16135" max="16135" width="9.36328125" style="1338" bestFit="1" customWidth="1"/>
    <col min="16136" max="16137" width="9" style="1338"/>
    <col min="16138" max="16138" width="9.36328125" style="1338" bestFit="1" customWidth="1"/>
    <col min="16139" max="16139" width="4" style="1338" customWidth="1"/>
    <col min="16140" max="16140" width="5.08984375" style="1338" customWidth="1"/>
    <col min="16141" max="16141" width="13.90625" style="1338" customWidth="1"/>
    <col min="16142" max="16384" width="9" style="1338"/>
  </cols>
  <sheetData>
    <row r="1" spans="1:257" s="1400" customFormat="1" ht="14.5" thickBot="1">
      <c r="A1" s="1394"/>
      <c r="B1" s="1401" t="s">
        <v>1024</v>
      </c>
      <c r="C1" s="1395">
        <f>项目基本情况!D3</f>
        <v>44693</v>
      </c>
      <c r="D1" s="1401" t="s">
        <v>1025</v>
      </c>
      <c r="E1" s="1396">
        <f>'数据-取费表'!B22</f>
        <v>3</v>
      </c>
      <c r="F1" s="1401" t="s">
        <v>1026</v>
      </c>
      <c r="G1" s="1397">
        <f ca="1">INDIRECT("d"&amp;$K$1)/100</f>
        <v>3.7000000000000005E-2</v>
      </c>
      <c r="H1" s="1401" t="s">
        <v>1056</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1027</v>
      </c>
      <c r="E2" s="1339"/>
      <c r="F2" s="1339" t="s">
        <v>1028</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1029</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1030</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1031</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1032</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5" thickBot="1">
      <c r="B7" s="1353" t="s">
        <v>1033</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1">
      <c r="A9" s="1361"/>
      <c r="B9" s="1362" t="s">
        <v>1034</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3">
      <c r="A10" s="1367"/>
      <c r="B10" s="1368" t="s">
        <v>1035</v>
      </c>
      <c r="C10" s="1367"/>
      <c r="D10" s="1367"/>
      <c r="E10" s="1367"/>
      <c r="F10" s="1367"/>
      <c r="G10" s="1367"/>
      <c r="H10" s="1367"/>
      <c r="I10" s="1341"/>
      <c r="J10" s="1341"/>
      <c r="K10" s="1367"/>
      <c r="L10" s="1368" t="s">
        <v>1036</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1037</v>
      </c>
      <c r="C11" s="1372" t="s">
        <v>1038</v>
      </c>
      <c r="D11" s="1373" t="s">
        <v>1039</v>
      </c>
      <c r="E11" s="1374"/>
      <c r="F11" s="1373" t="s">
        <v>1040</v>
      </c>
      <c r="G11" s="1375"/>
      <c r="H11" s="1374"/>
      <c r="I11" s="1373" t="s">
        <v>1041</v>
      </c>
      <c r="J11" s="1374"/>
      <c r="K11" s="1370"/>
      <c r="L11" s="1371" t="s">
        <v>1037</v>
      </c>
      <c r="M11" s="1372" t="s">
        <v>1038</v>
      </c>
      <c r="N11" s="1371" t="s">
        <v>1042</v>
      </c>
      <c r="O11" s="1373" t="s">
        <v>1043</v>
      </c>
      <c r="P11" s="1375"/>
      <c r="Q11" s="1375"/>
      <c r="R11" s="1375"/>
      <c r="S11" s="1375"/>
      <c r="T11" s="1374"/>
      <c r="U11" s="1373" t="s">
        <v>1044</v>
      </c>
      <c r="V11" s="1375"/>
      <c r="W11" s="1374"/>
      <c r="X11" s="1371" t="s">
        <v>1045</v>
      </c>
      <c r="Y11" s="1371" t="s">
        <v>1046</v>
      </c>
      <c r="Z11" s="1371" t="s">
        <v>1047</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1048</v>
      </c>
      <c r="E12" s="1380" t="s">
        <v>1049</v>
      </c>
      <c r="F12" s="1380" t="s">
        <v>1050</v>
      </c>
      <c r="G12" s="1380" t="s">
        <v>1051</v>
      </c>
      <c r="H12" s="1380" t="s">
        <v>1033</v>
      </c>
      <c r="I12" s="1381" t="s">
        <v>1052</v>
      </c>
      <c r="J12" s="1381" t="s">
        <v>1052</v>
      </c>
      <c r="K12" s="1377"/>
      <c r="L12" s="1378"/>
      <c r="M12" s="1379"/>
      <c r="N12" s="1378"/>
      <c r="O12" s="1381" t="s">
        <v>1053</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30">
      <c r="A13" s="1383"/>
      <c r="B13" s="1384" t="s">
        <v>1054</v>
      </c>
      <c r="C13" s="2974">
        <v>44581</v>
      </c>
      <c r="D13" s="2975">
        <v>3.7</v>
      </c>
      <c r="E13" s="2975">
        <f>D13</f>
        <v>3.7</v>
      </c>
      <c r="F13" s="2975">
        <f>D13</f>
        <v>3.7</v>
      </c>
      <c r="G13" s="2975">
        <f>D13</f>
        <v>3.7</v>
      </c>
      <c r="H13" s="2975">
        <v>4.5999999999999996</v>
      </c>
      <c r="I13" s="1385"/>
      <c r="J13" s="1385"/>
      <c r="K13" s="1383"/>
      <c r="L13" s="1384" t="s">
        <v>1054</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6.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5">
      <c r="A19" s="1383"/>
      <c r="B19" s="2969" t="s">
        <v>2806</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1055</v>
      </c>
      <c r="Y42" s="1389" t="s">
        <v>1055</v>
      </c>
      <c r="Z42" s="1389" t="s">
        <v>1055</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1055</v>
      </c>
      <c r="Y43" s="1389" t="s">
        <v>1055</v>
      </c>
      <c r="Z43" s="1389" t="s">
        <v>1055</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1055</v>
      </c>
      <c r="Y44" s="1389" t="s">
        <v>1055</v>
      </c>
      <c r="Z44" s="1389" t="s">
        <v>1055</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1055</v>
      </c>
      <c r="Y45" s="1389" t="s">
        <v>1055</v>
      </c>
      <c r="Z45" s="1389" t="s">
        <v>1055</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1055</v>
      </c>
      <c r="Y46" s="1389" t="s">
        <v>1055</v>
      </c>
      <c r="Z46" s="1389" t="s">
        <v>1055</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1055</v>
      </c>
      <c r="Y47" s="1389" t="s">
        <v>1055</v>
      </c>
      <c r="Z47" s="1389" t="s">
        <v>1055</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1055</v>
      </c>
      <c r="Y48" s="1389" t="s">
        <v>1055</v>
      </c>
      <c r="Z48" s="1389" t="s">
        <v>1055</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1055</v>
      </c>
      <c r="Y49" s="1389" t="s">
        <v>1055</v>
      </c>
      <c r="Z49" s="1389" t="s">
        <v>1055</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1055</v>
      </c>
      <c r="Y50" s="1389" t="s">
        <v>1055</v>
      </c>
      <c r="Z50" s="1389" t="s">
        <v>1055</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1055</v>
      </c>
      <c r="V51" s="1389" t="s">
        <v>1055</v>
      </c>
      <c r="W51" s="1389" t="s">
        <v>1055</v>
      </c>
      <c r="X51" s="1389" t="s">
        <v>1055</v>
      </c>
      <c r="Y51" s="1389" t="s">
        <v>1055</v>
      </c>
      <c r="Z51" s="1389" t="s">
        <v>1055</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1055</v>
      </c>
      <c r="J62" s="1389" t="s">
        <v>1055</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7"/>
  <sheetViews>
    <sheetView workbookViewId="0">
      <selection activeCell="K25" sqref="K25"/>
    </sheetView>
  </sheetViews>
  <sheetFormatPr defaultRowHeight="14"/>
  <sheetData>
    <row r="1" spans="1:13" ht="27">
      <c r="A1" s="1447" t="s">
        <v>1094</v>
      </c>
      <c r="E1" s="1441" t="s">
        <v>1098</v>
      </c>
      <c r="F1" s="1442" t="s">
        <v>1102</v>
      </c>
    </row>
    <row r="2" spans="1:13" ht="20">
      <c r="A2" s="1448" t="s">
        <v>1095</v>
      </c>
    </row>
    <row r="3" spans="1:13" ht="16.5">
      <c r="A3" s="1449" t="s">
        <v>1096</v>
      </c>
    </row>
    <row r="4" spans="1:13">
      <c r="A4" s="1439" t="s">
        <v>1097</v>
      </c>
      <c r="B4" s="1444" t="s">
        <v>1099</v>
      </c>
      <c r="C4" s="1445"/>
      <c r="D4" s="1446"/>
      <c r="E4" s="1444" t="s">
        <v>27</v>
      </c>
      <c r="F4" s="1445"/>
      <c r="G4" s="1446"/>
      <c r="H4" s="1444" t="s">
        <v>1100</v>
      </c>
      <c r="I4" s="1445"/>
      <c r="J4" s="1446"/>
      <c r="K4" s="1444" t="s">
        <v>6</v>
      </c>
      <c r="L4" s="1445"/>
      <c r="M4" s="1446"/>
    </row>
    <row r="5" spans="1:13">
      <c r="A5" s="1440" t="s">
        <v>1101</v>
      </c>
      <c r="B5" s="1439" t="s">
        <v>1103</v>
      </c>
      <c r="C5" s="1439" t="s">
        <v>1104</v>
      </c>
      <c r="D5" s="1439" t="s">
        <v>1105</v>
      </c>
      <c r="E5" s="1439" t="s">
        <v>1103</v>
      </c>
      <c r="F5" s="1439" t="s">
        <v>1104</v>
      </c>
      <c r="G5" s="1439" t="s">
        <v>1105</v>
      </c>
      <c r="H5" s="1439" t="s">
        <v>1103</v>
      </c>
      <c r="I5" s="1439" t="s">
        <v>1104</v>
      </c>
      <c r="J5" s="1439" t="s">
        <v>1105</v>
      </c>
      <c r="K5" s="1439" t="s">
        <v>1103</v>
      </c>
      <c r="L5" s="1439" t="s">
        <v>1104</v>
      </c>
      <c r="M5" s="1439" t="s">
        <v>1105</v>
      </c>
    </row>
    <row r="6" spans="1:13">
      <c r="A6" s="1443" t="s">
        <v>211</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c r="A7" s="1443" t="s">
        <v>268</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c r="A8" s="1443" t="s">
        <v>441</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c r="A9" s="1443" t="s">
        <v>137</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c r="A10" s="1443" t="s">
        <v>522</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c r="A11" s="1443" t="s">
        <v>56</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c r="A12" s="1443" t="s">
        <v>525</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c r="A13" s="1443" t="s">
        <v>527</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c r="A14" s="1443" t="s">
        <v>529</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c r="A15" s="1443" t="s">
        <v>533</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c r="A16" s="1443" t="s">
        <v>633</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c r="A17" s="1443" t="s">
        <v>634</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591" customWidth="1"/>
    <col min="2" max="3" width="22.36328125" style="1591" customWidth="1"/>
    <col min="4" max="4" width="23" style="1591" customWidth="1"/>
    <col min="5" max="16384" width="9" style="1591"/>
  </cols>
  <sheetData>
    <row r="1" spans="1:4" ht="18">
      <c r="A1" s="3401" t="s">
        <v>1383</v>
      </c>
      <c r="B1" s="3401"/>
      <c r="C1" s="3401"/>
      <c r="D1" s="3401"/>
    </row>
    <row r="2" spans="1:4" ht="18">
      <c r="A2" s="3402" t="s">
        <v>1367</v>
      </c>
      <c r="B2" s="3402"/>
      <c r="C2" s="3402"/>
      <c r="D2" s="3402"/>
    </row>
    <row r="3" spans="1:4" ht="17.5">
      <c r="A3" s="1623" t="s">
        <v>1368</v>
      </c>
      <c r="B3" s="1623" t="s">
        <v>1369</v>
      </c>
      <c r="C3" s="1623" t="s">
        <v>1370</v>
      </c>
      <c r="D3" s="1623" t="s">
        <v>1371</v>
      </c>
    </row>
    <row r="4" spans="1:4" ht="56.25" customHeight="1">
      <c r="A4" s="1624" t="str">
        <f>项目基本情况!B4</f>
        <v>郑燚</v>
      </c>
      <c r="B4" s="1625">
        <f ca="1">项目基本情况!C4</f>
        <v>1120070131</v>
      </c>
      <c r="C4" s="1626"/>
      <c r="D4" s="1627" t="s">
        <v>1372</v>
      </c>
    </row>
    <row r="5" spans="1:4" ht="56.25" customHeight="1">
      <c r="A5" s="1624" t="str">
        <f>项目基本情况!D4</f>
        <v>吴薇</v>
      </c>
      <c r="B5" s="1625">
        <f ca="1">项目基本情况!E4</f>
        <v>1419970001</v>
      </c>
      <c r="C5" s="1628"/>
      <c r="D5" s="1627" t="s">
        <v>1372</v>
      </c>
    </row>
    <row r="6" spans="1:4" ht="18">
      <c r="A6" s="3402" t="s">
        <v>1373</v>
      </c>
      <c r="B6" s="3402"/>
      <c r="C6" s="3402"/>
      <c r="D6" s="3402"/>
    </row>
    <row r="7" spans="1:4" ht="17.5">
      <c r="A7" s="1623" t="s">
        <v>1368</v>
      </c>
      <c r="B7" s="1625" t="s">
        <v>1374</v>
      </c>
      <c r="C7" s="1623" t="s">
        <v>1370</v>
      </c>
      <c r="D7" s="1623" t="s">
        <v>1371</v>
      </c>
    </row>
    <row r="8" spans="1:4" ht="56.25" customHeight="1">
      <c r="A8" s="1629" t="s">
        <v>656</v>
      </c>
      <c r="B8" s="1629" t="s">
        <v>1</v>
      </c>
      <c r="C8" s="1626"/>
      <c r="D8" s="1627" t="s">
        <v>1372</v>
      </c>
    </row>
    <row r="9" spans="1:4">
      <c r="A9" s="670"/>
      <c r="B9" s="670"/>
      <c r="C9" s="670"/>
      <c r="D9" s="670"/>
    </row>
    <row r="10" spans="1:4" ht="18">
      <c r="A10" s="1630" t="s">
        <v>1375</v>
      </c>
      <c r="B10" s="670"/>
      <c r="C10" s="670"/>
      <c r="D10" s="670"/>
    </row>
    <row r="11" spans="1:4" ht="30" customHeight="1">
      <c r="A11" s="3403" t="s">
        <v>1376</v>
      </c>
      <c r="B11" s="3404"/>
      <c r="C11" s="3404"/>
      <c r="D11" s="3404"/>
    </row>
    <row r="12" spans="1:4" ht="15.5">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spans="1:4" ht="30" customHeight="1">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4" t="str">
        <f>IF(项目基本情况!B8="抵押","4.本次评估估价师所知悉的法定优先受偿款情况说明如下：","——")</f>
        <v>4.本次评估估价师所知悉的法定优先受偿款情况说明如下：</v>
      </c>
      <c r="B14" s="3405"/>
      <c r="C14" s="3405"/>
      <c r="D14" s="3405"/>
    </row>
    <row r="15" spans="1:4" ht="42" customHeight="1">
      <c r="A15" s="34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04"/>
      <c r="C15" s="3404"/>
      <c r="D15" s="3404"/>
    </row>
    <row r="16" spans="1:4" ht="30" customHeight="1">
      <c r="A16" s="3407" t="s">
        <v>1377</v>
      </c>
      <c r="B16" s="3407"/>
      <c r="C16" s="3407"/>
      <c r="D16" s="3407"/>
    </row>
    <row r="17" spans="1:4" ht="144" customHeight="1">
      <c r="A17" s="3407" t="s">
        <v>1378</v>
      </c>
      <c r="B17" s="3407"/>
      <c r="C17" s="3407"/>
      <c r="D17" s="3407"/>
    </row>
    <row r="18" spans="1:4" ht="15.75" customHeight="1">
      <c r="A18" s="3404" t="str">
        <f>IF(项目基本情况!B8="抵押",结果表!K120,"——")</f>
        <v>故，本次评估不存在估价师知悉的法定优先受偿款</v>
      </c>
      <c r="B18" s="3404"/>
      <c r="C18" s="3404"/>
      <c r="D18" s="3404"/>
    </row>
    <row r="19" spans="1:4" ht="46.5" customHeight="1">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spans="1:4" ht="57.75" customHeight="1">
      <c r="A20" s="34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4"/>
      <c r="C20" s="3404"/>
      <c r="D20" s="3404"/>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8"/>
      <c r="C21" s="3408"/>
      <c r="D21" s="3408"/>
    </row>
    <row r="22" spans="1:4" ht="18.75" customHeight="1">
      <c r="A22" s="3409" t="s">
        <v>1379</v>
      </c>
      <c r="B22" s="3409"/>
      <c r="C22" s="3409"/>
      <c r="D22" s="3409"/>
    </row>
    <row r="23" spans="1:4">
      <c r="A23" s="1631"/>
      <c r="B23" s="1603"/>
      <c r="C23" s="1603"/>
      <c r="D23" s="1603"/>
    </row>
    <row r="24" spans="1:4">
      <c r="A24" s="1631"/>
      <c r="B24" s="1603"/>
      <c r="C24" s="1603"/>
      <c r="D24" s="1603"/>
    </row>
    <row r="25" spans="1:4" ht="17.5">
      <c r="A25" s="1632" t="s">
        <v>1380</v>
      </c>
    </row>
    <row r="26" spans="1:4" ht="17.5">
      <c r="A26" s="1601"/>
    </row>
    <row r="27" spans="1:4" ht="17.5">
      <c r="A27" s="1601" t="s">
        <v>1381</v>
      </c>
    </row>
    <row r="30" spans="1:4" ht="17.5">
      <c r="D30" s="1632" t="s">
        <v>1382</v>
      </c>
    </row>
    <row r="31" spans="1:4" ht="13.5" customHeight="1">
      <c r="C31" s="3406">
        <v>42551</v>
      </c>
      <c r="D31" s="34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89" customWidth="1"/>
    <col min="3" max="10" width="12.453125" style="1589" customWidth="1"/>
    <col min="11" max="16384" width="9" style="1589"/>
  </cols>
  <sheetData>
    <row r="1" spans="1:10" ht="17.5">
      <c r="A1" s="1622" t="s">
        <v>657</v>
      </c>
      <c r="B1" s="1633"/>
      <c r="C1" s="1633"/>
      <c r="D1" s="1633"/>
      <c r="E1" s="1633"/>
      <c r="F1" s="1633"/>
      <c r="G1" s="1633"/>
      <c r="H1" s="1633"/>
      <c r="I1" s="1633"/>
      <c r="J1" s="1633"/>
    </row>
    <row r="2" spans="1:10" ht="1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39" customWidth="1"/>
    <col min="2" max="16384" width="14.453125" style="1621"/>
  </cols>
  <sheetData>
    <row r="1" spans="1:7" s="1636" customFormat="1" ht="17.5">
      <c r="A1" s="1635" t="s">
        <v>1384</v>
      </c>
    </row>
    <row r="3" spans="1:7">
      <c r="A3" s="1637" t="s">
        <v>82</v>
      </c>
      <c r="B3" s="1621" t="s">
        <v>1385</v>
      </c>
      <c r="G3" s="1638"/>
    </row>
    <row r="4" spans="1:7">
      <c r="G4" s="1638"/>
    </row>
    <row r="5" spans="1:7">
      <c r="A5" s="1640" t="s">
        <v>73</v>
      </c>
      <c r="B5" s="1621" t="s">
        <v>1386</v>
      </c>
      <c r="G5" s="1638"/>
    </row>
    <row r="6" spans="1:7">
      <c r="G6" s="1638"/>
    </row>
    <row r="7" spans="1:7">
      <c r="A7" s="1641" t="s">
        <v>135</v>
      </c>
      <c r="B7" s="1621" t="s">
        <v>1387</v>
      </c>
      <c r="G7" s="1638"/>
    </row>
    <row r="8" spans="1:7">
      <c r="G8" s="1638"/>
    </row>
    <row r="9" spans="1:7">
      <c r="A9" s="1642" t="s">
        <v>74</v>
      </c>
      <c r="B9" s="1621" t="s">
        <v>1388</v>
      </c>
    </row>
    <row r="11" spans="1:7">
      <c r="A11" s="1643" t="s">
        <v>75</v>
      </c>
      <c r="B11" s="1644" t="s">
        <v>72</v>
      </c>
    </row>
    <row r="13" spans="1:7">
      <c r="A13" s="1645" t="s">
        <v>1389</v>
      </c>
    </row>
    <row r="15" spans="1:7" ht="14">
      <c r="A15" s="3415" t="s">
        <v>1390</v>
      </c>
      <c r="B15" s="3410" t="s">
        <v>136</v>
      </c>
      <c r="C15" s="3411"/>
    </row>
    <row r="16" spans="1:7" ht="14">
      <c r="A16" s="3416"/>
      <c r="B16" s="3410" t="s">
        <v>69</v>
      </c>
      <c r="C16" s="3411"/>
    </row>
    <row r="17" spans="1:3" ht="14">
      <c r="A17" s="3416"/>
      <c r="B17" s="3413" t="s">
        <v>1391</v>
      </c>
      <c r="C17" s="1646" t="s">
        <v>1390</v>
      </c>
    </row>
    <row r="18" spans="1:3" ht="14">
      <c r="A18" s="3416"/>
      <c r="B18" s="3413"/>
      <c r="C18" s="1646" t="s">
        <v>1392</v>
      </c>
    </row>
    <row r="19" spans="1:3" ht="14">
      <c r="A19" s="3416"/>
      <c r="B19" s="3413"/>
      <c r="C19" s="1646" t="s">
        <v>1393</v>
      </c>
    </row>
    <row r="20" spans="1:3" ht="14">
      <c r="A20" s="3417"/>
      <c r="B20" s="3412" t="s">
        <v>1394</v>
      </c>
      <c r="C20" s="3411"/>
    </row>
    <row r="21" spans="1:3" ht="14">
      <c r="A21" s="1647" t="s">
        <v>1395</v>
      </c>
      <c r="B21" s="1648"/>
      <c r="C21" s="1649"/>
    </row>
    <row r="22" spans="1:3" ht="14">
      <c r="A22" s="3414" t="s">
        <v>1396</v>
      </c>
      <c r="B22" s="3412" t="s">
        <v>1397</v>
      </c>
      <c r="C22" s="3411"/>
    </row>
    <row r="23" spans="1:3" ht="14">
      <c r="A23" s="3414"/>
      <c r="B23" s="3412" t="s">
        <v>1398</v>
      </c>
      <c r="C23" s="3411"/>
    </row>
    <row r="24" spans="1:3" ht="14">
      <c r="A24" s="3414"/>
      <c r="B24" s="3412" t="s">
        <v>1399</v>
      </c>
      <c r="C24" s="3411"/>
    </row>
    <row r="25" spans="1:3" ht="14">
      <c r="A25" s="3414"/>
      <c r="B25" s="3413" t="s">
        <v>1400</v>
      </c>
      <c r="C25" s="1646" t="s">
        <v>1401</v>
      </c>
    </row>
    <row r="26" spans="1:3" ht="14">
      <c r="A26" s="3414"/>
      <c r="B26" s="3413"/>
      <c r="C26" s="1646" t="s">
        <v>1402</v>
      </c>
    </row>
    <row r="27" spans="1:3" ht="14">
      <c r="A27" s="3414"/>
      <c r="B27" s="3413"/>
      <c r="C27" s="1646" t="s">
        <v>1403</v>
      </c>
    </row>
    <row r="28" spans="1:3" ht="14">
      <c r="A28" s="3414"/>
      <c r="B28" s="3413"/>
      <c r="C28" s="1646" t="s">
        <v>1404</v>
      </c>
    </row>
    <row r="29" spans="1:3" ht="14">
      <c r="A29" s="3414"/>
      <c r="B29" s="3413"/>
      <c r="C29" s="1646" t="s">
        <v>1405</v>
      </c>
    </row>
    <row r="30" spans="1:3" ht="14">
      <c r="A30" s="3414"/>
      <c r="B30" s="3413"/>
      <c r="C30" s="1646" t="s">
        <v>1406</v>
      </c>
    </row>
    <row r="31" spans="1:3" ht="14">
      <c r="A31" s="3414"/>
      <c r="B31" s="3413"/>
      <c r="C31" s="1646" t="s">
        <v>1407</v>
      </c>
    </row>
    <row r="32" spans="1:3" ht="14">
      <c r="A32" s="3414"/>
      <c r="B32" s="3413"/>
      <c r="C32" s="1646" t="s">
        <v>1408</v>
      </c>
    </row>
    <row r="33" spans="1:3" ht="14">
      <c r="A33" s="3414"/>
      <c r="B33" s="3413"/>
      <c r="C33" s="1646" t="s">
        <v>1409</v>
      </c>
    </row>
    <row r="34" spans="1:3">
      <c r="A34" s="1650" t="s">
        <v>76</v>
      </c>
    </row>
    <row r="37" spans="1:3">
      <c r="A37" s="1650" t="s">
        <v>1410</v>
      </c>
    </row>
    <row r="38" spans="1:3" ht="14">
      <c r="A38" s="1651" t="s">
        <v>77</v>
      </c>
    </row>
    <row r="39" spans="1:3" ht="14">
      <c r="A39" s="1651" t="s">
        <v>78</v>
      </c>
    </row>
    <row r="40" spans="1:3" ht="14">
      <c r="A40" s="1651" t="s">
        <v>79</v>
      </c>
    </row>
    <row r="41" spans="1:3" ht="14">
      <c r="A41" s="1652" t="s">
        <v>80</v>
      </c>
    </row>
    <row r="42" spans="1:3" ht="14">
      <c r="A42" s="165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488" customWidth="1"/>
    <col min="2" max="2" width="38.6328125" style="2488" customWidth="1"/>
    <col min="3" max="3" width="26" style="2488" customWidth="1"/>
    <col min="4" max="4" width="35" style="2488" hidden="1" customWidth="1"/>
    <col min="5" max="5" width="30.08984375" style="2488" customWidth="1"/>
    <col min="6" max="6" width="35.453125" style="2488" customWidth="1"/>
    <col min="7" max="7" width="31" style="2488" customWidth="1"/>
    <col min="8" max="8" width="37.453125" style="2488" hidden="1" customWidth="1"/>
    <col min="9" max="16384" width="22.6328125" style="2488"/>
  </cols>
  <sheetData>
    <row r="1" spans="1:8" ht="24" customHeight="1">
      <c r="A1" s="2487"/>
      <c r="B1" s="2487"/>
      <c r="C1" s="2487"/>
      <c r="D1" s="2487"/>
      <c r="E1" s="2487"/>
      <c r="F1" s="2487"/>
      <c r="G1" s="2487"/>
      <c r="H1" s="2487"/>
    </row>
    <row r="2" spans="1:8" ht="24" customHeight="1">
      <c r="A2" s="2489" t="s">
        <v>2635</v>
      </c>
      <c r="B2" s="2490">
        <f ca="1">TODAY()</f>
        <v>44707</v>
      </c>
      <c r="C2" s="2491" t="s">
        <v>2636</v>
      </c>
      <c r="D2" s="2491"/>
      <c r="E2" s="2491"/>
      <c r="F2" s="2487"/>
      <c r="G2" s="2487"/>
      <c r="H2" s="2487"/>
    </row>
    <row r="3" spans="1:8" ht="24" customHeight="1">
      <c r="A3" s="2492" t="s">
        <v>2637</v>
      </c>
      <c r="B3" s="2493" t="s">
        <v>2638</v>
      </c>
      <c r="C3" s="2493" t="s">
        <v>2639</v>
      </c>
      <c r="D3" s="2494" t="s">
        <v>2640</v>
      </c>
      <c r="E3" s="2495" t="s">
        <v>2641</v>
      </c>
      <c r="F3" s="1403" t="s">
        <v>2642</v>
      </c>
      <c r="G3" s="2493" t="s">
        <v>2639</v>
      </c>
      <c r="H3" s="2494" t="s">
        <v>2643</v>
      </c>
    </row>
    <row r="4" spans="1:8" ht="24" customHeight="1">
      <c r="A4" s="1403" t="s">
        <v>2644</v>
      </c>
      <c r="B4" s="1403">
        <f ca="1">IF(C4&lt;B2,"已过期",1119970066)</f>
        <v>1119970066</v>
      </c>
      <c r="C4" s="2496">
        <v>44876</v>
      </c>
      <c r="D4" s="2497" t="str">
        <f ca="1">A4&amp;"（注册号："&amp;B4&amp;"）"</f>
        <v>梁津（注册号：1119970066）</v>
      </c>
      <c r="E4" s="2498" t="s">
        <v>2644</v>
      </c>
      <c r="F4" s="1403">
        <f ca="1">IF(G4&lt;B2,"已过期",96010014)</f>
        <v>96010014</v>
      </c>
      <c r="G4" s="2499">
        <v>47118</v>
      </c>
      <c r="H4" s="2500" t="str">
        <f ca="1">E4&amp;"（注册号："&amp;F4&amp;"）"</f>
        <v>梁津（注册号：96010014）</v>
      </c>
    </row>
    <row r="5" spans="1:8" ht="24" customHeight="1">
      <c r="A5" s="1403" t="s">
        <v>2645</v>
      </c>
      <c r="B5" s="1403">
        <f ca="1">IF(C5&lt;B2,"已过期",1119970111)</f>
        <v>1119970111</v>
      </c>
      <c r="C5" s="2496">
        <v>44876</v>
      </c>
      <c r="D5" s="2497" t="str">
        <f t="shared" ref="D5:D15" ca="1" si="0">A5&amp;"（注册号："&amp;B5&amp;"）"</f>
        <v>叶凌（注册号：1119970111）</v>
      </c>
      <c r="E5" s="2498" t="s">
        <v>2645</v>
      </c>
      <c r="F5" s="1403">
        <f ca="1">IF(G5&lt;B2,"已过期",94010078)</f>
        <v>94010078</v>
      </c>
      <c r="G5" s="2499">
        <v>46387</v>
      </c>
      <c r="H5" s="2500" t="str">
        <f t="shared" ref="H5:H16" ca="1" si="1">E5&amp;"（注册号："&amp;F5&amp;"）"</f>
        <v>叶凌（注册号：94010078）</v>
      </c>
    </row>
    <row r="6" spans="1:8" ht="24" customHeight="1">
      <c r="A6" s="1403" t="s">
        <v>2646</v>
      </c>
      <c r="B6" s="1403">
        <f ca="1">IF(C6&lt;B2,"已过期",1120050019)</f>
        <v>1120050019</v>
      </c>
      <c r="C6" s="2496">
        <v>45410</v>
      </c>
      <c r="D6" s="2497" t="str">
        <f t="shared" ca="1" si="0"/>
        <v>王鹏（注册号：1120050019）</v>
      </c>
      <c r="E6" s="2498" t="s">
        <v>2646</v>
      </c>
      <c r="F6" s="1403">
        <f ca="1">IF(G6&lt;B2,"已过期",2002110030)</f>
        <v>2002110030</v>
      </c>
      <c r="G6" s="2499">
        <v>46387</v>
      </c>
      <c r="H6" s="2500" t="str">
        <f t="shared" ca="1" si="1"/>
        <v>王鹏（注册号：2002110030）</v>
      </c>
    </row>
    <row r="7" spans="1:8" ht="24" customHeight="1">
      <c r="A7" s="1403" t="s">
        <v>2647</v>
      </c>
      <c r="B7" s="1403">
        <f ca="1">IF(C7&lt;B2,"已过期",1120000080)</f>
        <v>1120000080</v>
      </c>
      <c r="C7" s="2496">
        <v>44876</v>
      </c>
      <c r="D7" s="2497" t="str">
        <f t="shared" ca="1" si="0"/>
        <v>欧红伟（注册号：1120000080）</v>
      </c>
      <c r="E7" s="2498" t="s">
        <v>2647</v>
      </c>
      <c r="F7" s="1403">
        <f ca="1">IF(G7&lt;B2,"已过期",2000110082)</f>
        <v>2000110082</v>
      </c>
      <c r="G7" s="2499">
        <v>46387</v>
      </c>
      <c r="H7" s="2500" t="str">
        <f t="shared" ca="1" si="1"/>
        <v>欧红伟（注册号：2000110082）</v>
      </c>
    </row>
    <row r="8" spans="1:8" ht="24" customHeight="1">
      <c r="A8" s="1403" t="s">
        <v>2648</v>
      </c>
      <c r="B8" s="1403">
        <f ca="1">IF(C8&lt;B2,"已过期",1419970001)</f>
        <v>1419970001</v>
      </c>
      <c r="C8" s="2496">
        <v>44899</v>
      </c>
      <c r="D8" s="2497" t="str">
        <f t="shared" ca="1" si="0"/>
        <v>吴薇（注册号：1419970001）</v>
      </c>
      <c r="E8" s="2498" t="s">
        <v>2648</v>
      </c>
      <c r="F8" s="1403">
        <f ca="1">IF(G8&lt;B2,"已过期",2002110125)</f>
        <v>2002110125</v>
      </c>
      <c r="G8" s="2499">
        <v>47118</v>
      </c>
      <c r="H8" s="2500" t="str">
        <f t="shared" ca="1" si="1"/>
        <v>吴薇（注册号：2002110125）</v>
      </c>
    </row>
    <row r="9" spans="1:8" ht="24" customHeight="1">
      <c r="A9" s="1403" t="s">
        <v>2649</v>
      </c>
      <c r="B9" s="1403">
        <f ca="1">IF(C9&lt;B2,"已过期",1120060040)</f>
        <v>1120060040</v>
      </c>
      <c r="C9" s="2501">
        <v>45592</v>
      </c>
      <c r="D9" s="2497" t="str">
        <f t="shared" ca="1" si="0"/>
        <v>陈颖（注册号：1120060040）</v>
      </c>
      <c r="E9" s="2498" t="s">
        <v>2649</v>
      </c>
      <c r="F9" s="1403">
        <f ca="1">IF(G9&lt;B2,"已过期",2004110096)</f>
        <v>2004110096</v>
      </c>
      <c r="G9" s="2499">
        <v>47118</v>
      </c>
      <c r="H9" s="2500" t="str">
        <f t="shared" ca="1" si="1"/>
        <v>陈颖（注册号：2004110096）</v>
      </c>
    </row>
    <row r="10" spans="1:8" ht="24" customHeight="1">
      <c r="A10" s="1403" t="s">
        <v>2650</v>
      </c>
      <c r="B10" s="1403" t="str">
        <f ca="1">IF(C10&lt;B2,"已过期",1120100036)</f>
        <v>已过期</v>
      </c>
      <c r="C10" s="2501">
        <v>44675</v>
      </c>
      <c r="D10" s="2497" t="str">
        <f t="shared" ca="1" si="0"/>
        <v>崔锴（注册号：已过期）</v>
      </c>
      <c r="E10" s="2498" t="s">
        <v>2650</v>
      </c>
      <c r="F10" s="1403">
        <f ca="1">IF(G10&lt;B2,"已过期",2010110070)</f>
        <v>2010110070</v>
      </c>
      <c r="G10" s="2499">
        <v>47907</v>
      </c>
      <c r="H10" s="2500" t="str">
        <f t="shared" ca="1" si="1"/>
        <v>崔锴（注册号：2010110070）</v>
      </c>
    </row>
    <row r="11" spans="1:8" ht="24" customHeight="1">
      <c r="A11" s="1403" t="s">
        <v>2651</v>
      </c>
      <c r="B11" s="1403">
        <f ca="1">IF(C11&lt;B2,"已过期",1120070131)</f>
        <v>1120070131</v>
      </c>
      <c r="C11" s="2496">
        <v>44849</v>
      </c>
      <c r="D11" s="2497" t="str">
        <f t="shared" ca="1" si="0"/>
        <v>郑燚（注册号：1120070131）</v>
      </c>
      <c r="E11" s="2498" t="s">
        <v>2651</v>
      </c>
      <c r="F11" s="1403">
        <f ca="1">IF(G11&lt;B2,"已过期",2014110011)</f>
        <v>2014110011</v>
      </c>
      <c r="G11" s="2499">
        <v>49302</v>
      </c>
      <c r="H11" s="2500" t="str">
        <f t="shared" ca="1" si="1"/>
        <v>郑燚（注册号：2014110011）</v>
      </c>
    </row>
    <row r="12" spans="1:8" ht="24" customHeight="1">
      <c r="A12" s="1403" t="s">
        <v>2652</v>
      </c>
      <c r="B12" s="1403">
        <f ca="1">IF(C12&lt;B2,"已过期",1120040230)</f>
        <v>1120040230</v>
      </c>
      <c r="C12" s="2501">
        <v>44864</v>
      </c>
      <c r="D12" s="2497" t="str">
        <f t="shared" ca="1" si="0"/>
        <v>苏海（注册号：1120040230）</v>
      </c>
      <c r="E12" s="2498" t="s">
        <v>2652</v>
      </c>
      <c r="F12" s="1403">
        <f ca="1">IF(G12&lt;B2,"已过期",98030020)</f>
        <v>98030020</v>
      </c>
      <c r="G12" s="2499">
        <v>47118</v>
      </c>
      <c r="H12" s="2500" t="str">
        <f t="shared" ca="1" si="1"/>
        <v>苏海（注册号：98030020）</v>
      </c>
    </row>
    <row r="13" spans="1:8" ht="24" customHeight="1">
      <c r="A13" s="1403" t="s">
        <v>2653</v>
      </c>
      <c r="B13" s="1403" t="str">
        <f ca="1">IF(C13&lt;B2,"已过期",1120020033)</f>
        <v>已过期</v>
      </c>
      <c r="C13" s="2496">
        <v>44339</v>
      </c>
      <c r="D13" s="2497" t="str">
        <f t="shared" ca="1" si="0"/>
        <v>刘敬东（注册号：已过期）</v>
      </c>
      <c r="E13" s="2498" t="s">
        <v>2653</v>
      </c>
      <c r="F13" s="1403">
        <f ca="1">IF(G13&lt;B2,"已过期",2000110137)</f>
        <v>2000110137</v>
      </c>
      <c r="G13" s="2499">
        <v>46387</v>
      </c>
      <c r="H13" s="2500" t="str">
        <f t="shared" ca="1" si="1"/>
        <v>刘敬东（注册号：2000110137）</v>
      </c>
    </row>
    <row r="14" spans="1:8" ht="24" customHeight="1">
      <c r="A14" s="1403" t="s">
        <v>2654</v>
      </c>
      <c r="B14" s="1403">
        <f ca="1">IF(C14&lt;B2,"已过期",1119980106)</f>
        <v>1119980106</v>
      </c>
      <c r="C14" s="2501">
        <v>44969</v>
      </c>
      <c r="D14" s="2497" t="str">
        <f t="shared" ca="1" si="0"/>
        <v>刘俊财（注册号：1119980106）</v>
      </c>
      <c r="E14" s="2498" t="s">
        <v>2654</v>
      </c>
      <c r="F14" s="1403">
        <f ca="1">IF(G14&lt;B2,"已过期",96010063)</f>
        <v>96010063</v>
      </c>
      <c r="G14" s="2499">
        <v>47483</v>
      </c>
      <c r="H14" s="2500" t="str">
        <f t="shared" ca="1" si="1"/>
        <v>刘俊财（注册号：96010063）</v>
      </c>
    </row>
    <row r="15" spans="1:8" ht="24" customHeight="1">
      <c r="A15" s="1403" t="s">
        <v>2933</v>
      </c>
      <c r="B15" s="1403">
        <v>1120210056</v>
      </c>
      <c r="C15" s="2501">
        <v>45410</v>
      </c>
      <c r="D15" s="2497" t="str">
        <f t="shared" si="0"/>
        <v>宁小鳗（注册号：1120210056）</v>
      </c>
      <c r="E15" s="2498" t="s">
        <v>2655</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18" t="s">
        <v>2656</v>
      </c>
      <c r="B17" s="3418"/>
      <c r="C17" s="3418"/>
      <c r="D17" s="3418"/>
      <c r="E17" s="3418"/>
      <c r="F17" s="3418"/>
      <c r="G17" s="3418"/>
      <c r="H17" s="3418"/>
    </row>
    <row r="18" spans="1:8" ht="24" customHeight="1">
      <c r="A18" s="3419" t="s">
        <v>2657</v>
      </c>
      <c r="B18" s="3419"/>
      <c r="C18" s="3419"/>
      <c r="D18" s="2494"/>
      <c r="E18" s="3420" t="s">
        <v>2658</v>
      </c>
      <c r="F18" s="3419"/>
      <c r="G18" s="3419"/>
    </row>
    <row r="19" spans="1:8" s="2505" customFormat="1" ht="24" customHeight="1">
      <c r="A19" s="2504" t="s">
        <v>2659</v>
      </c>
      <c r="B19" s="2493" t="s">
        <v>2660</v>
      </c>
      <c r="C19" s="2493" t="s">
        <v>2639</v>
      </c>
      <c r="D19" s="2494"/>
      <c r="E19" s="2498" t="s">
        <v>2659</v>
      </c>
      <c r="F19" s="2493" t="s">
        <v>2660</v>
      </c>
      <c r="G19" s="2493" t="s">
        <v>2639</v>
      </c>
    </row>
    <row r="20" spans="1:8" s="2505" customFormat="1" ht="24" customHeight="1">
      <c r="A20" s="2506" t="s">
        <v>2661</v>
      </c>
      <c r="B20" s="2506" t="s">
        <v>2662</v>
      </c>
      <c r="C20" s="2499">
        <v>44820</v>
      </c>
      <c r="D20" s="2507"/>
      <c r="E20" s="2508" t="s">
        <v>2663</v>
      </c>
      <c r="F20" s="2511" t="s">
        <v>2934</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8"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面积及拆分价值</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典型户型修正</vt:lpstr>
      <vt:lpstr>结果表车</vt:lpstr>
      <vt:lpstr>成本法车</vt:lpstr>
      <vt:lpstr>收益法办</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2022-05-26T04:40:21Z</dcterms:modified>
</cp:coreProperties>
</file>